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5330" windowHeight="15990" tabRatio="597" activeTab="6"/>
  </bookViews>
  <sheets>
    <sheet name="Gruppendritte" sheetId="1" r:id="rId1"/>
    <sheet name="EM2016 Los-13244123-FIFA" sheetId="2" r:id="rId2"/>
    <sheet name="em16losen" sheetId="3" r:id="rId3"/>
    <sheet name="em16zufall" sheetId="4" r:id="rId4"/>
    <sheet name="em16plan" sheetId="5" r:id="rId5"/>
    <sheet name="em16random" sheetId="6" r:id="rId6"/>
    <sheet name="em16nobody" sheetId="7" r:id="rId7"/>
  </sheets>
  <definedNames/>
  <calcPr fullCalcOnLoad="1"/>
</workbook>
</file>

<file path=xl/sharedStrings.xml><?xml version="1.0" encoding="utf-8"?>
<sst xmlns="http://schemas.openxmlformats.org/spreadsheetml/2006/main" count="3341" uniqueCount="201">
  <si>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</si>
  <si>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</si>
  <si>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</si>
  <si>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</si>
  <si>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</si>
  <si>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</si>
  <si>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</si>
  <si>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</si>
  <si>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</si>
  <si>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</si>
  <si>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</si>
  <si>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</si>
  <si>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</si>
  <si>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</si>
  <si>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</si>
  <si>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</si>
  <si>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</si>
  <si>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</si>
  <si>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</si>
  <si>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Datum/Zeit</t>
  </si>
  <si>
    <t>Spielort</t>
  </si>
  <si>
    <t>-</t>
  </si>
  <si>
    <t>:</t>
  </si>
  <si>
    <t>ok</t>
  </si>
  <si>
    <t>1A</t>
  </si>
  <si>
    <t>2A</t>
  </si>
  <si>
    <t>Gruppe B</t>
  </si>
  <si>
    <t>1B</t>
  </si>
  <si>
    <t>2B</t>
  </si>
  <si>
    <t>Gruppe C</t>
  </si>
  <si>
    <t>1C</t>
  </si>
  <si>
    <t>2C</t>
  </si>
  <si>
    <t>Gruppe D</t>
  </si>
  <si>
    <t>1D</t>
  </si>
  <si>
    <t>2D</t>
  </si>
  <si>
    <t>Gruppe E</t>
  </si>
  <si>
    <t>1E</t>
  </si>
  <si>
    <t>2E</t>
  </si>
  <si>
    <t>Gruppe F</t>
  </si>
  <si>
    <t>1F</t>
  </si>
  <si>
    <t>2F</t>
  </si>
  <si>
    <t>Achtelfinale</t>
  </si>
  <si>
    <t>AF1</t>
  </si>
  <si>
    <t>AF2</t>
  </si>
  <si>
    <t>AF3</t>
  </si>
  <si>
    <t>AF4</t>
  </si>
  <si>
    <t>AF5</t>
  </si>
  <si>
    <t>AF6</t>
  </si>
  <si>
    <t>AF7</t>
  </si>
  <si>
    <t>AF8</t>
  </si>
  <si>
    <t>Viertelfinale</t>
  </si>
  <si>
    <t>VF3</t>
  </si>
  <si>
    <t>VF1</t>
  </si>
  <si>
    <t>VF4</t>
  </si>
  <si>
    <t>VF2</t>
  </si>
  <si>
    <t>Halbfinale</t>
  </si>
  <si>
    <t>F1</t>
  </si>
  <si>
    <t>F2</t>
  </si>
  <si>
    <t>HF1</t>
  </si>
  <si>
    <t>HF2</t>
  </si>
  <si>
    <t>Finale</t>
  </si>
  <si>
    <t>Zufallsformel</t>
  </si>
  <si>
    <t>OK</t>
  </si>
  <si>
    <t>Topf1</t>
  </si>
  <si>
    <t>M</t>
  </si>
  <si>
    <t>M-real</t>
  </si>
  <si>
    <t>Topf2</t>
  </si>
  <si>
    <t>Frankreich</t>
  </si>
  <si>
    <t>Topf3</t>
  </si>
  <si>
    <t>Topf4</t>
  </si>
  <si>
    <t>SP</t>
  </si>
  <si>
    <t>ja</t>
  </si>
  <si>
    <t>Losen Zufall</t>
  </si>
  <si>
    <t>Ergebnis Zufall</t>
  </si>
  <si>
    <t>3C</t>
  </si>
  <si>
    <t>3F</t>
  </si>
  <si>
    <t>3B</t>
  </si>
  <si>
    <t>3E</t>
  </si>
  <si>
    <t>3ACD</t>
  </si>
  <si>
    <t>3CDE</t>
  </si>
  <si>
    <t>3BEF</t>
  </si>
  <si>
    <t>3ABF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</si>
  <si>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</si>
  <si>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</si>
  <si>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</si>
  <si>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</si>
  <si>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</si>
  <si>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</si>
  <si>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</si>
  <si>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</si>
  <si>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</si>
  <si>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</si>
  <si>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</si>
  <si>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</si>
  <si>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</si>
  <si>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</si>
  <si>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</si>
  <si>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A</t>
  </si>
  <si>
    <t>C</t>
  </si>
  <si>
    <t>D</t>
  </si>
  <si>
    <t>E</t>
  </si>
  <si>
    <t>B</t>
  </si>
  <si>
    <t>F</t>
  </si>
  <si>
    <t>ABCE,ABCF,ABDE,ABDF,ABEF,ACEF,ADEF</t>
  </si>
  <si>
    <t>wenn</t>
  </si>
  <si>
    <t xml:space="preserve">wenn </t>
  </si>
  <si>
    <t>ABCD,ACDE,ACDF,BCDE,BCDF.BCEF,CDEF</t>
  </si>
  <si>
    <t>ABCE,ABCF,ACEF</t>
  </si>
  <si>
    <t>ABCD,ABDE,ABDF,ACDE,ACDF,ADEF,BCDE,BCDF,CDEF</t>
  </si>
  <si>
    <t>ABEF,BCEF,BDEF</t>
  </si>
  <si>
    <t>ABCD,ABCF,ABDF,ABEF,BCDF,BCEF,BDEF</t>
  </si>
  <si>
    <t>ABCE,ABDE,ACDE,ACEF,ADEF,BCDE,CDEF</t>
  </si>
  <si>
    <t>ABCD,ACDE,ACDF</t>
  </si>
  <si>
    <t>ABCE,ABDE,BCDE</t>
  </si>
  <si>
    <t>ABCF,ABDF,ABEF,ACEF,ADEF,BCDF,BCEF,BDEF,CDEF</t>
  </si>
  <si>
    <t>Formel:</t>
  </si>
  <si>
    <t>3A</t>
  </si>
  <si>
    <t>3D</t>
  </si>
  <si>
    <t>Gruppendritte</t>
  </si>
  <si>
    <t>L0=AE hebelt Berechnung aus (top level Losen)</t>
  </si>
  <si>
    <t>L1=AK hebelt Direktvergleich (S1) aus</t>
  </si>
  <si>
    <t>L4=AV Losen UEFA-Koeffizient, Fairplay oder Münzwurf</t>
  </si>
  <si>
    <t>R</t>
  </si>
  <si>
    <t>KG</t>
  </si>
  <si>
    <t>Auto</t>
  </si>
  <si>
    <t>L8</t>
  </si>
  <si>
    <t>=</t>
  </si>
  <si>
    <t>L8=Buchstabe für manuelle Gruppe</t>
  </si>
  <si>
    <t>Reihenfolge nur zur Gruppenauswahl</t>
  </si>
  <si>
    <t>alfabetisch</t>
  </si>
  <si>
    <t>umsortieren</t>
  </si>
  <si>
    <t>S</t>
  </si>
  <si>
    <t>Vergleich Bernd:</t>
  </si>
  <si>
    <t xml:space="preserve">Die Zuweisungen laut FIFA-Dokument und die induktiv gefundene Lösung von Bernd sind "spiegelbildlich" </t>
  </si>
  <si>
    <t>(in etwa wie die beiden Lösungen einer quadratischen Gleichung)</t>
  </si>
  <si>
    <t>Beachte die Spalten S - U</t>
  </si>
  <si>
    <t>Paris St.Denis</t>
  </si>
  <si>
    <t>Lens</t>
  </si>
  <si>
    <t>Paris</t>
  </si>
  <si>
    <t>Marseille</t>
  </si>
  <si>
    <t>Lille</t>
  </si>
  <si>
    <t>Lyon</t>
  </si>
  <si>
    <t>Bordeaux</t>
  </si>
  <si>
    <t>St.Étienne</t>
  </si>
  <si>
    <t>Toulouse</t>
  </si>
  <si>
    <t>Nizza</t>
  </si>
  <si>
    <t>Punkteverteilung</t>
  </si>
  <si>
    <t>In allen Vorrundenspielen</t>
  </si>
  <si>
    <t>Richtiges Ergebnis*</t>
  </si>
  <si>
    <t xml:space="preserve">Richtige Differenz  </t>
  </si>
  <si>
    <t xml:space="preserve">Sieg/Remis richtig  </t>
  </si>
  <si>
    <t>Anzahl Spiele</t>
  </si>
  <si>
    <t>Mannschaft kommt weiter</t>
  </si>
  <si>
    <t>(Gruppen-1.+2. oder als guter 3.)</t>
  </si>
  <si>
    <t>Anzahl Achtelfinalisten</t>
  </si>
  <si>
    <t>In den Achtelfinalen</t>
  </si>
  <si>
    <t>Pro Mannschaft richtig im AF</t>
  </si>
  <si>
    <t xml:space="preserve">Sieger richtig      </t>
  </si>
  <si>
    <t>In den Viertelfinalen</t>
  </si>
  <si>
    <t>Pro Mannschaft richtig im VF</t>
  </si>
  <si>
    <t>Pro Mannschaft in anderem VF</t>
  </si>
  <si>
    <t>In den Halbfinalen</t>
  </si>
  <si>
    <t>Pro Mannschaft richtig im HF</t>
  </si>
  <si>
    <t>Pro Mannschaft in anderem HF</t>
  </si>
  <si>
    <r>
      <t xml:space="preserve">Im Finale, </t>
    </r>
    <r>
      <rPr>
        <b/>
        <sz val="10"/>
        <color indexed="57"/>
        <rFont val="Verdana"/>
        <family val="2"/>
      </rPr>
      <t>Spiel um Platz 3</t>
    </r>
  </si>
  <si>
    <t>Pro Mannschaft richtig im Spiel</t>
  </si>
  <si>
    <t>Spiel um Platz 3 = JOKER für alle</t>
  </si>
  <si>
    <t>Summe</t>
  </si>
  <si>
    <t>Random</t>
  </si>
  <si>
    <t>In allen Spielen</t>
  </si>
  <si>
    <t>Pro Mannschaft, Toranzahl richtig</t>
  </si>
  <si>
    <t>Anzahl Spiele*</t>
  </si>
  <si>
    <t>maximal mögliche Punkte</t>
  </si>
  <si>
    <t>rnd</t>
  </si>
  <si>
    <t>Europameister</t>
  </si>
  <si>
    <t>Deutschland</t>
  </si>
  <si>
    <t>Spanien</t>
  </si>
  <si>
    <t>England</t>
  </si>
  <si>
    <t>Portugal</t>
  </si>
  <si>
    <t>Belgien</t>
  </si>
  <si>
    <t>Italien</t>
  </si>
  <si>
    <t>Russland</t>
  </si>
  <si>
    <t>Schweiz</t>
  </si>
  <si>
    <t>Österreich</t>
  </si>
  <si>
    <t>Kroatien</t>
  </si>
  <si>
    <t>Island</t>
  </si>
  <si>
    <t>Wales</t>
  </si>
  <si>
    <t>Albanien</t>
  </si>
  <si>
    <t>Nordirland</t>
  </si>
  <si>
    <t>Tschechien</t>
  </si>
  <si>
    <t>Polen</t>
  </si>
  <si>
    <t>Rumänien</t>
  </si>
  <si>
    <t>Türkei</t>
  </si>
  <si>
    <t>Slowakei</t>
  </si>
  <si>
    <t>j</t>
  </si>
  <si>
    <t>Gruppen Code</t>
  </si>
  <si>
    <t>Irland</t>
  </si>
  <si>
    <t>Schweden</t>
  </si>
  <si>
    <t>Ungarn</t>
  </si>
  <si>
    <t>Ukraine</t>
  </si>
  <si>
    <t>L4=AV Losen UEFA-Koeffizient, Fairplay oder Münzwurf, vorbelegt mit DV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</si>
</sst>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48"/>
      <name val="Verdana"/>
      <family val="2"/>
    </font>
    <font>
      <b/>
      <sz val="10"/>
      <color indexed="57"/>
      <name val="Verdana"/>
      <family val="2"/>
    </font>
    <font>
      <b/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 horizontal="left"/>
      <protection/>
    </xf>
    <xf numFmtId="0" fontId="0" fillId="5" borderId="0" xfId="0" applyFill="1" applyAlignment="1" applyProtection="1">
      <alignment horizontal="left"/>
      <protection/>
    </xf>
    <xf numFmtId="0" fontId="0" fillId="6" borderId="0" xfId="0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6" borderId="1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8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11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11" borderId="0" xfId="0" applyFont="1" applyFill="1" applyAlignment="1" applyProtection="1">
      <alignment horizontal="left"/>
      <protection/>
    </xf>
    <xf numFmtId="0" fontId="5" fillId="11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11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6" fillId="11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11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0" fillId="12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" fillId="8" borderId="5" xfId="0" applyFont="1" applyFill="1" applyBorder="1" applyAlignment="1" applyProtection="1">
      <alignment horizontal="center"/>
      <protection/>
    </xf>
    <xf numFmtId="0" fontId="1" fillId="10" borderId="5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11" borderId="0" xfId="0" applyFont="1" applyFill="1" applyAlignment="1" applyProtection="1">
      <alignment horizontal="left"/>
      <protection/>
    </xf>
    <xf numFmtId="0" fontId="8" fillId="11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 applyProtection="1">
      <alignment horizontal="left"/>
      <protection/>
    </xf>
    <xf numFmtId="0" fontId="0" fillId="9" borderId="0" xfId="0" applyFont="1" applyFill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10" borderId="1" xfId="0" applyFont="1" applyFill="1" applyBorder="1" applyAlignment="1" applyProtection="1">
      <alignment horizontal="center"/>
      <protection/>
    </xf>
    <xf numFmtId="0" fontId="1" fillId="7" borderId="5" xfId="0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12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13" borderId="0" xfId="0" applyFont="1" applyFill="1" applyAlignment="1" applyProtection="1">
      <alignment/>
      <protection/>
    </xf>
    <xf numFmtId="0" fontId="1" fillId="13" borderId="0" xfId="0" applyFont="1" applyFill="1" applyAlignment="1" applyProtection="1">
      <alignment horizontal="center"/>
      <protection/>
    </xf>
    <xf numFmtId="0" fontId="1" fillId="13" borderId="0" xfId="0" applyFont="1" applyFill="1" applyAlignment="1" applyProtection="1">
      <alignment horizontal="left"/>
      <protection/>
    </xf>
    <xf numFmtId="0" fontId="0" fillId="10" borderId="0" xfId="0" applyFill="1" applyAlignment="1" applyProtection="1">
      <alignment/>
      <protection/>
    </xf>
    <xf numFmtId="0" fontId="0" fillId="10" borderId="0" xfId="0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1" fontId="13" fillId="0" borderId="0" xfId="0" applyNumberFormat="1" applyFont="1" applyAlignment="1" applyProtection="1">
      <alignment/>
      <protection/>
    </xf>
    <xf numFmtId="0" fontId="12" fillId="0" borderId="0" xfId="0" applyFont="1" applyFill="1" applyAlignment="1" applyProtection="1" quotePrefix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 quotePrefix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 horizontal="center"/>
      <protection/>
    </xf>
    <xf numFmtId="1" fontId="15" fillId="0" borderId="0" xfId="0" applyNumberFormat="1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7" fillId="0" borderId="8" xfId="0" applyFont="1" applyFill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/>
      <protection/>
    </xf>
    <xf numFmtId="0" fontId="0" fillId="13" borderId="0" xfId="0" applyFill="1" applyAlignment="1" applyProtection="1">
      <alignment horizontal="center"/>
      <protection/>
    </xf>
    <xf numFmtId="0" fontId="0" fillId="13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2" fontId="0" fillId="0" borderId="0" xfId="0" applyNumberFormat="1" applyFill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workbookViewId="0" topLeftCell="A1">
      <selection activeCell="Y42" sqref="Y42"/>
    </sheetView>
  </sheetViews>
  <sheetFormatPr defaultColWidth="11.421875" defaultRowHeight="12.75"/>
  <cols>
    <col min="1" max="1" width="7.28125" style="0" bestFit="1" customWidth="1"/>
    <col min="2" max="2" width="5.8515625" style="0" bestFit="1" customWidth="1"/>
    <col min="3" max="3" width="6.140625" style="0" bestFit="1" customWidth="1"/>
    <col min="4" max="4" width="6.140625" style="0" customWidth="1"/>
    <col min="5" max="5" width="6.00390625" style="0" bestFit="1" customWidth="1"/>
    <col min="6" max="6" width="6.140625" style="0" bestFit="1" customWidth="1"/>
    <col min="7" max="7" width="6.00390625" style="0" bestFit="1" customWidth="1"/>
    <col min="8" max="8" width="6.00390625" style="0" customWidth="1"/>
    <col min="9" max="9" width="6.140625" style="0" bestFit="1" customWidth="1"/>
    <col min="10" max="10" width="6.00390625" style="0" customWidth="1"/>
    <col min="11" max="12" width="6.00390625" style="0" bestFit="1" customWidth="1"/>
    <col min="13" max="13" width="6.140625" style="0" bestFit="1" customWidth="1"/>
    <col min="14" max="17" width="6.00390625" style="0" bestFit="1" customWidth="1"/>
    <col min="18" max="18" width="5.421875" style="0" customWidth="1"/>
    <col min="19" max="19" width="2.28125" style="0" hidden="1" customWidth="1"/>
    <col min="20" max="20" width="5.8515625" style="0" hidden="1" customWidth="1"/>
    <col min="21" max="21" width="52.28125" style="0" hidden="1" customWidth="1"/>
    <col min="22" max="24" width="0" style="0" hidden="1" customWidth="1"/>
    <col min="25" max="29" width="6.140625" style="0" bestFit="1" customWidth="1"/>
    <col min="30" max="30" width="6.00390625" style="0" bestFit="1" customWidth="1"/>
    <col min="31" max="32" width="6.140625" style="0" bestFit="1" customWidth="1"/>
    <col min="33" max="33" width="6.00390625" style="0" bestFit="1" customWidth="1"/>
    <col min="34" max="35" width="6.140625" style="0" bestFit="1" customWidth="1"/>
    <col min="36" max="36" width="6.00390625" style="0" bestFit="1" customWidth="1"/>
    <col min="39" max="39" width="25.421875" style="0" bestFit="1" customWidth="1"/>
    <col min="41" max="41" width="255.57421875" style="0" bestFit="1" customWidth="1"/>
  </cols>
  <sheetData>
    <row r="1" spans="3:34" ht="12.75"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Y1" t="s">
        <v>27</v>
      </c>
      <c r="AB1" t="s">
        <v>24</v>
      </c>
      <c r="AE1" t="s">
        <v>33</v>
      </c>
      <c r="AH1" t="s">
        <v>30</v>
      </c>
    </row>
    <row r="2" spans="1:36" ht="12.75">
      <c r="A2" t="s">
        <v>27</v>
      </c>
      <c r="B2" t="s">
        <v>78</v>
      </c>
      <c r="C2" s="120" t="s">
        <v>99</v>
      </c>
      <c r="D2" s="116" t="s">
        <v>97</v>
      </c>
      <c r="E2" s="116" t="s">
        <v>97</v>
      </c>
      <c r="F2" s="116" t="s">
        <v>97</v>
      </c>
      <c r="G2" s="116" t="s">
        <v>97</v>
      </c>
      <c r="H2" s="116" t="s">
        <v>97</v>
      </c>
      <c r="I2" s="120" t="s">
        <v>99</v>
      </c>
      <c r="J2" s="120" t="s">
        <v>99</v>
      </c>
      <c r="K2" s="116" t="s">
        <v>97</v>
      </c>
      <c r="L2" s="116" t="s">
        <v>97</v>
      </c>
      <c r="M2" s="120" t="s">
        <v>99</v>
      </c>
      <c r="N2" s="120" t="s">
        <v>99</v>
      </c>
      <c r="O2" s="116" t="s">
        <v>98</v>
      </c>
      <c r="P2" s="116" t="s">
        <v>99</v>
      </c>
      <c r="Q2" s="120" t="s">
        <v>99</v>
      </c>
      <c r="S2" t="s">
        <v>97</v>
      </c>
      <c r="T2" t="s">
        <v>104</v>
      </c>
      <c r="U2" t="s">
        <v>103</v>
      </c>
      <c r="Y2" t="s">
        <v>97</v>
      </c>
      <c r="Z2" t="s">
        <v>98</v>
      </c>
      <c r="AA2" t="s">
        <v>99</v>
      </c>
      <c r="AB2" t="s">
        <v>98</v>
      </c>
      <c r="AC2" t="s">
        <v>99</v>
      </c>
      <c r="AD2" t="s">
        <v>100</v>
      </c>
      <c r="AE2" t="s">
        <v>101</v>
      </c>
      <c r="AF2" t="s">
        <v>100</v>
      </c>
      <c r="AG2" t="s">
        <v>102</v>
      </c>
      <c r="AH2" t="s">
        <v>97</v>
      </c>
      <c r="AI2" t="s">
        <v>101</v>
      </c>
      <c r="AJ2" t="s">
        <v>102</v>
      </c>
    </row>
    <row r="3" spans="1:36" ht="12.75">
      <c r="A3" t="s">
        <v>25</v>
      </c>
      <c r="B3" t="s">
        <v>31</v>
      </c>
      <c r="C3" s="116"/>
      <c r="D3" s="116"/>
      <c r="E3" s="116"/>
      <c r="F3" s="116"/>
      <c r="G3" s="116"/>
      <c r="H3" s="116"/>
      <c r="S3" t="s">
        <v>98</v>
      </c>
      <c r="T3" t="s">
        <v>105</v>
      </c>
      <c r="U3" t="s">
        <v>106</v>
      </c>
      <c r="Y3" t="s">
        <v>83</v>
      </c>
      <c r="Z3" t="s">
        <v>94</v>
      </c>
      <c r="AA3" s="121" t="s">
        <v>82</v>
      </c>
      <c r="AB3" s="121" t="s">
        <v>82</v>
      </c>
      <c r="AC3" t="s">
        <v>85</v>
      </c>
      <c r="AD3" t="s">
        <v>87</v>
      </c>
      <c r="AE3" t="s">
        <v>82</v>
      </c>
      <c r="AF3" t="s">
        <v>83</v>
      </c>
      <c r="AG3" s="121" t="s">
        <v>84</v>
      </c>
      <c r="AH3" t="s">
        <v>82</v>
      </c>
      <c r="AI3" t="s">
        <v>83</v>
      </c>
      <c r="AJ3" t="s">
        <v>90</v>
      </c>
    </row>
    <row r="4" spans="1:36" ht="12.75">
      <c r="A4" t="s">
        <v>36</v>
      </c>
      <c r="B4" t="s">
        <v>34</v>
      </c>
      <c r="C4" s="116"/>
      <c r="D4" s="116"/>
      <c r="E4" s="116"/>
      <c r="F4" s="116"/>
      <c r="G4" s="116"/>
      <c r="H4" s="116"/>
      <c r="S4" t="s">
        <v>99</v>
      </c>
      <c r="T4" t="s">
        <v>104</v>
      </c>
      <c r="U4" t="s">
        <v>95</v>
      </c>
      <c r="Y4" t="s">
        <v>84</v>
      </c>
      <c r="Z4" s="121"/>
      <c r="AA4" s="121" t="s">
        <v>88</v>
      </c>
      <c r="AB4" t="s">
        <v>83</v>
      </c>
      <c r="AC4" t="s">
        <v>86</v>
      </c>
      <c r="AD4" t="s">
        <v>94</v>
      </c>
      <c r="AE4" s="121"/>
      <c r="AF4" t="s">
        <v>85</v>
      </c>
      <c r="AG4" s="121" t="s">
        <v>86</v>
      </c>
      <c r="AH4" t="s">
        <v>88</v>
      </c>
      <c r="AI4" s="121" t="s">
        <v>84</v>
      </c>
      <c r="AJ4" t="s">
        <v>91</v>
      </c>
    </row>
    <row r="5" spans="1:36" ht="12.75">
      <c r="A5" t="s">
        <v>39</v>
      </c>
      <c r="B5" t="s">
        <v>37</v>
      </c>
      <c r="C5" s="116"/>
      <c r="D5" s="116"/>
      <c r="E5" s="116"/>
      <c r="F5" s="116"/>
      <c r="G5" s="116"/>
      <c r="H5" s="116"/>
      <c r="Y5" t="s">
        <v>85</v>
      </c>
      <c r="Z5" s="121"/>
      <c r="AA5" s="121" t="s">
        <v>89</v>
      </c>
      <c r="AB5" t="s">
        <v>84</v>
      </c>
      <c r="AC5" t="s">
        <v>91</v>
      </c>
      <c r="AD5" t="s">
        <v>95</v>
      </c>
      <c r="AE5" s="121"/>
      <c r="AF5" t="s">
        <v>88</v>
      </c>
      <c r="AG5" s="121" t="s">
        <v>87</v>
      </c>
      <c r="AH5" t="s">
        <v>89</v>
      </c>
      <c r="AI5" t="s">
        <v>85</v>
      </c>
      <c r="AJ5" t="s">
        <v>96</v>
      </c>
    </row>
    <row r="6" spans="1:35" ht="12.75">
      <c r="A6" t="s">
        <v>24</v>
      </c>
      <c r="B6" t="s">
        <v>79</v>
      </c>
      <c r="C6" s="120" t="s">
        <v>98</v>
      </c>
      <c r="D6" s="116" t="s">
        <v>98</v>
      </c>
      <c r="E6" s="116" t="s">
        <v>98</v>
      </c>
      <c r="F6" s="116" t="s">
        <v>99</v>
      </c>
      <c r="G6" s="116" t="s">
        <v>99</v>
      </c>
      <c r="H6" s="116" t="s">
        <v>100</v>
      </c>
      <c r="I6" s="120" t="s">
        <v>98</v>
      </c>
      <c r="J6" s="120" t="s">
        <v>98</v>
      </c>
      <c r="K6" s="116" t="s">
        <v>98</v>
      </c>
      <c r="L6" s="116" t="s">
        <v>99</v>
      </c>
      <c r="M6" s="120" t="s">
        <v>98</v>
      </c>
      <c r="N6" s="120" t="s">
        <v>98</v>
      </c>
      <c r="O6" s="116" t="s">
        <v>100</v>
      </c>
      <c r="P6" s="116" t="s">
        <v>100</v>
      </c>
      <c r="Q6" s="120" t="s">
        <v>98</v>
      </c>
      <c r="S6" t="s">
        <v>98</v>
      </c>
      <c r="T6" t="s">
        <v>104</v>
      </c>
      <c r="U6" t="s">
        <v>107</v>
      </c>
      <c r="Y6" t="s">
        <v>86</v>
      </c>
      <c r="Z6" s="121"/>
      <c r="AA6" s="121" t="s">
        <v>92</v>
      </c>
      <c r="AB6" s="121" t="s">
        <v>88</v>
      </c>
      <c r="AC6" s="121"/>
      <c r="AE6" s="121"/>
      <c r="AF6" t="s">
        <v>90</v>
      </c>
      <c r="AG6" t="s">
        <v>89</v>
      </c>
      <c r="AI6" s="121" t="s">
        <v>86</v>
      </c>
    </row>
    <row r="7" spans="1:35" ht="12.75">
      <c r="A7" t="s">
        <v>28</v>
      </c>
      <c r="B7" t="s">
        <v>40</v>
      </c>
      <c r="C7" s="116"/>
      <c r="D7" s="116"/>
      <c r="E7" s="116"/>
      <c r="F7" s="116"/>
      <c r="G7" s="116"/>
      <c r="H7" s="116"/>
      <c r="S7" t="s">
        <v>99</v>
      </c>
      <c r="T7" t="s">
        <v>104</v>
      </c>
      <c r="U7" t="s">
        <v>108</v>
      </c>
      <c r="Y7" t="s">
        <v>87</v>
      </c>
      <c r="Z7" s="121"/>
      <c r="AA7" s="121" t="s">
        <v>93</v>
      </c>
      <c r="AB7" s="121" t="s">
        <v>89</v>
      </c>
      <c r="AC7" s="121"/>
      <c r="AE7" s="121"/>
      <c r="AF7" t="s">
        <v>91</v>
      </c>
      <c r="AG7" s="121" t="s">
        <v>93</v>
      </c>
      <c r="AI7" s="121" t="s">
        <v>87</v>
      </c>
    </row>
    <row r="8" spans="1:36" ht="12.75">
      <c r="A8" t="s">
        <v>33</v>
      </c>
      <c r="B8" t="s">
        <v>80</v>
      </c>
      <c r="C8" s="116" t="s">
        <v>101</v>
      </c>
      <c r="D8" s="116" t="s">
        <v>100</v>
      </c>
      <c r="E8" s="120" t="s">
        <v>102</v>
      </c>
      <c r="F8" s="116" t="s">
        <v>100</v>
      </c>
      <c r="G8" s="120" t="s">
        <v>102</v>
      </c>
      <c r="H8" s="120" t="s">
        <v>102</v>
      </c>
      <c r="I8" s="116" t="s">
        <v>100</v>
      </c>
      <c r="J8" s="116" t="s">
        <v>102</v>
      </c>
      <c r="K8" s="116" t="s">
        <v>100</v>
      </c>
      <c r="L8" s="116" t="s">
        <v>100</v>
      </c>
      <c r="M8" s="116" t="s">
        <v>100</v>
      </c>
      <c r="N8" s="120" t="s">
        <v>102</v>
      </c>
      <c r="O8" s="120" t="s">
        <v>102</v>
      </c>
      <c r="P8" s="120" t="s">
        <v>102</v>
      </c>
      <c r="Q8" s="116" t="s">
        <v>100</v>
      </c>
      <c r="S8" t="s">
        <v>100</v>
      </c>
      <c r="T8" t="s">
        <v>104</v>
      </c>
      <c r="U8" t="s">
        <v>109</v>
      </c>
      <c r="Y8" t="s">
        <v>90</v>
      </c>
      <c r="AA8" t="s">
        <v>95</v>
      </c>
      <c r="AB8" t="s">
        <v>90</v>
      </c>
      <c r="AE8" s="121"/>
      <c r="AF8" t="s">
        <v>92</v>
      </c>
      <c r="AG8" s="121" t="s">
        <v>94</v>
      </c>
      <c r="AI8" t="s">
        <v>92</v>
      </c>
      <c r="AJ8" s="121"/>
    </row>
    <row r="9" spans="1:36" ht="12.75">
      <c r="A9" t="s">
        <v>30</v>
      </c>
      <c r="B9" t="s">
        <v>81</v>
      </c>
      <c r="C9" s="116" t="s">
        <v>97</v>
      </c>
      <c r="D9" s="116" t="s">
        <v>101</v>
      </c>
      <c r="E9" s="120" t="s">
        <v>101</v>
      </c>
      <c r="F9" s="116" t="s">
        <v>101</v>
      </c>
      <c r="G9" s="120" t="s">
        <v>101</v>
      </c>
      <c r="H9" s="120" t="s">
        <v>101</v>
      </c>
      <c r="I9" s="116" t="s">
        <v>97</v>
      </c>
      <c r="J9" s="116" t="s">
        <v>97</v>
      </c>
      <c r="K9" s="116" t="s">
        <v>102</v>
      </c>
      <c r="L9" s="116" t="s">
        <v>102</v>
      </c>
      <c r="M9" s="116" t="s">
        <v>101</v>
      </c>
      <c r="N9" s="120" t="s">
        <v>101</v>
      </c>
      <c r="O9" s="120" t="s">
        <v>101</v>
      </c>
      <c r="P9" s="120" t="s">
        <v>101</v>
      </c>
      <c r="Q9" s="116" t="s">
        <v>102</v>
      </c>
      <c r="Y9" t="s">
        <v>91</v>
      </c>
      <c r="Z9" s="121"/>
      <c r="AA9" s="121" t="s">
        <v>96</v>
      </c>
      <c r="AB9" s="121" t="s">
        <v>92</v>
      </c>
      <c r="AC9" s="121"/>
      <c r="AE9" s="121"/>
      <c r="AF9" t="s">
        <v>96</v>
      </c>
      <c r="AG9" s="121" t="s">
        <v>95</v>
      </c>
      <c r="AI9" s="121" t="s">
        <v>93</v>
      </c>
      <c r="AJ9" s="121"/>
    </row>
    <row r="10" spans="19:36" ht="12.75">
      <c r="S10" t="s">
        <v>101</v>
      </c>
      <c r="T10" t="s">
        <v>104</v>
      </c>
      <c r="U10" t="s">
        <v>110</v>
      </c>
      <c r="AB10" s="121" t="s">
        <v>93</v>
      </c>
      <c r="AC10" s="121"/>
      <c r="AG10" s="121"/>
      <c r="AI10" s="121" t="s">
        <v>94</v>
      </c>
      <c r="AJ10" s="121"/>
    </row>
    <row r="11" spans="19:35" ht="12.75">
      <c r="S11" t="s">
        <v>100</v>
      </c>
      <c r="T11" t="s">
        <v>104</v>
      </c>
      <c r="U11" t="s">
        <v>111</v>
      </c>
      <c r="AB11" s="121" t="s">
        <v>96</v>
      </c>
      <c r="AC11" s="121"/>
      <c r="AG11" s="121"/>
      <c r="AI11" s="121" t="s">
        <v>95</v>
      </c>
    </row>
    <row r="12" spans="1:35" ht="12.75">
      <c r="A12" t="s">
        <v>115</v>
      </c>
      <c r="S12" t="s">
        <v>102</v>
      </c>
      <c r="T12" t="s">
        <v>104</v>
      </c>
      <c r="U12" t="s">
        <v>89</v>
      </c>
      <c r="AI12" s="121"/>
    </row>
    <row r="13" spans="3:17" ht="12.75">
      <c r="C13" t="s">
        <v>82</v>
      </c>
      <c r="D13" t="s">
        <v>83</v>
      </c>
      <c r="E13" t="s">
        <v>84</v>
      </c>
      <c r="F13" t="s">
        <v>85</v>
      </c>
      <c r="G13" t="s">
        <v>86</v>
      </c>
      <c r="H13" t="s">
        <v>87</v>
      </c>
      <c r="I13" t="s">
        <v>88</v>
      </c>
      <c r="J13" t="s">
        <v>89</v>
      </c>
      <c r="K13" t="s">
        <v>90</v>
      </c>
      <c r="L13" t="s">
        <v>91</v>
      </c>
      <c r="M13" t="s">
        <v>92</v>
      </c>
      <c r="N13" t="s">
        <v>93</v>
      </c>
      <c r="O13" t="s">
        <v>94</v>
      </c>
      <c r="P13" t="s">
        <v>95</v>
      </c>
      <c r="Q13" t="s">
        <v>96</v>
      </c>
    </row>
    <row r="14" spans="1:21" ht="12.75">
      <c r="A14" t="s">
        <v>27</v>
      </c>
      <c r="B14" t="s">
        <v>78</v>
      </c>
      <c r="C14" s="116" t="str">
        <f aca="true" t="shared" si="0" ref="C14:Q14">IF(COUNTIF($Y$3:$Y$11,C$13)&gt;0,$Y$2,IF(COUNTIF($Z$3:$Z$11,C$13)&gt;0,$Z$2,IF(COUNTIF($AA$3:$AA$11,C$13)&gt;0,$AA$2,CONCATENATE("??? ",C$13))))</f>
        <v>D</v>
      </c>
      <c r="D14" s="116" t="str">
        <f t="shared" si="0"/>
        <v>A</v>
      </c>
      <c r="E14" s="116" t="str">
        <f t="shared" si="0"/>
        <v>A</v>
      </c>
      <c r="F14" s="116" t="str">
        <f t="shared" si="0"/>
        <v>A</v>
      </c>
      <c r="G14" s="116" t="str">
        <f t="shared" si="0"/>
        <v>A</v>
      </c>
      <c r="H14" s="116" t="str">
        <f t="shared" si="0"/>
        <v>A</v>
      </c>
      <c r="I14" s="116" t="str">
        <f t="shared" si="0"/>
        <v>D</v>
      </c>
      <c r="J14" s="116" t="str">
        <f t="shared" si="0"/>
        <v>D</v>
      </c>
      <c r="K14" s="116" t="str">
        <f t="shared" si="0"/>
        <v>A</v>
      </c>
      <c r="L14" s="116" t="str">
        <f t="shared" si="0"/>
        <v>A</v>
      </c>
      <c r="M14" s="116" t="str">
        <f t="shared" si="0"/>
        <v>D</v>
      </c>
      <c r="N14" s="116" t="str">
        <f t="shared" si="0"/>
        <v>D</v>
      </c>
      <c r="O14" s="116" t="str">
        <f t="shared" si="0"/>
        <v>C</v>
      </c>
      <c r="P14" s="116" t="str">
        <f t="shared" si="0"/>
        <v>D</v>
      </c>
      <c r="Q14" s="116" t="str">
        <f t="shared" si="0"/>
        <v>D</v>
      </c>
      <c r="S14" t="s">
        <v>97</v>
      </c>
      <c r="T14" t="s">
        <v>104</v>
      </c>
      <c r="U14" t="s">
        <v>112</v>
      </c>
    </row>
    <row r="15" spans="1:21" ht="12.75">
      <c r="A15" t="s">
        <v>25</v>
      </c>
      <c r="B15" t="s">
        <v>31</v>
      </c>
      <c r="C15" s="116"/>
      <c r="D15" s="116"/>
      <c r="E15" s="116"/>
      <c r="F15" s="116"/>
      <c r="G15" s="116"/>
      <c r="H15" s="116"/>
      <c r="S15" t="s">
        <v>101</v>
      </c>
      <c r="T15" t="s">
        <v>104</v>
      </c>
      <c r="U15" t="s">
        <v>113</v>
      </c>
    </row>
    <row r="16" spans="1:21" ht="12.75">
      <c r="A16" t="s">
        <v>36</v>
      </c>
      <c r="B16" t="s">
        <v>34</v>
      </c>
      <c r="C16" s="116"/>
      <c r="D16" s="116"/>
      <c r="E16" s="116"/>
      <c r="F16" s="116"/>
      <c r="G16" s="116"/>
      <c r="H16" s="116"/>
      <c r="S16" t="s">
        <v>102</v>
      </c>
      <c r="T16" t="s">
        <v>104</v>
      </c>
      <c r="U16" t="s">
        <v>114</v>
      </c>
    </row>
    <row r="17" spans="1:8" ht="12.75">
      <c r="A17" t="s">
        <v>39</v>
      </c>
      <c r="B17" t="s">
        <v>37</v>
      </c>
      <c r="C17" s="116"/>
      <c r="D17" s="116"/>
      <c r="E17" s="116"/>
      <c r="F17" s="116"/>
      <c r="G17" s="116"/>
      <c r="H17" s="116"/>
    </row>
    <row r="18" spans="1:17" ht="12.75">
      <c r="A18" t="s">
        <v>24</v>
      </c>
      <c r="B18" t="s">
        <v>79</v>
      </c>
      <c r="C18" s="116" t="str">
        <f aca="true" t="shared" si="1" ref="C18:Q18">IF(COUNTIF($AB$3:$AB$11,C$13)&gt;0,$AB$2,IF(COUNTIF($AC$3:$AC$11,C$13)&gt;0,$AC$2,IF(COUNTIF($AD$3:$AD$11,C$13)&gt;0,$AD$2,CONCATENATE("??? ",C$13))))</f>
        <v>C</v>
      </c>
      <c r="D18" s="116" t="str">
        <f t="shared" si="1"/>
        <v>C</v>
      </c>
      <c r="E18" s="116" t="str">
        <f t="shared" si="1"/>
        <v>C</v>
      </c>
      <c r="F18" s="116" t="str">
        <f t="shared" si="1"/>
        <v>D</v>
      </c>
      <c r="G18" s="116" t="str">
        <f t="shared" si="1"/>
        <v>D</v>
      </c>
      <c r="H18" s="116" t="str">
        <f t="shared" si="1"/>
        <v>E</v>
      </c>
      <c r="I18" s="116" t="str">
        <f t="shared" si="1"/>
        <v>C</v>
      </c>
      <c r="J18" s="116" t="str">
        <f t="shared" si="1"/>
        <v>C</v>
      </c>
      <c r="K18" s="116" t="str">
        <f t="shared" si="1"/>
        <v>C</v>
      </c>
      <c r="L18" s="116" t="str">
        <f t="shared" si="1"/>
        <v>D</v>
      </c>
      <c r="M18" s="116" t="str">
        <f t="shared" si="1"/>
        <v>C</v>
      </c>
      <c r="N18" s="116" t="str">
        <f t="shared" si="1"/>
        <v>C</v>
      </c>
      <c r="O18" s="116" t="str">
        <f t="shared" si="1"/>
        <v>E</v>
      </c>
      <c r="P18" s="116" t="str">
        <f t="shared" si="1"/>
        <v>E</v>
      </c>
      <c r="Q18" s="116" t="str">
        <f t="shared" si="1"/>
        <v>C</v>
      </c>
    </row>
    <row r="19" spans="1:8" ht="12.75">
      <c r="A19" t="s">
        <v>28</v>
      </c>
      <c r="B19" t="s">
        <v>40</v>
      </c>
      <c r="C19" s="116"/>
      <c r="D19" s="116"/>
      <c r="E19" s="116"/>
      <c r="F19" s="116"/>
      <c r="G19" s="116"/>
      <c r="H19" s="116"/>
    </row>
    <row r="20" spans="1:17" ht="12.75">
      <c r="A20" t="s">
        <v>33</v>
      </c>
      <c r="B20" t="s">
        <v>80</v>
      </c>
      <c r="C20" s="116" t="str">
        <f aca="true" t="shared" si="2" ref="C20:Q20">IF(COUNTIF($AE$3:$AE$11,C$13)&gt;0,$AE$2,IF(COUNTIF($AF$3:$AF$11,C$13)&gt;0,$AF$2,IF(COUNTIF($AG$3:$AG$11,C$13)&gt;0,$AG$2,CONCATENATE("??? ",C$13))))</f>
        <v>B</v>
      </c>
      <c r="D20" s="116" t="str">
        <f t="shared" si="2"/>
        <v>E</v>
      </c>
      <c r="E20" s="116" t="str">
        <f t="shared" si="2"/>
        <v>F</v>
      </c>
      <c r="F20" s="116" t="str">
        <f t="shared" si="2"/>
        <v>E</v>
      </c>
      <c r="G20" s="116" t="str">
        <f t="shared" si="2"/>
        <v>F</v>
      </c>
      <c r="H20" s="116" t="str">
        <f t="shared" si="2"/>
        <v>F</v>
      </c>
      <c r="I20" s="116" t="str">
        <f t="shared" si="2"/>
        <v>E</v>
      </c>
      <c r="J20" s="116" t="str">
        <f t="shared" si="2"/>
        <v>F</v>
      </c>
      <c r="K20" s="116" t="str">
        <f t="shared" si="2"/>
        <v>E</v>
      </c>
      <c r="L20" s="116" t="str">
        <f t="shared" si="2"/>
        <v>E</v>
      </c>
      <c r="M20" s="116" t="str">
        <f t="shared" si="2"/>
        <v>E</v>
      </c>
      <c r="N20" s="116" t="str">
        <f t="shared" si="2"/>
        <v>F</v>
      </c>
      <c r="O20" s="116" t="str">
        <f t="shared" si="2"/>
        <v>F</v>
      </c>
      <c r="P20" s="116" t="str">
        <f t="shared" si="2"/>
        <v>F</v>
      </c>
      <c r="Q20" s="116" t="str">
        <f t="shared" si="2"/>
        <v>E</v>
      </c>
    </row>
    <row r="21" spans="1:17" ht="12.75">
      <c r="A21" t="s">
        <v>30</v>
      </c>
      <c r="B21" t="s">
        <v>81</v>
      </c>
      <c r="C21" s="116" t="str">
        <f aca="true" t="shared" si="3" ref="C21:Q21">IF(COUNTIF($AH$3:$AH$11,C$13)&gt;0,$AH$2,IF(COUNTIF($AI$3:$AI$11,C$13)&gt;0,$AI$2,IF(COUNTIF($AJ$3:$AJ$11,C$13)&gt;0,$AJ$2,CONCATENATE("??? ",C$13))))</f>
        <v>A</v>
      </c>
      <c r="D21" s="116" t="str">
        <f t="shared" si="3"/>
        <v>B</v>
      </c>
      <c r="E21" s="116" t="str">
        <f t="shared" si="3"/>
        <v>B</v>
      </c>
      <c r="F21" s="116" t="str">
        <f t="shared" si="3"/>
        <v>B</v>
      </c>
      <c r="G21" s="116" t="str">
        <f t="shared" si="3"/>
        <v>B</v>
      </c>
      <c r="H21" s="116" t="str">
        <f t="shared" si="3"/>
        <v>B</v>
      </c>
      <c r="I21" s="116" t="str">
        <f t="shared" si="3"/>
        <v>A</v>
      </c>
      <c r="J21" s="116" t="str">
        <f t="shared" si="3"/>
        <v>A</v>
      </c>
      <c r="K21" s="116" t="str">
        <f t="shared" si="3"/>
        <v>F</v>
      </c>
      <c r="L21" s="116" t="str">
        <f t="shared" si="3"/>
        <v>F</v>
      </c>
      <c r="M21" s="116" t="str">
        <f t="shared" si="3"/>
        <v>B</v>
      </c>
      <c r="N21" s="116" t="str">
        <f t="shared" si="3"/>
        <v>B</v>
      </c>
      <c r="O21" s="116" t="str">
        <f t="shared" si="3"/>
        <v>B</v>
      </c>
      <c r="P21" s="116" t="str">
        <f t="shared" si="3"/>
        <v>B</v>
      </c>
      <c r="Q21" s="116" t="str">
        <f t="shared" si="3"/>
        <v>F</v>
      </c>
    </row>
    <row r="24" s="154" customFormat="1" ht="20.25">
      <c r="A24" s="154" t="s">
        <v>132</v>
      </c>
    </row>
    <row r="25" s="154" customFormat="1" ht="20.25">
      <c r="A25" s="154" t="s">
        <v>133</v>
      </c>
    </row>
    <row r="26" s="154" customFormat="1" ht="20.25">
      <c r="A26" s="154" t="s">
        <v>134</v>
      </c>
    </row>
    <row r="28" spans="3:34" ht="12.75">
      <c r="C28" t="s">
        <v>82</v>
      </c>
      <c r="D28" t="s">
        <v>83</v>
      </c>
      <c r="E28" t="s">
        <v>84</v>
      </c>
      <c r="F28" t="s">
        <v>85</v>
      </c>
      <c r="G28" t="s">
        <v>86</v>
      </c>
      <c r="H28" t="s">
        <v>87</v>
      </c>
      <c r="I28" t="s">
        <v>88</v>
      </c>
      <c r="J28" t="s">
        <v>89</v>
      </c>
      <c r="K28" t="s">
        <v>90</v>
      </c>
      <c r="L28" t="s">
        <v>91</v>
      </c>
      <c r="M28" t="s">
        <v>92</v>
      </c>
      <c r="N28" t="s">
        <v>93</v>
      </c>
      <c r="O28" t="s">
        <v>94</v>
      </c>
      <c r="P28" t="s">
        <v>95</v>
      </c>
      <c r="Q28" t="s">
        <v>96</v>
      </c>
      <c r="Y28" t="s">
        <v>27</v>
      </c>
      <c r="AB28" t="s">
        <v>24</v>
      </c>
      <c r="AE28" t="s">
        <v>33</v>
      </c>
      <c r="AH28" t="s">
        <v>30</v>
      </c>
    </row>
    <row r="29" spans="1:36" ht="12.75">
      <c r="A29" t="s">
        <v>27</v>
      </c>
      <c r="B29" t="s">
        <v>78</v>
      </c>
      <c r="C29" s="120" t="s">
        <v>98</v>
      </c>
      <c r="D29" s="116" t="s">
        <v>97</v>
      </c>
      <c r="E29" s="116" t="s">
        <v>97</v>
      </c>
      <c r="F29" s="116" t="s">
        <v>97</v>
      </c>
      <c r="G29" s="116" t="s">
        <v>97</v>
      </c>
      <c r="H29" s="116" t="s">
        <v>97</v>
      </c>
      <c r="I29" s="120" t="s">
        <v>98</v>
      </c>
      <c r="J29" s="120" t="s">
        <v>98</v>
      </c>
      <c r="K29" s="116" t="s">
        <v>97</v>
      </c>
      <c r="L29" s="116" t="s">
        <v>97</v>
      </c>
      <c r="M29" s="120" t="s">
        <v>98</v>
      </c>
      <c r="N29" s="120" t="s">
        <v>98</v>
      </c>
      <c r="O29" s="116" t="s">
        <v>98</v>
      </c>
      <c r="P29" s="116" t="s">
        <v>99</v>
      </c>
      <c r="Q29" s="120" t="s">
        <v>98</v>
      </c>
      <c r="S29" t="s">
        <v>97</v>
      </c>
      <c r="T29" t="s">
        <v>104</v>
      </c>
      <c r="U29" t="s">
        <v>103</v>
      </c>
      <c r="Y29" t="s">
        <v>97</v>
      </c>
      <c r="Z29" t="s">
        <v>98</v>
      </c>
      <c r="AA29" t="s">
        <v>99</v>
      </c>
      <c r="AB29" t="s">
        <v>98</v>
      </c>
      <c r="AC29" t="s">
        <v>99</v>
      </c>
      <c r="AD29" t="s">
        <v>100</v>
      </c>
      <c r="AE29" t="s">
        <v>101</v>
      </c>
      <c r="AF29" t="s">
        <v>100</v>
      </c>
      <c r="AG29" t="s">
        <v>102</v>
      </c>
      <c r="AH29" t="s">
        <v>97</v>
      </c>
      <c r="AI29" t="s">
        <v>101</v>
      </c>
      <c r="AJ29" t="s">
        <v>102</v>
      </c>
    </row>
    <row r="30" spans="1:36" ht="12.75">
      <c r="A30" t="s">
        <v>25</v>
      </c>
      <c r="B30" t="s">
        <v>31</v>
      </c>
      <c r="C30" s="116"/>
      <c r="D30" s="116"/>
      <c r="E30" s="116"/>
      <c r="F30" s="116"/>
      <c r="G30" s="116"/>
      <c r="H30" s="116"/>
      <c r="S30" t="s">
        <v>98</v>
      </c>
      <c r="T30" t="s">
        <v>105</v>
      </c>
      <c r="U30" t="s">
        <v>106</v>
      </c>
      <c r="Y30" t="s">
        <v>83</v>
      </c>
      <c r="Z30" t="s">
        <v>82</v>
      </c>
      <c r="AA30" t="s">
        <v>95</v>
      </c>
      <c r="AB30" t="s">
        <v>83</v>
      </c>
      <c r="AC30" t="s">
        <v>82</v>
      </c>
      <c r="AD30" t="s">
        <v>87</v>
      </c>
      <c r="AE30" t="s">
        <v>82</v>
      </c>
      <c r="AF30" t="s">
        <v>83</v>
      </c>
      <c r="AG30" t="s">
        <v>89</v>
      </c>
      <c r="AH30" t="s">
        <v>82</v>
      </c>
      <c r="AI30" t="s">
        <v>83</v>
      </c>
      <c r="AJ30" t="s">
        <v>84</v>
      </c>
    </row>
    <row r="31" spans="1:36" ht="12.75">
      <c r="A31" t="s">
        <v>36</v>
      </c>
      <c r="B31" t="s">
        <v>34</v>
      </c>
      <c r="C31" s="116"/>
      <c r="D31" s="116"/>
      <c r="E31" s="116"/>
      <c r="F31" s="116"/>
      <c r="G31" s="116"/>
      <c r="H31" s="116"/>
      <c r="S31" t="s">
        <v>99</v>
      </c>
      <c r="T31" t="s">
        <v>104</v>
      </c>
      <c r="U31" t="s">
        <v>95</v>
      </c>
      <c r="Y31" t="s">
        <v>84</v>
      </c>
      <c r="Z31" t="s">
        <v>88</v>
      </c>
      <c r="AB31" t="s">
        <v>84</v>
      </c>
      <c r="AC31" t="s">
        <v>85</v>
      </c>
      <c r="AD31" t="s">
        <v>94</v>
      </c>
      <c r="AE31" t="s">
        <v>84</v>
      </c>
      <c r="AF31" t="s">
        <v>85</v>
      </c>
      <c r="AH31" t="s">
        <v>88</v>
      </c>
      <c r="AI31" t="s">
        <v>85</v>
      </c>
      <c r="AJ31" t="s">
        <v>86</v>
      </c>
    </row>
    <row r="32" spans="1:36" ht="12.75">
      <c r="A32" t="s">
        <v>39</v>
      </c>
      <c r="B32" t="s">
        <v>37</v>
      </c>
      <c r="C32" s="116"/>
      <c r="D32" s="116"/>
      <c r="E32" s="116"/>
      <c r="F32" s="116"/>
      <c r="G32" s="116"/>
      <c r="H32" s="116"/>
      <c r="Y32" t="s">
        <v>85</v>
      </c>
      <c r="Z32" t="s">
        <v>89</v>
      </c>
      <c r="AB32" t="s">
        <v>90</v>
      </c>
      <c r="AC32" t="s">
        <v>86</v>
      </c>
      <c r="AD32" t="s">
        <v>95</v>
      </c>
      <c r="AE32" t="s">
        <v>86</v>
      </c>
      <c r="AF32" t="s">
        <v>88</v>
      </c>
      <c r="AH32" t="s">
        <v>89</v>
      </c>
      <c r="AI32" t="s">
        <v>92</v>
      </c>
      <c r="AJ32" t="s">
        <v>87</v>
      </c>
    </row>
    <row r="33" spans="1:36" ht="12.75">
      <c r="A33" t="s">
        <v>24</v>
      </c>
      <c r="B33" t="s">
        <v>79</v>
      </c>
      <c r="C33" s="120" t="s">
        <v>99</v>
      </c>
      <c r="D33" s="116" t="s">
        <v>98</v>
      </c>
      <c r="E33" s="116" t="s">
        <v>98</v>
      </c>
      <c r="F33" s="116" t="s">
        <v>99</v>
      </c>
      <c r="G33" s="116" t="s">
        <v>99</v>
      </c>
      <c r="H33" s="116" t="s">
        <v>100</v>
      </c>
      <c r="I33" s="120" t="s">
        <v>99</v>
      </c>
      <c r="J33" s="120" t="s">
        <v>99</v>
      </c>
      <c r="K33" s="116" t="s">
        <v>98</v>
      </c>
      <c r="L33" s="116" t="s">
        <v>99</v>
      </c>
      <c r="M33" s="120" t="s">
        <v>99</v>
      </c>
      <c r="N33" s="120" t="s">
        <v>99</v>
      </c>
      <c r="O33" s="116" t="s">
        <v>100</v>
      </c>
      <c r="P33" s="116" t="s">
        <v>100</v>
      </c>
      <c r="Q33" s="120" t="s">
        <v>99</v>
      </c>
      <c r="S33" t="s">
        <v>98</v>
      </c>
      <c r="T33" t="s">
        <v>104</v>
      </c>
      <c r="U33" t="s">
        <v>107</v>
      </c>
      <c r="Y33" t="s">
        <v>86</v>
      </c>
      <c r="Z33" t="s">
        <v>92</v>
      </c>
      <c r="AC33" t="s">
        <v>88</v>
      </c>
      <c r="AE33" t="s">
        <v>87</v>
      </c>
      <c r="AF33" t="s">
        <v>90</v>
      </c>
      <c r="AJ33" t="s">
        <v>90</v>
      </c>
    </row>
    <row r="34" spans="1:36" ht="12.75">
      <c r="A34" t="s">
        <v>28</v>
      </c>
      <c r="B34" t="s">
        <v>40</v>
      </c>
      <c r="C34" s="116"/>
      <c r="D34" s="116"/>
      <c r="E34" s="116"/>
      <c r="F34" s="116"/>
      <c r="G34" s="116"/>
      <c r="H34" s="116"/>
      <c r="S34" t="s">
        <v>99</v>
      </c>
      <c r="T34" t="s">
        <v>104</v>
      </c>
      <c r="U34" t="s">
        <v>108</v>
      </c>
      <c r="Y34" t="s">
        <v>87</v>
      </c>
      <c r="Z34" t="s">
        <v>93</v>
      </c>
      <c r="AC34" t="s">
        <v>89</v>
      </c>
      <c r="AE34" t="s">
        <v>93</v>
      </c>
      <c r="AF34" t="s">
        <v>91</v>
      </c>
      <c r="AJ34" t="s">
        <v>91</v>
      </c>
    </row>
    <row r="35" spans="1:36" ht="12.75">
      <c r="A35" t="s">
        <v>33</v>
      </c>
      <c r="B35" t="s">
        <v>80</v>
      </c>
      <c r="C35" s="116" t="s">
        <v>101</v>
      </c>
      <c r="D35" s="116" t="s">
        <v>100</v>
      </c>
      <c r="E35" s="120" t="s">
        <v>101</v>
      </c>
      <c r="F35" s="116" t="s">
        <v>100</v>
      </c>
      <c r="G35" s="120" t="s">
        <v>101</v>
      </c>
      <c r="H35" s="120" t="s">
        <v>101</v>
      </c>
      <c r="I35" s="116" t="s">
        <v>100</v>
      </c>
      <c r="J35" s="116" t="s">
        <v>102</v>
      </c>
      <c r="K35" s="116" t="s">
        <v>100</v>
      </c>
      <c r="L35" s="116" t="s">
        <v>100</v>
      </c>
      <c r="M35" s="116" t="s">
        <v>100</v>
      </c>
      <c r="N35" s="120" t="s">
        <v>101</v>
      </c>
      <c r="O35" s="120" t="s">
        <v>101</v>
      </c>
      <c r="P35" s="120" t="s">
        <v>101</v>
      </c>
      <c r="Q35" s="116" t="s">
        <v>100</v>
      </c>
      <c r="S35" t="s">
        <v>100</v>
      </c>
      <c r="T35" t="s">
        <v>104</v>
      </c>
      <c r="U35" t="s">
        <v>109</v>
      </c>
      <c r="Y35" t="s">
        <v>90</v>
      </c>
      <c r="Z35" t="s">
        <v>94</v>
      </c>
      <c r="AC35" t="s">
        <v>91</v>
      </c>
      <c r="AE35" t="s">
        <v>94</v>
      </c>
      <c r="AF35" t="s">
        <v>92</v>
      </c>
      <c r="AJ35" t="s">
        <v>93</v>
      </c>
    </row>
    <row r="36" spans="1:36" ht="12.75">
      <c r="A36" t="s">
        <v>30</v>
      </c>
      <c r="B36" t="s">
        <v>81</v>
      </c>
      <c r="C36" s="116" t="s">
        <v>97</v>
      </c>
      <c r="D36" s="116" t="s">
        <v>101</v>
      </c>
      <c r="E36" s="120" t="s">
        <v>102</v>
      </c>
      <c r="F36" s="116" t="s">
        <v>101</v>
      </c>
      <c r="G36" s="120" t="s">
        <v>102</v>
      </c>
      <c r="H36" s="120" t="s">
        <v>102</v>
      </c>
      <c r="I36" s="116" t="s">
        <v>97</v>
      </c>
      <c r="J36" s="116" t="s">
        <v>97</v>
      </c>
      <c r="K36" s="116" t="s">
        <v>102</v>
      </c>
      <c r="L36" s="116" t="s">
        <v>102</v>
      </c>
      <c r="M36" s="116" t="s">
        <v>101</v>
      </c>
      <c r="N36" s="120" t="s">
        <v>102</v>
      </c>
      <c r="O36" s="120" t="s">
        <v>102</v>
      </c>
      <c r="P36" s="120" t="s">
        <v>102</v>
      </c>
      <c r="Q36" s="116" t="s">
        <v>102</v>
      </c>
      <c r="Y36" t="s">
        <v>91</v>
      </c>
      <c r="Z36" t="s">
        <v>96</v>
      </c>
      <c r="AC36" t="s">
        <v>92</v>
      </c>
      <c r="AE36" t="s">
        <v>95</v>
      </c>
      <c r="AF36" t="s">
        <v>96</v>
      </c>
      <c r="AJ36" t="s">
        <v>94</v>
      </c>
    </row>
    <row r="37" spans="19:36" ht="12.75">
      <c r="S37" t="s">
        <v>101</v>
      </c>
      <c r="T37" t="s">
        <v>104</v>
      </c>
      <c r="U37" t="s">
        <v>110</v>
      </c>
      <c r="AC37" t="s">
        <v>93</v>
      </c>
      <c r="AJ37" t="s">
        <v>95</v>
      </c>
    </row>
    <row r="38" spans="19:36" ht="12.75">
      <c r="S38" t="s">
        <v>100</v>
      </c>
      <c r="T38" t="s">
        <v>104</v>
      </c>
      <c r="U38" t="s">
        <v>111</v>
      </c>
      <c r="AC38" t="s">
        <v>96</v>
      </c>
      <c r="AJ38" t="s">
        <v>96</v>
      </c>
    </row>
    <row r="39" spans="3:21" ht="12.75">
      <c r="C39" t="s">
        <v>82</v>
      </c>
      <c r="D39" t="s">
        <v>83</v>
      </c>
      <c r="E39" t="s">
        <v>84</v>
      </c>
      <c r="F39" t="s">
        <v>85</v>
      </c>
      <c r="G39" t="s">
        <v>86</v>
      </c>
      <c r="H39" t="s">
        <v>87</v>
      </c>
      <c r="I39" t="s">
        <v>88</v>
      </c>
      <c r="J39" t="s">
        <v>89</v>
      </c>
      <c r="K39" t="s">
        <v>90</v>
      </c>
      <c r="L39" t="s">
        <v>91</v>
      </c>
      <c r="S39" t="s">
        <v>102</v>
      </c>
      <c r="T39" t="s">
        <v>104</v>
      </c>
      <c r="U39" t="s">
        <v>89</v>
      </c>
    </row>
    <row r="40" spans="9:12" ht="12.75">
      <c r="I40" t="s">
        <v>92</v>
      </c>
      <c r="J40" t="s">
        <v>93</v>
      </c>
      <c r="K40" t="s">
        <v>94</v>
      </c>
      <c r="L40" t="s">
        <v>95</v>
      </c>
    </row>
    <row r="41" spans="12:21" ht="12.75">
      <c r="L41" t="s">
        <v>96</v>
      </c>
      <c r="S41" t="s">
        <v>97</v>
      </c>
      <c r="T41" t="s">
        <v>104</v>
      </c>
      <c r="U41" t="s">
        <v>112</v>
      </c>
    </row>
    <row r="42" spans="19:25" ht="12.75">
      <c r="S42" t="s">
        <v>101</v>
      </c>
      <c r="T42" t="s">
        <v>104</v>
      </c>
      <c r="U42" t="s">
        <v>113</v>
      </c>
      <c r="Y42" s="153" t="s">
        <v>135</v>
      </c>
    </row>
    <row r="43" spans="19:21" ht="12.75">
      <c r="S43" t="s">
        <v>102</v>
      </c>
      <c r="T43" t="s">
        <v>104</v>
      </c>
      <c r="U43" t="s">
        <v>114</v>
      </c>
    </row>
    <row r="44" spans="3:8" ht="12.75">
      <c r="C44" t="s">
        <v>82</v>
      </c>
      <c r="D44" t="s">
        <v>83</v>
      </c>
      <c r="E44" t="s">
        <v>84</v>
      </c>
      <c r="F44" t="s">
        <v>85</v>
      </c>
      <c r="G44" t="s">
        <v>86</v>
      </c>
      <c r="H44" t="s">
        <v>87</v>
      </c>
    </row>
    <row r="45" spans="6:8" ht="12.75">
      <c r="F45" t="s">
        <v>88</v>
      </c>
      <c r="G45" t="s">
        <v>89</v>
      </c>
      <c r="H45" t="s">
        <v>90</v>
      </c>
    </row>
    <row r="46" ht="12.75">
      <c r="H46" t="s">
        <v>91</v>
      </c>
    </row>
    <row r="47" spans="6:8" ht="12.75">
      <c r="F47" t="s">
        <v>92</v>
      </c>
      <c r="G47" t="s">
        <v>93</v>
      </c>
      <c r="H47" t="s">
        <v>94</v>
      </c>
    </row>
    <row r="48" ht="12.75">
      <c r="H48" t="s">
        <v>95</v>
      </c>
    </row>
    <row r="49" ht="12.75">
      <c r="H49" t="s">
        <v>96</v>
      </c>
    </row>
    <row r="51" ht="12.75">
      <c r="A51" t="s">
        <v>115</v>
      </c>
    </row>
    <row r="52" spans="3:17" ht="12.75">
      <c r="C52" t="s">
        <v>82</v>
      </c>
      <c r="D52" t="s">
        <v>83</v>
      </c>
      <c r="E52" t="s">
        <v>84</v>
      </c>
      <c r="F52" t="s">
        <v>85</v>
      </c>
      <c r="G52" t="s">
        <v>86</v>
      </c>
      <c r="H52" t="s">
        <v>87</v>
      </c>
      <c r="I52" t="s">
        <v>88</v>
      </c>
      <c r="J52" t="s">
        <v>89</v>
      </c>
      <c r="K52" t="s">
        <v>90</v>
      </c>
      <c r="L52" t="s">
        <v>91</v>
      </c>
      <c r="M52" t="s">
        <v>92</v>
      </c>
      <c r="N52" t="s">
        <v>93</v>
      </c>
      <c r="O52" t="s">
        <v>94</v>
      </c>
      <c r="P52" t="s">
        <v>95</v>
      </c>
      <c r="Q52" t="s">
        <v>96</v>
      </c>
    </row>
    <row r="53" spans="1:17" ht="12.75">
      <c r="A53" t="s">
        <v>27</v>
      </c>
      <c r="B53" t="s">
        <v>78</v>
      </c>
      <c r="C53" s="116" t="str">
        <f>IF(COUNTIF($Y$30:$Y$38,C$52)&gt;0,$Y$29,IF(COUNTIF($Z$30:$Z$38,C$52)&gt;0,$Z$29,IF(COUNTIF($AA$30:$AA$38,C$52)&gt;0,$AA$29,CONCATENATE("??? ",C$52))))</f>
        <v>C</v>
      </c>
      <c r="D53" s="116" t="str">
        <f>IF(COUNTIF($Y$30:$Y$38,D$52)&gt;0,$Y$29,IF(COUNTIF($Z$30:$Z$38,D$52)&gt;0,$Z$29,IF(COUNTIF($AA$30:$AA$38,D$52)&gt;0,$AA$29,CONCATENATE("??? ",D$52))))</f>
        <v>A</v>
      </c>
      <c r="E53" s="116" t="str">
        <f aca="true" t="shared" si="4" ref="E53:Q53">IF(COUNTIF($Y$30:$Y$38,E$52)&gt;0,$Y$29,IF(COUNTIF($Z$30:$Z$38,E$52)&gt;0,$Z$29,IF(COUNTIF($AA$30:$AA$38,E$52)&gt;0,$AA$29,CONCATENATE("??? ",E$52))))</f>
        <v>A</v>
      </c>
      <c r="F53" s="116" t="str">
        <f t="shared" si="4"/>
        <v>A</v>
      </c>
      <c r="G53" s="116" t="str">
        <f t="shared" si="4"/>
        <v>A</v>
      </c>
      <c r="H53" s="116" t="str">
        <f t="shared" si="4"/>
        <v>A</v>
      </c>
      <c r="I53" s="116" t="str">
        <f t="shared" si="4"/>
        <v>C</v>
      </c>
      <c r="J53" s="116" t="str">
        <f t="shared" si="4"/>
        <v>C</v>
      </c>
      <c r="K53" s="116" t="str">
        <f t="shared" si="4"/>
        <v>A</v>
      </c>
      <c r="L53" s="116" t="str">
        <f t="shared" si="4"/>
        <v>A</v>
      </c>
      <c r="M53" s="116" t="str">
        <f t="shared" si="4"/>
        <v>C</v>
      </c>
      <c r="N53" s="116" t="str">
        <f t="shared" si="4"/>
        <v>C</v>
      </c>
      <c r="O53" s="116" t="str">
        <f t="shared" si="4"/>
        <v>C</v>
      </c>
      <c r="P53" s="116" t="str">
        <f t="shared" si="4"/>
        <v>D</v>
      </c>
      <c r="Q53" s="116" t="str">
        <f t="shared" si="4"/>
        <v>C</v>
      </c>
    </row>
    <row r="54" spans="1:8" ht="12.75">
      <c r="A54" t="s">
        <v>25</v>
      </c>
      <c r="B54" t="s">
        <v>31</v>
      </c>
      <c r="C54" s="116"/>
      <c r="D54" s="116"/>
      <c r="E54" s="116"/>
      <c r="F54" s="116"/>
      <c r="G54" s="116"/>
      <c r="H54" s="116"/>
    </row>
    <row r="55" spans="1:8" ht="12.75">
      <c r="A55" t="s">
        <v>36</v>
      </c>
      <c r="B55" t="s">
        <v>34</v>
      </c>
      <c r="C55" s="116"/>
      <c r="D55" s="116"/>
      <c r="E55" s="116"/>
      <c r="F55" s="116"/>
      <c r="G55" s="116"/>
      <c r="H55" s="116"/>
    </row>
    <row r="56" spans="1:8" ht="12.75">
      <c r="A56" t="s">
        <v>39</v>
      </c>
      <c r="B56" t="s">
        <v>37</v>
      </c>
      <c r="C56" s="116"/>
      <c r="D56" s="116"/>
      <c r="E56" s="116"/>
      <c r="F56" s="116"/>
      <c r="G56" s="116"/>
      <c r="H56" s="116"/>
    </row>
    <row r="57" spans="1:17" ht="12.75">
      <c r="A57" t="s">
        <v>24</v>
      </c>
      <c r="B57" t="s">
        <v>79</v>
      </c>
      <c r="C57" s="116" t="str">
        <f aca="true" t="shared" si="5" ref="C57:Q57">IF(COUNTIF($AB$30:$AB$38,C$52)&gt;0,$AB$29,IF(COUNTIF($AC$30:$AC$38,C$52)&gt;0,$AC$29,IF(COUNTIF($AD$30:$AD$38,C$52)&gt;0,$AD$29,CONCATENATE("??? ",C$52))))</f>
        <v>D</v>
      </c>
      <c r="D57" s="116" t="str">
        <f t="shared" si="5"/>
        <v>C</v>
      </c>
      <c r="E57" s="116" t="str">
        <f t="shared" si="5"/>
        <v>C</v>
      </c>
      <c r="F57" s="116" t="str">
        <f t="shared" si="5"/>
        <v>D</v>
      </c>
      <c r="G57" s="116" t="str">
        <f t="shared" si="5"/>
        <v>D</v>
      </c>
      <c r="H57" s="116" t="str">
        <f t="shared" si="5"/>
        <v>E</v>
      </c>
      <c r="I57" s="116" t="str">
        <f t="shared" si="5"/>
        <v>D</v>
      </c>
      <c r="J57" s="116" t="str">
        <f t="shared" si="5"/>
        <v>D</v>
      </c>
      <c r="K57" s="116" t="str">
        <f t="shared" si="5"/>
        <v>C</v>
      </c>
      <c r="L57" s="116" t="str">
        <f t="shared" si="5"/>
        <v>D</v>
      </c>
      <c r="M57" s="116" t="str">
        <f t="shared" si="5"/>
        <v>D</v>
      </c>
      <c r="N57" s="116" t="str">
        <f t="shared" si="5"/>
        <v>D</v>
      </c>
      <c r="O57" s="116" t="str">
        <f t="shared" si="5"/>
        <v>E</v>
      </c>
      <c r="P57" s="116" t="str">
        <f t="shared" si="5"/>
        <v>E</v>
      </c>
      <c r="Q57" s="116" t="str">
        <f t="shared" si="5"/>
        <v>D</v>
      </c>
    </row>
    <row r="58" spans="1:8" ht="12.75">
      <c r="A58" t="s">
        <v>28</v>
      </c>
      <c r="B58" t="s">
        <v>40</v>
      </c>
      <c r="C58" s="116"/>
      <c r="D58" s="116"/>
      <c r="E58" s="116"/>
      <c r="F58" s="116"/>
      <c r="G58" s="116"/>
      <c r="H58" s="116"/>
    </row>
    <row r="59" spans="1:17" ht="12.75">
      <c r="A59" t="s">
        <v>33</v>
      </c>
      <c r="B59" t="s">
        <v>80</v>
      </c>
      <c r="C59" s="116" t="str">
        <f>IF(COUNTIF($AE$30:$AE$38,C$52)&gt;0,$AE$29,IF(COUNTIF($AF$30:$AF$38,C$52)&gt;0,$AF$29,IF(COUNTIF($AG$30:$AG$38,C$52)&gt;0,$AG$29,CONCATENATE("??? ",C$52))))</f>
        <v>B</v>
      </c>
      <c r="D59" s="116" t="str">
        <f aca="true" t="shared" si="6" ref="D59:Q59">IF(COUNTIF($AE$30:$AE$38,D$52)&gt;0,$AE$29,IF(COUNTIF($AF$30:$AF$38,D$52)&gt;0,$AF$29,IF(COUNTIF($AG$30:$AG$38,D$52)&gt;0,$AG$29,CONCATENATE("??? ",D$52))))</f>
        <v>E</v>
      </c>
      <c r="E59" s="116" t="str">
        <f t="shared" si="6"/>
        <v>B</v>
      </c>
      <c r="F59" s="116" t="str">
        <f t="shared" si="6"/>
        <v>E</v>
      </c>
      <c r="G59" s="116" t="str">
        <f t="shared" si="6"/>
        <v>B</v>
      </c>
      <c r="H59" s="116" t="str">
        <f t="shared" si="6"/>
        <v>B</v>
      </c>
      <c r="I59" s="116" t="str">
        <f t="shared" si="6"/>
        <v>E</v>
      </c>
      <c r="J59" s="116" t="str">
        <f t="shared" si="6"/>
        <v>F</v>
      </c>
      <c r="K59" s="116" t="str">
        <f t="shared" si="6"/>
        <v>E</v>
      </c>
      <c r="L59" s="116" t="str">
        <f t="shared" si="6"/>
        <v>E</v>
      </c>
      <c r="M59" s="116" t="str">
        <f t="shared" si="6"/>
        <v>E</v>
      </c>
      <c r="N59" s="116" t="str">
        <f t="shared" si="6"/>
        <v>B</v>
      </c>
      <c r="O59" s="116" t="str">
        <f t="shared" si="6"/>
        <v>B</v>
      </c>
      <c r="P59" s="116" t="str">
        <f t="shared" si="6"/>
        <v>B</v>
      </c>
      <c r="Q59" s="116" t="str">
        <f t="shared" si="6"/>
        <v>E</v>
      </c>
    </row>
    <row r="60" spans="1:17" ht="12.75">
      <c r="A60" t="s">
        <v>30</v>
      </c>
      <c r="B60" t="s">
        <v>81</v>
      </c>
      <c r="C60" s="116" t="str">
        <f>IF(COUNTIF($AH$30:$AH$38,C$52)&gt;0,$AH$29,IF(COUNTIF($AI$30:$AI$38,C$52)&gt;0,$AI$29,IF(COUNTIF($AJ$30:$AJ$38,C$52)&gt;0,$AJ$29,CONCATENATE("??? ",C$52))))</f>
        <v>A</v>
      </c>
      <c r="D60" s="116" t="str">
        <f aca="true" t="shared" si="7" ref="D60:Q60">IF(COUNTIF($AH$30:$AH$38,D$52)&gt;0,$AH$29,IF(COUNTIF($AI$30:$AI$38,D$52)&gt;0,$AI$29,IF(COUNTIF($AJ$30:$AJ$38,D$52)&gt;0,$AJ$29,CONCATENATE("??? ",D$52))))</f>
        <v>B</v>
      </c>
      <c r="E60" s="116" t="str">
        <f t="shared" si="7"/>
        <v>F</v>
      </c>
      <c r="F60" s="116" t="str">
        <f t="shared" si="7"/>
        <v>B</v>
      </c>
      <c r="G60" s="116" t="str">
        <f t="shared" si="7"/>
        <v>F</v>
      </c>
      <c r="H60" s="116" t="str">
        <f t="shared" si="7"/>
        <v>F</v>
      </c>
      <c r="I60" s="116" t="str">
        <f t="shared" si="7"/>
        <v>A</v>
      </c>
      <c r="J60" s="116" t="str">
        <f t="shared" si="7"/>
        <v>A</v>
      </c>
      <c r="K60" s="116" t="str">
        <f t="shared" si="7"/>
        <v>F</v>
      </c>
      <c r="L60" s="116" t="str">
        <f t="shared" si="7"/>
        <v>F</v>
      </c>
      <c r="M60" s="116" t="str">
        <f t="shared" si="7"/>
        <v>B</v>
      </c>
      <c r="N60" s="116" t="str">
        <f t="shared" si="7"/>
        <v>F</v>
      </c>
      <c r="O60" s="116" t="str">
        <f t="shared" si="7"/>
        <v>F</v>
      </c>
      <c r="P60" s="116" t="str">
        <f t="shared" si="7"/>
        <v>F</v>
      </c>
      <c r="Q60" s="116" t="str">
        <f t="shared" si="7"/>
        <v>F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9"/>
  <sheetViews>
    <sheetView workbookViewId="0" topLeftCell="A52">
      <selection activeCell="H101" sqref="H101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2" customWidth="1"/>
    <col min="23" max="23" width="1.7109375" style="2" customWidth="1"/>
    <col min="24" max="24" width="3.00390625" style="2" customWidth="1"/>
    <col min="25" max="25" width="14.28125" style="2" customWidth="1"/>
    <col min="26" max="26" width="2.28125" style="2" customWidth="1"/>
    <col min="27" max="27" width="3.28125" style="2" customWidth="1"/>
    <col min="28" max="28" width="3.00390625" style="2" customWidth="1"/>
    <col min="29" max="29" width="4.421875" style="2" customWidth="1"/>
    <col min="30" max="30" width="19.28125" style="2" customWidth="1"/>
    <col min="31" max="31" width="3.140625" style="10" customWidth="1"/>
    <col min="32" max="32" width="3.57421875" style="2" customWidth="1"/>
    <col min="33" max="36" width="2.8515625" style="2" customWidth="1"/>
    <col min="37" max="37" width="3.140625" style="2" customWidth="1"/>
    <col min="38" max="38" width="6.421875" style="2" customWidth="1"/>
    <col min="39" max="42" width="2.8515625" style="2" customWidth="1"/>
    <col min="43" max="43" width="7.7109375" style="2" customWidth="1"/>
    <col min="44" max="47" width="3.00390625" style="2" customWidth="1"/>
    <col min="48" max="48" width="3.140625" style="2" customWidth="1"/>
    <col min="49" max="16384" width="11.421875" style="2" customWidth="1"/>
  </cols>
  <sheetData>
    <row r="1" spans="1:49" s="12" customFormat="1" ht="14.25" thickBot="1" thickTop="1">
      <c r="A1" s="12" t="s">
        <v>70</v>
      </c>
      <c r="B1" s="50" t="s">
        <v>0</v>
      </c>
      <c r="C1" s="43" t="s">
        <v>1</v>
      </c>
      <c r="D1" s="24" t="s">
        <v>2</v>
      </c>
      <c r="E1" s="21"/>
      <c r="F1" s="24"/>
      <c r="G1" s="112"/>
      <c r="H1" s="113"/>
      <c r="I1" s="27"/>
      <c r="J1" s="28"/>
      <c r="K1" s="29"/>
      <c r="L1" s="24"/>
      <c r="M1" s="69" t="s">
        <v>3</v>
      </c>
      <c r="N1" s="24" t="s">
        <v>4</v>
      </c>
      <c r="O1" s="24" t="s">
        <v>5</v>
      </c>
      <c r="P1" s="24" t="s">
        <v>6</v>
      </c>
      <c r="Q1" s="24" t="s">
        <v>7</v>
      </c>
      <c r="R1" s="24"/>
      <c r="S1" s="2"/>
      <c r="T1" s="2"/>
      <c r="U1" s="2"/>
      <c r="V1" s="2"/>
      <c r="W1" s="24"/>
      <c r="X1" s="24" t="s">
        <v>8</v>
      </c>
      <c r="Y1" s="30" t="s">
        <v>9</v>
      </c>
      <c r="Z1" s="24" t="s">
        <v>4</v>
      </c>
      <c r="AA1" s="24" t="s">
        <v>5</v>
      </c>
      <c r="AB1" s="24" t="s">
        <v>6</v>
      </c>
      <c r="AC1" s="24" t="s">
        <v>7</v>
      </c>
      <c r="AD1" s="24"/>
      <c r="AE1" s="29" t="s">
        <v>10</v>
      </c>
      <c r="AF1" s="22" t="s">
        <v>11</v>
      </c>
      <c r="AG1" s="22"/>
      <c r="AH1" s="22"/>
      <c r="AI1" s="22"/>
      <c r="AJ1" s="22" t="s">
        <v>12</v>
      </c>
      <c r="AK1" s="30" t="s">
        <v>13</v>
      </c>
      <c r="AL1" s="22" t="s">
        <v>14</v>
      </c>
      <c r="AM1" s="22"/>
      <c r="AN1" s="22"/>
      <c r="AO1" s="22"/>
      <c r="AP1" s="22" t="s">
        <v>15</v>
      </c>
      <c r="AQ1" s="22" t="s">
        <v>16</v>
      </c>
      <c r="AR1" s="22"/>
      <c r="AS1" s="22"/>
      <c r="AT1" s="22"/>
      <c r="AU1" s="23" t="s">
        <v>17</v>
      </c>
      <c r="AV1" s="30" t="s">
        <v>18</v>
      </c>
      <c r="AW1" s="32"/>
    </row>
    <row r="2" spans="2:49" ht="13.5" thickTop="1">
      <c r="B2" s="3" t="s">
        <v>19</v>
      </c>
      <c r="C2" s="3" t="s">
        <v>20</v>
      </c>
      <c r="L2" s="1"/>
      <c r="M2" s="11" t="str">
        <f>VLOOKUP(1,$X$2:$AC$5,2,FALSE)</f>
        <v>Frankreich</v>
      </c>
      <c r="N2" s="2">
        <f>VLOOKUP(1,$X$2:$AC$5,3,FALSE)</f>
        <v>6</v>
      </c>
      <c r="O2" s="2">
        <f>VLOOKUP(1,$X$2:$AC$5,4,FALSE)</f>
        <v>2</v>
      </c>
      <c r="P2" s="2">
        <f>VLOOKUP(1,$X$2:$AC$5,5,FALSE)</f>
        <v>1</v>
      </c>
      <c r="Q2" s="2">
        <f>VLOOKUP(1,$X$2:$AC$5,6,FALSE)</f>
        <v>1</v>
      </c>
      <c r="S2" s="44"/>
      <c r="T2" s="45">
        <f>IF(H3="",0,IF(K3=$B$101,IF(H3&gt;J3,3,IF(H3=J3,1,0)),0))</f>
        <v>3</v>
      </c>
      <c r="U2" s="45">
        <f>IF(H5="",0,IF(K5=$B$101,IF(H5&gt;J5,3,IF(H5=J5,1,0)),0))</f>
        <v>3</v>
      </c>
      <c r="V2" s="45">
        <f>IF(J7="",0,IF(K7=$B$101,IF(H7&lt;J7,3,IF(H7=J7,1,0)),0))</f>
        <v>0</v>
      </c>
      <c r="W2" s="1"/>
      <c r="X2" s="185">
        <f>RANK(AD2,AD2:AD5)+COUNTIF(AD2:AD2,AD2)-1</f>
        <v>1</v>
      </c>
      <c r="Y2" s="39" t="str">
        <f>B109</f>
        <v>Frankreich</v>
      </c>
      <c r="Z2" s="1">
        <f>SUM(S2:V2)</f>
        <v>6</v>
      </c>
      <c r="AA2" s="1">
        <f>SUM(S6:V6)</f>
        <v>2</v>
      </c>
      <c r="AB2" s="1">
        <f>SUM(S6:S9)</f>
        <v>1</v>
      </c>
      <c r="AC2" s="1">
        <f>AA2-AB2</f>
        <v>1</v>
      </c>
      <c r="AD2" s="33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601020003010101</v>
      </c>
      <c r="AE2" s="5"/>
      <c r="AF2" s="34"/>
      <c r="AG2" s="34">
        <f>IF($Z2=$Z3,$T2-$S3,0)</f>
        <v>3</v>
      </c>
      <c r="AH2" s="34">
        <f>IF($Z2=$Z4,$U2-$S4,0)</f>
        <v>0</v>
      </c>
      <c r="AI2" s="34">
        <f>IF($Z2=$Z5,$V2-$S5,0)</f>
        <v>0</v>
      </c>
      <c r="AJ2" s="34">
        <f>SUM(AF2:AI2)</f>
        <v>3</v>
      </c>
      <c r="AK2" s="5"/>
      <c r="AL2" s="34"/>
      <c r="AM2" s="34">
        <f>IF($Z2=$Z3,$T6-$S7,0)</f>
        <v>1</v>
      </c>
      <c r="AN2" s="34">
        <f>IF($Z2=$Z4,$U6-$S8,0)</f>
        <v>0</v>
      </c>
      <c r="AO2" s="34">
        <f>IF($Z2=$Z5,$V6-$S9,0)</f>
        <v>0</v>
      </c>
      <c r="AP2" s="34">
        <f>SUM(AL2:AO2)</f>
        <v>1</v>
      </c>
      <c r="AQ2" s="34"/>
      <c r="AR2" s="34">
        <f>IF($Z2=$Z3,$T6,0)</f>
        <v>1</v>
      </c>
      <c r="AS2" s="34">
        <f>IF($Z2=$Z4,$U6,0)</f>
        <v>0</v>
      </c>
      <c r="AT2" s="34">
        <f>IF($Z2=$Z5,$V6,0)</f>
        <v>0</v>
      </c>
      <c r="AU2" s="34">
        <f>SUM(AQ2:AT2)</f>
        <v>1</v>
      </c>
      <c r="AV2" s="184">
        <f>IF(AND(COUNTIF(K3:K8,$B$101)=COUNTA(H3:H8),COUNTIF(K3:K8,$B$101)=COUNTA(J3:J8)),IF(AU2=AU3,T6-S7,IF(AU2=AU4,U6-S8,IF(AU2=AU5,V6-S9,4))),4)</f>
        <v>1</v>
      </c>
      <c r="AW2" s="33"/>
    </row>
    <row r="3" spans="2:49" ht="12.75">
      <c r="B3" s="7">
        <v>42531.875</v>
      </c>
      <c r="C3" s="4" t="s">
        <v>136</v>
      </c>
      <c r="D3" s="40" t="str">
        <f>Y2</f>
        <v>Frankreich</v>
      </c>
      <c r="E3" s="22" t="s">
        <v>21</v>
      </c>
      <c r="F3" s="41" t="str">
        <f>Y3</f>
        <v>Russland</v>
      </c>
      <c r="G3" s="24"/>
      <c r="H3" s="55">
        <f aca="true" ca="1" t="shared" si="0" ref="H3:H8">IF($B$102="",1,INT(RAND()*5)+INT(RAND()*3)*INT(RAND()*2))</f>
        <v>1</v>
      </c>
      <c r="I3" s="13" t="s">
        <v>22</v>
      </c>
      <c r="J3" s="57">
        <f aca="true" ca="1" t="shared" si="1" ref="J3:J8">IF($B$102="",0,INT(RAND()*5)+INT(RAND()*3)*INT(RAND()*2))</f>
        <v>0</v>
      </c>
      <c r="K3" s="9" t="s">
        <v>23</v>
      </c>
      <c r="L3" s="1"/>
      <c r="M3" s="11" t="str">
        <f>VLOOKUP(2,$X$2:$AC$5,2,FALSE)</f>
        <v>Russland</v>
      </c>
      <c r="N3" s="2">
        <f>VLOOKUP(2,$X$2:$AC$5,3,FALSE)</f>
        <v>6</v>
      </c>
      <c r="O3" s="2">
        <f>VLOOKUP(2,$X$2:$AC$5,4,FALSE)</f>
        <v>2</v>
      </c>
      <c r="P3" s="2">
        <f>VLOOKUP(2,$X$2:$AC$5,5,FALSE)</f>
        <v>1</v>
      </c>
      <c r="Q3" s="2">
        <f>VLOOKUP(2,$X$2:$AC$5,6,FALSE)</f>
        <v>1</v>
      </c>
      <c r="S3" s="46">
        <f>IF(J3="",0,IF(K3=$B$101,IF(H3&lt;J3,3,IF(H3=J3,1,0)),0))</f>
        <v>0</v>
      </c>
      <c r="T3" s="44"/>
      <c r="U3" s="46">
        <f>IF(H8="",0,IF(K8=$B$101,IF(H8&gt;J8,3,IF(H8=J8,1,0)),0))</f>
        <v>3</v>
      </c>
      <c r="V3" s="46">
        <f>IF(H6="",0,IF(K6=$B$101,IF(H6&gt;J6,3,IF(H6=J6,1,0)),0))</f>
        <v>3</v>
      </c>
      <c r="W3" s="1"/>
      <c r="X3" s="185">
        <f>RANK(AD3,AD2:AD5)+COUNTIF(AD2:AD3,AD3)-1</f>
        <v>2</v>
      </c>
      <c r="Y3" s="37" t="str">
        <f>B117</f>
        <v>Russland</v>
      </c>
      <c r="Z3" s="1">
        <f>SUM(S3:V3)</f>
        <v>6</v>
      </c>
      <c r="AA3" s="1">
        <f>SUM(S7:V7)</f>
        <v>2</v>
      </c>
      <c r="AB3" s="1">
        <f>SUM(T6:T9)</f>
        <v>1</v>
      </c>
      <c r="AC3" s="1">
        <f>AA3-AB3</f>
        <v>1</v>
      </c>
      <c r="AD3" s="33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601019996990001</v>
      </c>
      <c r="AE3" s="5"/>
      <c r="AF3" s="34">
        <f>IF($Z3=$Z2,$S3-$T2,0)</f>
        <v>-3</v>
      </c>
      <c r="AG3" s="34"/>
      <c r="AH3" s="34">
        <f>IF($Z3=$Z4,$U3-$T4,0)</f>
        <v>0</v>
      </c>
      <c r="AI3" s="34">
        <f>IF($Z3=$Z5,$V3-$T5,0)</f>
        <v>0</v>
      </c>
      <c r="AJ3" s="34">
        <f>SUM(AF3:AI3)</f>
        <v>-3</v>
      </c>
      <c r="AK3" s="5"/>
      <c r="AL3" s="34">
        <f>IF($Z3=$Z2,$S7-$T6,0)</f>
        <v>-1</v>
      </c>
      <c r="AM3" s="34"/>
      <c r="AN3" s="34">
        <f>IF($Z3=$Z4,$U7-$T8,0)</f>
        <v>0</v>
      </c>
      <c r="AO3" s="34">
        <f>IF($Z3=$Z5,$V7-$T9,0)</f>
        <v>0</v>
      </c>
      <c r="AP3" s="34">
        <f>SUM(AL3:AO3)</f>
        <v>-1</v>
      </c>
      <c r="AQ3" s="34">
        <f>IF($Z3=$Z2,$S7,0)</f>
        <v>0</v>
      </c>
      <c r="AR3" s="34"/>
      <c r="AS3" s="34">
        <f>IF($Z3=$Z4,$U7,0)</f>
        <v>0</v>
      </c>
      <c r="AT3" s="34">
        <f>IF($Z3=$Z5,$V7,0)</f>
        <v>0</v>
      </c>
      <c r="AU3" s="34">
        <f>SUM(AQ3:AT3)</f>
        <v>0</v>
      </c>
      <c r="AV3" s="184">
        <f>IF(AND(COUNTIF(K3:K8,$B$101)=COUNTA(H3:H8),COUNTIF(K3:K8,$B$101)=COUNTA(J3:J8)),IF(AU3=AU2,S7-T6,IF(AU3=AU4,U7-T8,IF(AU3=AU5,V7-T9,3))),3)</f>
        <v>1</v>
      </c>
      <c r="AW3" s="33"/>
    </row>
    <row r="4" spans="2:49" ht="12.75">
      <c r="B4" s="4">
        <v>42532.625</v>
      </c>
      <c r="C4" s="4" t="s">
        <v>137</v>
      </c>
      <c r="D4" s="42" t="str">
        <f>Y4</f>
        <v>Polen</v>
      </c>
      <c r="E4" s="22" t="s">
        <v>21</v>
      </c>
      <c r="F4" s="43" t="str">
        <f>Y5</f>
        <v>Irland</v>
      </c>
      <c r="G4" s="24"/>
      <c r="H4" s="56">
        <f ca="1" t="shared" si="0"/>
        <v>1</v>
      </c>
      <c r="I4" s="13" t="s">
        <v>22</v>
      </c>
      <c r="J4" s="61">
        <f ca="1" t="shared" si="1"/>
        <v>0</v>
      </c>
      <c r="K4" s="9" t="s">
        <v>23</v>
      </c>
      <c r="L4" s="1"/>
      <c r="M4" s="11" t="str">
        <f>VLOOKUP(3,$X$2:$AC$5,2,FALSE)</f>
        <v>Polen</v>
      </c>
      <c r="N4" s="2">
        <f>VLOOKUP(3,$X$2:$AC$5,3,FALSE)</f>
        <v>3</v>
      </c>
      <c r="O4" s="2">
        <f>VLOOKUP(3,$X$2:$AC$5,4,FALSE)</f>
        <v>1</v>
      </c>
      <c r="P4" s="2">
        <f>VLOOKUP(3,$X$2:$AC$5,5,FALSE)</f>
        <v>2</v>
      </c>
      <c r="Q4" s="2">
        <f>VLOOKUP(3,$X$2:$AC$5,6,FALSE)</f>
        <v>-1</v>
      </c>
      <c r="S4" s="47">
        <f>IF(J5="",0,IF(K5=$B$101,IF(H5&lt;J5,3,IF(H5=J5,1,0)),0))</f>
        <v>0</v>
      </c>
      <c r="T4" s="47">
        <f>IF(J8="",0,IF(K8=$B$101,IF(H8&lt;J8,3,IF(H8=J8,1,0)),0))</f>
        <v>0</v>
      </c>
      <c r="U4" s="44"/>
      <c r="V4" s="47">
        <f>IF(H4="",0,IF(K4=$B$101,IF(H4&gt;J4,3,IF(H4=J4,1,0)),0))</f>
        <v>3</v>
      </c>
      <c r="W4" s="1"/>
      <c r="X4" s="185">
        <f>RANK(AD4,AD2:AD5)+COUNTIF(AD2:AD4,AD4)-1</f>
        <v>3</v>
      </c>
      <c r="Y4" s="38" t="str">
        <f>B125</f>
        <v>Polen</v>
      </c>
      <c r="Z4" s="1">
        <f>SUM(S4:V4)</f>
        <v>3</v>
      </c>
      <c r="AA4" s="1">
        <f>SUM(S8:V8)</f>
        <v>1</v>
      </c>
      <c r="AB4" s="1">
        <f>SUM(U6:U9)</f>
        <v>2</v>
      </c>
      <c r="AC4" s="1">
        <f>AA4-AB4</f>
        <v>-1</v>
      </c>
      <c r="AD4" s="33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299010003010099</v>
      </c>
      <c r="AE4" s="5"/>
      <c r="AF4" s="34">
        <f>IF($Z4=$Z2,$S4-$U2,0)</f>
        <v>0</v>
      </c>
      <c r="AG4" s="34">
        <f>IF($Z4=$Z3,$T4-$U3,0)</f>
        <v>0</v>
      </c>
      <c r="AH4" s="34"/>
      <c r="AI4" s="34">
        <f>IF($Z4=$Z5,$V4-$U5,0)</f>
        <v>3</v>
      </c>
      <c r="AJ4" s="34">
        <f>SUM(AF4:AI4)</f>
        <v>3</v>
      </c>
      <c r="AK4" s="5"/>
      <c r="AL4" s="34">
        <f>IF($Z4=$Z2,$S8-$U6,0)</f>
        <v>0</v>
      </c>
      <c r="AM4" s="34">
        <f>IF($Z4=$Z3,$T8-$U7,0)</f>
        <v>0</v>
      </c>
      <c r="AN4" s="34"/>
      <c r="AO4" s="34">
        <f>IF($Z4=$Z5,$V8-$U9,0)</f>
        <v>1</v>
      </c>
      <c r="AP4" s="34">
        <f>SUM(AL4:AO4)</f>
        <v>1</v>
      </c>
      <c r="AQ4" s="34">
        <f>IF($Z4=$Z2,$S8,0)</f>
        <v>0</v>
      </c>
      <c r="AR4" s="34">
        <f>IF($Z4=$Z3,$T8,0)</f>
        <v>0</v>
      </c>
      <c r="AS4" s="34"/>
      <c r="AT4" s="34">
        <f>IF($Z4=$Z5,$V8,0)</f>
        <v>1</v>
      </c>
      <c r="AU4" s="34">
        <f>SUM(AQ4:AT4)</f>
        <v>1</v>
      </c>
      <c r="AV4" s="184">
        <f>IF(AND(COUNTIF(K3:K8,$B$101)=COUNTA(H3:H8),COUNTIF(K3:K8,$B$101)=COUNTA(J3:J8)),IF(AU4=AU2,S8-U6,IF(AU4=AU3,T8-U7,IF(AU4=AU5,V8-U9,2))),2)</f>
        <v>-1</v>
      </c>
      <c r="AW4" s="33"/>
    </row>
    <row r="5" spans="2:49" ht="12.75">
      <c r="B5" s="7">
        <v>42536.875</v>
      </c>
      <c r="C5" s="4" t="s">
        <v>139</v>
      </c>
      <c r="D5" s="40" t="str">
        <f>Y2</f>
        <v>Frankreich</v>
      </c>
      <c r="E5" s="22" t="s">
        <v>21</v>
      </c>
      <c r="F5" s="42" t="str">
        <f>Y4</f>
        <v>Polen</v>
      </c>
      <c r="G5" s="24"/>
      <c r="H5" s="60">
        <f ca="1" t="shared" si="0"/>
        <v>1</v>
      </c>
      <c r="I5" s="13" t="s">
        <v>22</v>
      </c>
      <c r="J5" s="58">
        <f ca="1" t="shared" si="1"/>
        <v>0</v>
      </c>
      <c r="K5" s="9" t="s">
        <v>23</v>
      </c>
      <c r="L5" s="1"/>
      <c r="M5" s="11" t="str">
        <f>VLOOKUP(4,$X$2:$AC$5,2,FALSE)</f>
        <v>Irland</v>
      </c>
      <c r="N5" s="2">
        <f>VLOOKUP(4,$X$2:$AC$5,3,FALSE)</f>
        <v>3</v>
      </c>
      <c r="O5" s="2">
        <f>VLOOKUP(4,$X$2:$AC$5,4,FALSE)</f>
        <v>1</v>
      </c>
      <c r="P5" s="2">
        <f>VLOOKUP(4,$X$2:$AC$5,5,FALSE)</f>
        <v>2</v>
      </c>
      <c r="Q5" s="2">
        <f>VLOOKUP(4,$X$2:$AC$5,6,FALSE)</f>
        <v>-1</v>
      </c>
      <c r="S5" s="48">
        <f>IF(H7="",0,IF(K7=$B$101,IF(H7&gt;J7,3,IF(H7=J7,1,0)),0))</f>
        <v>3</v>
      </c>
      <c r="T5" s="48">
        <f>IF(J6="",0,IF(K6=$B$101,IF(H6&lt;J6,3,IF(H6=J6,1,0)),0))</f>
        <v>0</v>
      </c>
      <c r="U5" s="48">
        <f>IF(J4="",0,IF(K4=$B$101,IF(H4&lt;J4,3,IF(H4=J4,1,0)),0))</f>
        <v>0</v>
      </c>
      <c r="V5" s="44"/>
      <c r="W5" s="1"/>
      <c r="X5" s="185">
        <f>RANK(AD5,AD2:AD5)+COUNTIF(AD2:AD5,AD5)-1</f>
        <v>4</v>
      </c>
      <c r="Y5" s="36" t="str">
        <f>B133</f>
        <v>Irland</v>
      </c>
      <c r="Z5" s="1">
        <f>SUM(S5:V5)</f>
        <v>3</v>
      </c>
      <c r="AA5" s="1">
        <f>SUM(S9:V9)</f>
        <v>1</v>
      </c>
      <c r="AB5" s="1">
        <f>SUM(V6:V9)</f>
        <v>2</v>
      </c>
      <c r="AC5" s="1">
        <f>AA5-AB5</f>
        <v>-1</v>
      </c>
      <c r="AD5" s="33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299009996989999</v>
      </c>
      <c r="AE5" s="5"/>
      <c r="AF5" s="34">
        <f>IF($Z5=$Z2,$S5-$V2,0)</f>
        <v>0</v>
      </c>
      <c r="AG5" s="34">
        <f>IF($Z5=$Z3,$T5-$V3,0)</f>
        <v>0</v>
      </c>
      <c r="AH5" s="34">
        <f>IF($Z5=$Z4,$U5-$V4,0)</f>
        <v>-3</v>
      </c>
      <c r="AI5" s="34"/>
      <c r="AJ5" s="34">
        <f>SUM(AF5:AI5)</f>
        <v>-3</v>
      </c>
      <c r="AK5" s="5"/>
      <c r="AL5" s="34">
        <f>IF($Z5=$Z2,$S9-$V6,0)</f>
        <v>0</v>
      </c>
      <c r="AM5" s="34">
        <f>IF($Z5=$Z3,$T9-$V7,0)</f>
        <v>0</v>
      </c>
      <c r="AN5" s="34">
        <f>IF($Z5=$Z4,$U9-$V8,0)</f>
        <v>-1</v>
      </c>
      <c r="AO5" s="34"/>
      <c r="AP5" s="34">
        <f>SUM(AL5:AO5)</f>
        <v>-1</v>
      </c>
      <c r="AQ5" s="34">
        <f>IF($Z5=$Z2,$S9,0)</f>
        <v>0</v>
      </c>
      <c r="AR5" s="34">
        <f>IF($Z5=$Z3,$T9,0)</f>
        <v>0</v>
      </c>
      <c r="AS5" s="34">
        <f>IF($Z5=$Z4,$U9,0)</f>
        <v>0</v>
      </c>
      <c r="AT5" s="34"/>
      <c r="AU5" s="34">
        <f>SUM(AQ5:AT5)</f>
        <v>0</v>
      </c>
      <c r="AV5" s="184">
        <f>IF(AND(COUNTIF(K3:K8,$B$101)=COUNTA(H3:H8),COUNTIF(K3:K8,$B$101)=COUNTA(J3:J8)),IF(AU5=AU2,S9-V6,IF(AU5=AU3,T9-V7,IF(AU5=AU4,U9-V8,1))),1)</f>
        <v>-1</v>
      </c>
      <c r="AW5" s="33"/>
    </row>
    <row r="6" spans="2:49" ht="12.75">
      <c r="B6" s="4">
        <v>42536.875</v>
      </c>
      <c r="C6" s="4" t="s">
        <v>138</v>
      </c>
      <c r="D6" s="41" t="str">
        <f>Y3</f>
        <v>Russland</v>
      </c>
      <c r="E6" s="22" t="s">
        <v>21</v>
      </c>
      <c r="F6" s="43" t="str">
        <f>Y5</f>
        <v>Irland</v>
      </c>
      <c r="G6" s="24"/>
      <c r="H6" s="59">
        <f ca="1" t="shared" si="0"/>
        <v>1</v>
      </c>
      <c r="I6" s="13" t="s">
        <v>22</v>
      </c>
      <c r="J6" s="61">
        <f ca="1" t="shared" si="1"/>
        <v>0</v>
      </c>
      <c r="K6" s="9" t="s">
        <v>23</v>
      </c>
      <c r="L6" s="1"/>
      <c r="N6" s="1"/>
      <c r="O6" s="1"/>
      <c r="P6" s="1"/>
      <c r="S6" s="44"/>
      <c r="T6" s="45">
        <f>IF(K3=$B$101,H3,0)</f>
        <v>1</v>
      </c>
      <c r="U6" s="45">
        <f>IF(K5=$B$101,H5,0)</f>
        <v>1</v>
      </c>
      <c r="V6" s="45">
        <f>IF(K7=$B$101,J7,0)</f>
        <v>0</v>
      </c>
      <c r="W6" s="1"/>
      <c r="X6" s="1"/>
      <c r="Y6" s="1"/>
      <c r="Z6" s="1"/>
      <c r="AA6" s="1"/>
      <c r="AB6" s="1"/>
      <c r="AC6" s="1"/>
      <c r="AD6" s="6"/>
      <c r="AE6" s="9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V6" s="34"/>
      <c r="AW6" s="33"/>
    </row>
    <row r="7" spans="2:49" ht="12.75">
      <c r="B7" s="7">
        <v>42540.875</v>
      </c>
      <c r="C7" s="4" t="s">
        <v>140</v>
      </c>
      <c r="D7" s="43" t="str">
        <f>Y5</f>
        <v>Irland</v>
      </c>
      <c r="E7" s="22" t="s">
        <v>21</v>
      </c>
      <c r="F7" s="40" t="str">
        <f>Y2</f>
        <v>Frankreich</v>
      </c>
      <c r="H7" s="61">
        <f ca="1" t="shared" si="0"/>
        <v>1</v>
      </c>
      <c r="I7" s="15" t="s">
        <v>22</v>
      </c>
      <c r="J7" s="60">
        <f ca="1" t="shared" si="1"/>
        <v>0</v>
      </c>
      <c r="K7" s="9" t="s">
        <v>23</v>
      </c>
      <c r="M7" s="70" t="str">
        <f>IF(N2&gt;0,M2,"")</f>
        <v>Frankreich</v>
      </c>
      <c r="N7" s="2" t="s">
        <v>24</v>
      </c>
      <c r="P7" s="51"/>
      <c r="S7" s="46">
        <f>IF(K3=$B$101,J3,0)</f>
        <v>0</v>
      </c>
      <c r="T7" s="44"/>
      <c r="U7" s="46">
        <f>IF(K8=$B$101,H8,0)</f>
        <v>1</v>
      </c>
      <c r="V7" s="46">
        <f>IF(K6=$B$101,H6,0)</f>
        <v>1</v>
      </c>
      <c r="AD7" s="2" t="s">
        <v>119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V7" s="35"/>
      <c r="AW7" s="33"/>
    </row>
    <row r="8" spans="2:49" ht="12.75">
      <c r="B8" s="7">
        <v>42540.875</v>
      </c>
      <c r="C8" s="4" t="s">
        <v>141</v>
      </c>
      <c r="D8" s="41" t="str">
        <f>Y3</f>
        <v>Russland</v>
      </c>
      <c r="E8" s="22" t="s">
        <v>21</v>
      </c>
      <c r="F8" s="42" t="str">
        <f>Y4</f>
        <v>Polen</v>
      </c>
      <c r="H8" s="59">
        <f ca="1" t="shared" si="0"/>
        <v>1</v>
      </c>
      <c r="I8" s="13" t="s">
        <v>22</v>
      </c>
      <c r="J8" s="56">
        <f ca="1" t="shared" si="1"/>
        <v>0</v>
      </c>
      <c r="K8" s="9" t="s">
        <v>23</v>
      </c>
      <c r="M8" s="70" t="str">
        <f>IF(N3&gt;0,M3,"")</f>
        <v>Russland</v>
      </c>
      <c r="N8" s="2" t="s">
        <v>25</v>
      </c>
      <c r="O8" s="52"/>
      <c r="P8" s="53"/>
      <c r="S8" s="47">
        <f>IF(K5=$B$101,J5,0)</f>
        <v>0</v>
      </c>
      <c r="T8" s="47">
        <f>IF(K8=$B$101,J8,0)</f>
        <v>0</v>
      </c>
      <c r="U8" s="44"/>
      <c r="V8" s="47">
        <f>IF(K4=$B$101,H4,0)</f>
        <v>1</v>
      </c>
      <c r="AD8" s="2" t="s">
        <v>120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V8" s="35"/>
      <c r="AW8" s="33"/>
    </row>
    <row r="9" spans="13:49" ht="12.75">
      <c r="M9" s="70" t="str">
        <f>IF(N4&gt;0,M4,"")</f>
        <v>Polen</v>
      </c>
      <c r="N9" s="2" t="s">
        <v>116</v>
      </c>
      <c r="S9" s="48">
        <f>IF(K7=$B$101,H7,0)</f>
        <v>1</v>
      </c>
      <c r="T9" s="48">
        <f>IF(K6=$B$101,J6,0)</f>
        <v>0</v>
      </c>
      <c r="U9" s="48">
        <f>IF(K4=$B$101,J4,0)</f>
        <v>0</v>
      </c>
      <c r="V9" s="44"/>
      <c r="AD9" s="2" t="s">
        <v>200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V9" s="35"/>
      <c r="AW9" s="33"/>
    </row>
    <row r="10" spans="5:49" ht="6" customHeight="1">
      <c r="E10" s="23"/>
      <c r="F10" s="12"/>
      <c r="G10" s="12"/>
      <c r="H10" s="2"/>
      <c r="I10" s="2"/>
      <c r="J10" s="2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V10" s="35"/>
      <c r="AW10" s="33"/>
    </row>
    <row r="11" spans="2:49" s="12" customFormat="1" ht="12.75">
      <c r="B11" s="62" t="s">
        <v>0</v>
      </c>
      <c r="C11" s="63" t="s">
        <v>26</v>
      </c>
      <c r="D11" s="24" t="s">
        <v>2</v>
      </c>
      <c r="E11" s="21"/>
      <c r="F11" s="24"/>
      <c r="G11" s="24"/>
      <c r="H11" s="28"/>
      <c r="I11" s="27"/>
      <c r="J11" s="28"/>
      <c r="K11" s="29"/>
      <c r="L11" s="24"/>
      <c r="M11" s="69" t="s">
        <v>3</v>
      </c>
      <c r="N11" s="24" t="s">
        <v>4</v>
      </c>
      <c r="O11" s="24" t="s">
        <v>5</v>
      </c>
      <c r="P11" s="24" t="s">
        <v>6</v>
      </c>
      <c r="Q11" s="24" t="s">
        <v>7</v>
      </c>
      <c r="R11" s="24"/>
      <c r="S11" s="2"/>
      <c r="T11" s="2"/>
      <c r="U11" s="2"/>
      <c r="V11" s="2"/>
      <c r="W11" s="24"/>
      <c r="X11" s="24" t="s">
        <v>8</v>
      </c>
      <c r="Y11" s="30" t="s">
        <v>9</v>
      </c>
      <c r="Z11" s="24" t="s">
        <v>4</v>
      </c>
      <c r="AA11" s="24" t="s">
        <v>5</v>
      </c>
      <c r="AB11" s="24" t="s">
        <v>6</v>
      </c>
      <c r="AC11" s="24" t="s">
        <v>7</v>
      </c>
      <c r="AD11" s="24"/>
      <c r="AE11" s="29" t="s">
        <v>10</v>
      </c>
      <c r="AF11" s="22" t="s">
        <v>11</v>
      </c>
      <c r="AG11" s="22"/>
      <c r="AH11" s="22"/>
      <c r="AI11" s="22"/>
      <c r="AJ11" s="22" t="s">
        <v>12</v>
      </c>
      <c r="AK11" s="30" t="s">
        <v>13</v>
      </c>
      <c r="AL11" s="22" t="s">
        <v>14</v>
      </c>
      <c r="AM11" s="22"/>
      <c r="AN11" s="22"/>
      <c r="AO11" s="22"/>
      <c r="AP11" s="22" t="s">
        <v>15</v>
      </c>
      <c r="AQ11" s="22" t="s">
        <v>16</v>
      </c>
      <c r="AR11" s="22"/>
      <c r="AS11" s="22"/>
      <c r="AT11" s="22"/>
      <c r="AU11" s="23" t="s">
        <v>17</v>
      </c>
      <c r="AV11" s="30" t="s">
        <v>18</v>
      </c>
      <c r="AW11" s="32"/>
    </row>
    <row r="12" spans="2:49" ht="12.75">
      <c r="B12" s="3" t="s">
        <v>19</v>
      </c>
      <c r="C12" s="3" t="s">
        <v>20</v>
      </c>
      <c r="L12" s="1"/>
      <c r="M12" s="11" t="str">
        <f>VLOOKUP(1,$X$12:$AC$15,2,FALSE)</f>
        <v>England</v>
      </c>
      <c r="N12" s="2">
        <f>VLOOKUP(1,$X$12:$AC$15,3,FALSE)</f>
        <v>6</v>
      </c>
      <c r="O12" s="2">
        <f>VLOOKUP(1,$X$12:$AC$15,4,FALSE)</f>
        <v>2</v>
      </c>
      <c r="P12" s="2">
        <f>VLOOKUP(1,$X$12:$AC$15,5,FALSE)</f>
        <v>1</v>
      </c>
      <c r="Q12" s="2">
        <f>VLOOKUP(1,$X$12:$AC$15,6,FALSE)</f>
        <v>1</v>
      </c>
      <c r="S12" s="44"/>
      <c r="T12" s="45">
        <f>IF(H13="",0,IF(K13=$B$101,IF(H13&gt;J13,3,IF(H13=J13,1,0)),0))</f>
        <v>3</v>
      </c>
      <c r="U12" s="45">
        <f>IF(H15="",0,IF(K15=$B$101,IF(H15&gt;J15,3,IF(H15=J15,1,0)),0))</f>
        <v>3</v>
      </c>
      <c r="V12" s="45">
        <f>IF(J17="",0,IF(K17=$B$101,IF(H17&lt;J17,3,IF(H17=J17,1,0)),0))</f>
        <v>0</v>
      </c>
      <c r="W12" s="1"/>
      <c r="X12" s="185">
        <f>RANK(AD12,AD12:AD15)+COUNTIF(AD12:AD12,AD12)-1</f>
        <v>1</v>
      </c>
      <c r="Y12" s="39" t="str">
        <f>B110</f>
        <v>England</v>
      </c>
      <c r="Z12" s="1">
        <f>SUM(S12:V12)</f>
        <v>6</v>
      </c>
      <c r="AA12" s="1">
        <f>SUM(S16:V16)</f>
        <v>2</v>
      </c>
      <c r="AB12" s="1">
        <f>SUM(S16:S19)</f>
        <v>1</v>
      </c>
      <c r="AC12" s="1">
        <f>AA12-AB12</f>
        <v>1</v>
      </c>
      <c r="AD12" s="33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601020003010101</v>
      </c>
      <c r="AE12" s="5"/>
      <c r="AF12" s="34"/>
      <c r="AG12" s="34">
        <f>IF($Z12=$Z13,$T12-$S13,0)</f>
        <v>3</v>
      </c>
      <c r="AH12" s="34">
        <f>IF($Z12=$Z14,$U12-$S14,0)</f>
        <v>0</v>
      </c>
      <c r="AI12" s="34">
        <f>IF($Z12=$Z15,$V12-$S15,0)</f>
        <v>0</v>
      </c>
      <c r="AJ12" s="34">
        <f>SUM(AF12:AI12)</f>
        <v>3</v>
      </c>
      <c r="AK12" s="5"/>
      <c r="AL12" s="34"/>
      <c r="AM12" s="34">
        <f>IF($Z12=$Z13,$T16-$S17,0)</f>
        <v>1</v>
      </c>
      <c r="AN12" s="34">
        <f>IF($Z12=$Z14,$U16-$S18,0)</f>
        <v>0</v>
      </c>
      <c r="AO12" s="34">
        <f>IF($Z12=$Z15,$V16-$S19,0)</f>
        <v>0</v>
      </c>
      <c r="AP12" s="34">
        <f>SUM(AL12:AO12)</f>
        <v>1</v>
      </c>
      <c r="AQ12" s="34"/>
      <c r="AR12" s="34">
        <f>IF($Z12=$Z13,$T16,0)</f>
        <v>1</v>
      </c>
      <c r="AS12" s="34">
        <f>IF($Z12=$Z14,$U16,0)</f>
        <v>0</v>
      </c>
      <c r="AT12" s="34">
        <f>IF($Z12=$Z15,$V16,0)</f>
        <v>0</v>
      </c>
      <c r="AU12" s="34">
        <f>SUM(AQ12:AT12)</f>
        <v>1</v>
      </c>
      <c r="AV12" s="184">
        <f>IF(AND(COUNTIF(K13:K18,$B$101)=COUNTA(H13:H18),COUNTIF(K13:K18,$B$101)=COUNTA(J13:J18)),IF(AU12=AU13,T16-S17,IF(AU12=AU14,U16-S18,IF(AU12=AU15,V16-S19,4))),4)</f>
        <v>1</v>
      </c>
      <c r="AW12" s="33"/>
    </row>
    <row r="13" spans="2:49" ht="12.75">
      <c r="B13" s="7">
        <v>42532.875</v>
      </c>
      <c r="C13" s="4" t="s">
        <v>139</v>
      </c>
      <c r="D13" s="40" t="str">
        <f>Y12</f>
        <v>England</v>
      </c>
      <c r="E13" s="22" t="s">
        <v>21</v>
      </c>
      <c r="F13" s="41" t="str">
        <f>Y13</f>
        <v>Italien</v>
      </c>
      <c r="G13" s="24"/>
      <c r="H13" s="55">
        <f aca="true" ca="1" t="shared" si="2" ref="H13:H18">IF($B$102="",1,INT(RAND()*5)+INT(RAND()*3)*INT(RAND()*2))</f>
        <v>1</v>
      </c>
      <c r="I13" s="13" t="s">
        <v>22</v>
      </c>
      <c r="J13" s="57">
        <f aca="true" ca="1" t="shared" si="3" ref="J13:J18">IF($B$102="",0,INT(RAND()*5)+INT(RAND()*3)*INT(RAND()*2))</f>
        <v>0</v>
      </c>
      <c r="K13" s="9" t="s">
        <v>23</v>
      </c>
      <c r="L13" s="1"/>
      <c r="M13" s="11" t="str">
        <f>VLOOKUP(2,$X$12:$AC$15,2,FALSE)</f>
        <v>Italien</v>
      </c>
      <c r="N13" s="2">
        <f>VLOOKUP(2,$X$12:$AC$15,3,FALSE)</f>
        <v>6</v>
      </c>
      <c r="O13" s="2">
        <f>VLOOKUP(2,$X$12:$AC$15,4,FALSE)</f>
        <v>2</v>
      </c>
      <c r="P13" s="2">
        <f>VLOOKUP(2,$X$12:$AC$15,5,FALSE)</f>
        <v>1</v>
      </c>
      <c r="Q13" s="2">
        <f>VLOOKUP(2,$X$12:$AC$15,6,FALSE)</f>
        <v>1</v>
      </c>
      <c r="S13" s="46">
        <f>IF(J13="",0,IF(K13=$B$101,IF(H13&lt;J13,3,IF(H13=J13,1,0)),0))</f>
        <v>0</v>
      </c>
      <c r="T13" s="44"/>
      <c r="U13" s="46">
        <f>IF(H18="",0,IF(K18=$B$101,IF(H18&gt;J18,3,IF(H18=J18,1,0)),0))</f>
        <v>3</v>
      </c>
      <c r="V13" s="46">
        <f>IF(H16="",0,IF(K16=$B$101,IF(H16&gt;J16,3,IF(H16=J16,1,0)),0))</f>
        <v>3</v>
      </c>
      <c r="W13" s="1"/>
      <c r="X13" s="185">
        <f>RANK(AD13,AD12:AD15)+COUNTIF(AD12:AD13,AD13)-1</f>
        <v>2</v>
      </c>
      <c r="Y13" s="37" t="str">
        <f>B118</f>
        <v>Italien</v>
      </c>
      <c r="Z13" s="1">
        <f>SUM(S13:V13)</f>
        <v>6</v>
      </c>
      <c r="AA13" s="1">
        <f>SUM(S17:V17)</f>
        <v>2</v>
      </c>
      <c r="AB13" s="1">
        <f>SUM(T16:T19)</f>
        <v>1</v>
      </c>
      <c r="AC13" s="1">
        <f>AA13-AB13</f>
        <v>1</v>
      </c>
      <c r="AD13" s="33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601019996990001</v>
      </c>
      <c r="AE13" s="5"/>
      <c r="AF13" s="34">
        <f>IF($Z13=$Z12,$S13-$T12,0)</f>
        <v>-3</v>
      </c>
      <c r="AG13" s="34"/>
      <c r="AH13" s="34">
        <f>IF($Z13=$Z14,$U13-$T14,0)</f>
        <v>0</v>
      </c>
      <c r="AI13" s="34">
        <f>IF($Z13=$Z15,$V13-$T15,0)</f>
        <v>0</v>
      </c>
      <c r="AJ13" s="34">
        <f>SUM(AF13:AI13)</f>
        <v>-3</v>
      </c>
      <c r="AK13" s="5"/>
      <c r="AL13" s="34">
        <f>IF($Z13=$Z12,$S17-$T16,0)</f>
        <v>-1</v>
      </c>
      <c r="AM13" s="34"/>
      <c r="AN13" s="34">
        <f>IF($Z13=$Z14,$U17-$T18,0)</f>
        <v>0</v>
      </c>
      <c r="AO13" s="34">
        <f>IF($Z13=$Z15,$V17-$T19,0)</f>
        <v>0</v>
      </c>
      <c r="AP13" s="34">
        <f>SUM(AL13:AO13)</f>
        <v>-1</v>
      </c>
      <c r="AQ13" s="34">
        <f>IF($Z13=$Z12,$S17,0)</f>
        <v>0</v>
      </c>
      <c r="AR13" s="34"/>
      <c r="AS13" s="34">
        <f>IF($Z13=$Z14,$U17,0)</f>
        <v>0</v>
      </c>
      <c r="AT13" s="34">
        <f>IF($Z13=$Z15,$V17,0)</f>
        <v>0</v>
      </c>
      <c r="AU13" s="34">
        <f>SUM(AQ13:AT13)</f>
        <v>0</v>
      </c>
      <c r="AV13" s="184">
        <f>IF(AND(COUNTIF(K13:K18,$B$101)=COUNTA(H13:H18),COUNTIF(K13:K18,$B$101)=COUNTA(J13:J18)),IF(AU13=AU12,S17-T16,IF(AU13=AU14,U17-T18,IF(AU13=AU15,V17-T19,3))),3)</f>
        <v>1</v>
      </c>
      <c r="AW13" s="33"/>
    </row>
    <row r="14" spans="2:49" ht="12.75">
      <c r="B14" s="7">
        <v>42532.75</v>
      </c>
      <c r="C14" s="4" t="s">
        <v>142</v>
      </c>
      <c r="D14" s="42" t="str">
        <f>Y14</f>
        <v>Rumänien</v>
      </c>
      <c r="E14" s="22" t="s">
        <v>21</v>
      </c>
      <c r="F14" s="43" t="str">
        <f>Y15</f>
        <v>Nordirland</v>
      </c>
      <c r="G14" s="24"/>
      <c r="H14" s="56">
        <f ca="1" t="shared" si="2"/>
        <v>1</v>
      </c>
      <c r="I14" s="13" t="s">
        <v>22</v>
      </c>
      <c r="J14" s="61">
        <f ca="1" t="shared" si="3"/>
        <v>0</v>
      </c>
      <c r="K14" s="9" t="s">
        <v>23</v>
      </c>
      <c r="L14" s="1"/>
      <c r="M14" s="11" t="str">
        <f>VLOOKUP(3,$X$12:$AC$15,2,FALSE)</f>
        <v>Rumänien</v>
      </c>
      <c r="N14" s="2">
        <f>VLOOKUP(3,$X$12:$AC$15,3,FALSE)</f>
        <v>3</v>
      </c>
      <c r="O14" s="2">
        <f>VLOOKUP(3,$X$12:$AC$15,4,FALSE)</f>
        <v>1</v>
      </c>
      <c r="P14" s="2">
        <f>VLOOKUP(3,$X$12:$AC$15,5,FALSE)</f>
        <v>2</v>
      </c>
      <c r="Q14" s="2">
        <f>VLOOKUP(3,$X$12:$AC$15,6,FALSE)</f>
        <v>-1</v>
      </c>
      <c r="S14" s="47">
        <f>IF(J15="",0,IF(K15=$B$101,IF(H15&lt;J15,3,IF(H15=J15,1,0)),0))</f>
        <v>0</v>
      </c>
      <c r="T14" s="47">
        <f>IF(J18="",0,IF(K18=$B$101,IF(H18&lt;J18,3,IF(H18=J18,1,0)),0))</f>
        <v>0</v>
      </c>
      <c r="U14" s="44"/>
      <c r="V14" s="47">
        <f>IF(H14="",0,IF(K14=$B$101,IF(H14&gt;J14,3,IF(H14=J14,1,0)),0))</f>
        <v>3</v>
      </c>
      <c r="W14" s="1"/>
      <c r="X14" s="185">
        <f>RANK(AD14,AD12:AD15)+COUNTIF(AD12:AD14,AD14)-1</f>
        <v>3</v>
      </c>
      <c r="Y14" s="38" t="str">
        <f>B126</f>
        <v>Rumänien</v>
      </c>
      <c r="Z14" s="1">
        <f>SUM(S14:V14)</f>
        <v>3</v>
      </c>
      <c r="AA14" s="1">
        <f>SUM(S18:V18)</f>
        <v>1</v>
      </c>
      <c r="AB14" s="1">
        <f>SUM(U16:U19)</f>
        <v>2</v>
      </c>
      <c r="AC14" s="1">
        <f>AA14-AB14</f>
        <v>-1</v>
      </c>
      <c r="AD14" s="33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299010003010099</v>
      </c>
      <c r="AE14" s="5"/>
      <c r="AF14" s="34">
        <f>IF($Z14=$Z12,$S14-$U12,0)</f>
        <v>0</v>
      </c>
      <c r="AG14" s="34">
        <f>IF($Z14=$Z13,$T14-$U13,0)</f>
        <v>0</v>
      </c>
      <c r="AH14" s="34"/>
      <c r="AI14" s="34">
        <f>IF($Z14=$Z15,$V14-$U15,0)</f>
        <v>3</v>
      </c>
      <c r="AJ14" s="34">
        <f>SUM(AF14:AI14)</f>
        <v>3</v>
      </c>
      <c r="AK14" s="5"/>
      <c r="AL14" s="34">
        <f>IF($Z14=$Z12,$S18-$U16,0)</f>
        <v>0</v>
      </c>
      <c r="AM14" s="34">
        <f>IF($Z14=$Z13,$T18-$U17,0)</f>
        <v>0</v>
      </c>
      <c r="AN14" s="34"/>
      <c r="AO14" s="34">
        <f>IF($Z14=$Z15,$V18-$U19,0)</f>
        <v>1</v>
      </c>
      <c r="AP14" s="34">
        <f>SUM(AL14:AO14)</f>
        <v>1</v>
      </c>
      <c r="AQ14" s="34">
        <f>IF($Z14=$Z12,$S18,0)</f>
        <v>0</v>
      </c>
      <c r="AR14" s="34">
        <f>IF($Z14=$Z13,$T18,0)</f>
        <v>0</v>
      </c>
      <c r="AS14" s="34"/>
      <c r="AT14" s="34">
        <f>IF($Z14=$Z15,$V18,0)</f>
        <v>1</v>
      </c>
      <c r="AU14" s="34">
        <f>SUM(AQ14:AT14)</f>
        <v>1</v>
      </c>
      <c r="AV14" s="184">
        <f>IF(AND(COUNTIF(K13:K18,$B$101)=COUNTA(H13:H18),COUNTIF(K13:K18,$B$101)=COUNTA(J13:J18)),IF(AU14=AU12,S18-U16,IF(AU14=AU13,T18-U17,IF(AU14=AU15,V18-U19,2))),2)</f>
        <v>-1</v>
      </c>
      <c r="AW14" s="33"/>
    </row>
    <row r="15" spans="2:49" ht="12.75">
      <c r="B15" s="7">
        <v>42537.625</v>
      </c>
      <c r="C15" s="4" t="s">
        <v>137</v>
      </c>
      <c r="D15" s="40" t="str">
        <f>Y12</f>
        <v>England</v>
      </c>
      <c r="E15" s="22" t="s">
        <v>21</v>
      </c>
      <c r="F15" s="42" t="str">
        <f>Y14</f>
        <v>Rumänien</v>
      </c>
      <c r="G15" s="24"/>
      <c r="H15" s="60">
        <f ca="1" t="shared" si="2"/>
        <v>1</v>
      </c>
      <c r="I15" s="13" t="s">
        <v>22</v>
      </c>
      <c r="J15" s="58">
        <f ca="1" t="shared" si="3"/>
        <v>0</v>
      </c>
      <c r="K15" s="9" t="s">
        <v>23</v>
      </c>
      <c r="L15" s="1"/>
      <c r="M15" s="11" t="str">
        <f>VLOOKUP(4,$X$12:$AC$15,2,FALSE)</f>
        <v>Nordirland</v>
      </c>
      <c r="N15" s="2">
        <f>VLOOKUP(4,$X$12:$AC$15,3,FALSE)</f>
        <v>3</v>
      </c>
      <c r="O15" s="2">
        <f>VLOOKUP(4,$X$12:$AC$15,4,FALSE)</f>
        <v>1</v>
      </c>
      <c r="P15" s="2">
        <f>VLOOKUP(4,$X$12:$AC$15,5,FALSE)</f>
        <v>2</v>
      </c>
      <c r="Q15" s="2">
        <f>VLOOKUP(4,$X$12:$AC$15,6,FALSE)</f>
        <v>-1</v>
      </c>
      <c r="S15" s="48">
        <f>IF(H17="",0,IF(K17=$B$101,IF(H17&gt;J17,3,IF(H17=J17,1,0)),0))</f>
        <v>3</v>
      </c>
      <c r="T15" s="48">
        <f>IF(J16="",0,IF(K16=$B$101,IF(H16&lt;J16,3,IF(H16=J16,1,0)),0))</f>
        <v>0</v>
      </c>
      <c r="U15" s="48">
        <f>IF(J14="",0,IF(K14=$B$101,IF(H14&lt;J14,3,IF(H14=J14,1,0)),0))</f>
        <v>0</v>
      </c>
      <c r="V15" s="44"/>
      <c r="W15" s="1"/>
      <c r="X15" s="185">
        <f>RANK(AD15,AD12:AD15)+COUNTIF(AD12:AD15,AD15)-1</f>
        <v>4</v>
      </c>
      <c r="Y15" s="36" t="str">
        <f>B134</f>
        <v>Nordirland</v>
      </c>
      <c r="Z15" s="1">
        <f>SUM(S15:V15)</f>
        <v>3</v>
      </c>
      <c r="AA15" s="1">
        <f>SUM(S19:V19)</f>
        <v>1</v>
      </c>
      <c r="AB15" s="1">
        <f>SUM(V16:V19)</f>
        <v>2</v>
      </c>
      <c r="AC15" s="1">
        <f>AA15-AB15</f>
        <v>-1</v>
      </c>
      <c r="AD15" s="33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299009996989999</v>
      </c>
      <c r="AE15" s="5"/>
      <c r="AF15" s="34">
        <f>IF($Z15=$Z12,$S15-$V12,0)</f>
        <v>0</v>
      </c>
      <c r="AG15" s="34">
        <f>IF($Z15=$Z13,$T15-$V13,0)</f>
        <v>0</v>
      </c>
      <c r="AH15" s="34">
        <f>IF($Z15=$Z14,$U15-$V14,0)</f>
        <v>-3</v>
      </c>
      <c r="AI15" s="34"/>
      <c r="AJ15" s="34">
        <f>SUM(AF15:AI15)</f>
        <v>-3</v>
      </c>
      <c r="AK15" s="5"/>
      <c r="AL15" s="34">
        <f>IF($Z15=$Z12,$S19-$V16,0)</f>
        <v>0</v>
      </c>
      <c r="AM15" s="34">
        <f>IF($Z15=$Z13,$T19-$V17,0)</f>
        <v>0</v>
      </c>
      <c r="AN15" s="34">
        <f>IF($Z15=$Z14,$U19-$V18,0)</f>
        <v>-1</v>
      </c>
      <c r="AO15" s="34"/>
      <c r="AP15" s="34">
        <f>SUM(AL15:AO15)</f>
        <v>-1</v>
      </c>
      <c r="AQ15" s="34">
        <f>IF($Z15=$Z12,$S19,0)</f>
        <v>0</v>
      </c>
      <c r="AR15" s="34">
        <f>IF($Z15=$Z13,$T19,0)</f>
        <v>0</v>
      </c>
      <c r="AS15" s="34">
        <f>IF($Z15=$Z14,$U19,0)</f>
        <v>0</v>
      </c>
      <c r="AT15" s="34"/>
      <c r="AU15" s="34">
        <f>SUM(AQ15:AT15)</f>
        <v>0</v>
      </c>
      <c r="AV15" s="184">
        <f>IF(AND(COUNTIF(K13:K18,$B$101)=COUNTA(H13:H18),COUNTIF(K13:K18,$B$101)=COUNTA(J13:J18)),IF(AU15=AU12,S19-V16,IF(AU15=AU13,T19-V17,IF(AU15=AU14,U19-V18,1))),1)</f>
        <v>-1</v>
      </c>
      <c r="AW15" s="33"/>
    </row>
    <row r="16" spans="2:49" ht="12.75">
      <c r="B16" s="4">
        <v>42536.625</v>
      </c>
      <c r="C16" s="4" t="s">
        <v>140</v>
      </c>
      <c r="D16" s="41" t="str">
        <f>Y13</f>
        <v>Italien</v>
      </c>
      <c r="E16" s="22" t="s">
        <v>21</v>
      </c>
      <c r="F16" s="43" t="str">
        <f>Y15</f>
        <v>Nordirland</v>
      </c>
      <c r="G16" s="24"/>
      <c r="H16" s="59">
        <f ca="1" t="shared" si="2"/>
        <v>1</v>
      </c>
      <c r="I16" s="13" t="s">
        <v>22</v>
      </c>
      <c r="J16" s="61">
        <f ca="1" t="shared" si="3"/>
        <v>0</v>
      </c>
      <c r="K16" s="9" t="s">
        <v>23</v>
      </c>
      <c r="L16" s="1"/>
      <c r="N16" s="1"/>
      <c r="O16" s="1"/>
      <c r="P16" s="1"/>
      <c r="S16" s="44"/>
      <c r="T16" s="45">
        <f>IF(K13=$B$101,H13,0)</f>
        <v>1</v>
      </c>
      <c r="U16" s="45">
        <f>IF(K15=$B$101,H15,0)</f>
        <v>1</v>
      </c>
      <c r="V16" s="45">
        <f>IF(K17=$B$101,J17,0)</f>
        <v>0</v>
      </c>
      <c r="W16" s="1"/>
      <c r="X16" s="1"/>
      <c r="Y16" s="1"/>
      <c r="Z16" s="1"/>
      <c r="AA16" s="1"/>
      <c r="AB16" s="1"/>
      <c r="AC16" s="1"/>
      <c r="AD16" s="6"/>
      <c r="AE16" s="9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V16" s="34"/>
      <c r="AW16" s="33"/>
    </row>
    <row r="17" spans="2:49" ht="12.75">
      <c r="B17" s="7">
        <v>42541.875</v>
      </c>
      <c r="C17" s="4" t="s">
        <v>143</v>
      </c>
      <c r="D17" s="43" t="str">
        <f>Y15</f>
        <v>Nordirland</v>
      </c>
      <c r="E17" s="22" t="s">
        <v>21</v>
      </c>
      <c r="F17" s="40" t="str">
        <f>Y12</f>
        <v>England</v>
      </c>
      <c r="H17" s="61">
        <f ca="1" t="shared" si="2"/>
        <v>1</v>
      </c>
      <c r="I17" s="13" t="s">
        <v>22</v>
      </c>
      <c r="J17" s="60">
        <f ca="1" t="shared" si="3"/>
        <v>0</v>
      </c>
      <c r="K17" s="9" t="s">
        <v>23</v>
      </c>
      <c r="M17" s="71" t="str">
        <f>IF(N12&gt;0,M12,"")</f>
        <v>England</v>
      </c>
      <c r="N17" s="2" t="s">
        <v>27</v>
      </c>
      <c r="P17" s="51"/>
      <c r="S17" s="46">
        <f>IF(K13=$B$101,J13,0)</f>
        <v>0</v>
      </c>
      <c r="T17" s="44"/>
      <c r="U17" s="46">
        <f>IF(K18=$B$101,H18,0)</f>
        <v>1</v>
      </c>
      <c r="V17" s="46">
        <f>IF(K16=$B$101,H16,0)</f>
        <v>1</v>
      </c>
      <c r="AD17" s="2" t="s">
        <v>119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V17" s="35"/>
      <c r="AW17" s="33"/>
    </row>
    <row r="18" spans="2:49" ht="12.75">
      <c r="B18" s="7">
        <v>42541.875</v>
      </c>
      <c r="C18" s="4" t="s">
        <v>144</v>
      </c>
      <c r="D18" s="41" t="str">
        <f>Y13</f>
        <v>Italien</v>
      </c>
      <c r="E18" s="22" t="s">
        <v>21</v>
      </c>
      <c r="F18" s="42" t="str">
        <f>Y14</f>
        <v>Rumänien</v>
      </c>
      <c r="H18" s="59">
        <f ca="1" t="shared" si="2"/>
        <v>1</v>
      </c>
      <c r="I18" s="13" t="s">
        <v>22</v>
      </c>
      <c r="J18" s="56">
        <f ca="1" t="shared" si="3"/>
        <v>0</v>
      </c>
      <c r="K18" s="9" t="s">
        <v>23</v>
      </c>
      <c r="M18" s="71" t="str">
        <f>IF(N13&gt;0,M13,"")</f>
        <v>Italien</v>
      </c>
      <c r="N18" s="2" t="s">
        <v>28</v>
      </c>
      <c r="O18" s="52"/>
      <c r="P18" s="53"/>
      <c r="S18" s="47">
        <f>IF(K15=$B$101,J15,0)</f>
        <v>0</v>
      </c>
      <c r="T18" s="47">
        <f>IF(K18=$B$101,J18,0)</f>
        <v>0</v>
      </c>
      <c r="U18" s="44"/>
      <c r="V18" s="47">
        <f>IF(K14=$B$101,H14,0)</f>
        <v>1</v>
      </c>
      <c r="AD18" s="2" t="s">
        <v>120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V18" s="35"/>
      <c r="AW18" s="33"/>
    </row>
    <row r="19" spans="13:49" ht="12.75">
      <c r="M19" s="71" t="str">
        <f>IF(N14&gt;0,M14,"")</f>
        <v>Rumänien</v>
      </c>
      <c r="N19" s="2" t="s">
        <v>76</v>
      </c>
      <c r="S19" s="48">
        <f>IF(K17=$B$101,H17,0)</f>
        <v>1</v>
      </c>
      <c r="T19" s="48">
        <f>IF(K16=$B$101,J16,0)</f>
        <v>0</v>
      </c>
      <c r="U19" s="48">
        <f>IF(K14=$B$101,J14,0)</f>
        <v>0</v>
      </c>
      <c r="V19" s="44"/>
      <c r="AD19" s="2" t="s">
        <v>200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V19" s="35"/>
      <c r="AW19" s="33"/>
    </row>
    <row r="20" spans="5:49" ht="6" customHeight="1">
      <c r="E20" s="23"/>
      <c r="F20" s="12"/>
      <c r="G20" s="12"/>
      <c r="H20" s="2"/>
      <c r="I20" s="2"/>
      <c r="J20" s="2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V20" s="35"/>
      <c r="AW20" s="33"/>
    </row>
    <row r="21" spans="2:49" s="12" customFormat="1" ht="12.75">
      <c r="B21" s="49" t="s">
        <v>0</v>
      </c>
      <c r="C21" s="40" t="s">
        <v>29</v>
      </c>
      <c r="D21" s="24" t="s">
        <v>2</v>
      </c>
      <c r="E21" s="21"/>
      <c r="F21" s="24"/>
      <c r="G21" s="24"/>
      <c r="H21" s="28"/>
      <c r="I21" s="27"/>
      <c r="J21" s="28"/>
      <c r="K21" s="29"/>
      <c r="L21" s="24"/>
      <c r="M21" s="69" t="s">
        <v>3</v>
      </c>
      <c r="N21" s="24" t="s">
        <v>4</v>
      </c>
      <c r="O21" s="24" t="s">
        <v>5</v>
      </c>
      <c r="P21" s="24" t="s">
        <v>6</v>
      </c>
      <c r="Q21" s="24" t="s">
        <v>7</v>
      </c>
      <c r="R21" s="24"/>
      <c r="S21" s="2"/>
      <c r="T21" s="2"/>
      <c r="U21" s="2"/>
      <c r="V21" s="2"/>
      <c r="W21" s="24"/>
      <c r="X21" s="24" t="s">
        <v>8</v>
      </c>
      <c r="Y21" s="30" t="s">
        <v>9</v>
      </c>
      <c r="Z21" s="24" t="s">
        <v>4</v>
      </c>
      <c r="AA21" s="24" t="s">
        <v>5</v>
      </c>
      <c r="AB21" s="24" t="s">
        <v>6</v>
      </c>
      <c r="AC21" s="24" t="s">
        <v>7</v>
      </c>
      <c r="AD21" s="24"/>
      <c r="AE21" s="29" t="s">
        <v>10</v>
      </c>
      <c r="AF21" s="22" t="s">
        <v>11</v>
      </c>
      <c r="AG21" s="22"/>
      <c r="AH21" s="22"/>
      <c r="AI21" s="22"/>
      <c r="AJ21" s="22" t="s">
        <v>12</v>
      </c>
      <c r="AK21" s="30" t="s">
        <v>13</v>
      </c>
      <c r="AL21" s="22" t="s">
        <v>14</v>
      </c>
      <c r="AM21" s="22"/>
      <c r="AN21" s="22"/>
      <c r="AO21" s="22"/>
      <c r="AP21" s="22" t="s">
        <v>15</v>
      </c>
      <c r="AQ21" s="22" t="s">
        <v>16</v>
      </c>
      <c r="AR21" s="22"/>
      <c r="AS21" s="22"/>
      <c r="AT21" s="22"/>
      <c r="AU21" s="23" t="s">
        <v>17</v>
      </c>
      <c r="AV21" s="30" t="s">
        <v>18</v>
      </c>
      <c r="AW21" s="32"/>
    </row>
    <row r="22" spans="2:49" ht="12.75">
      <c r="B22" s="3" t="s">
        <v>19</v>
      </c>
      <c r="C22" s="3" t="s">
        <v>20</v>
      </c>
      <c r="L22" s="1"/>
      <c r="M22" s="11" t="str">
        <f>VLOOKUP(1,$X$22:$AC$25,2,FALSE)</f>
        <v>Spanien</v>
      </c>
      <c r="N22" s="2">
        <f>VLOOKUP(1,$X$22:$AC$25,3,FALSE)</f>
        <v>6</v>
      </c>
      <c r="O22" s="2">
        <f>VLOOKUP(1,$X$22:$AC$25,4,FALSE)</f>
        <v>2</v>
      </c>
      <c r="P22" s="2">
        <f>VLOOKUP(1,$X$22:$AC$25,5,FALSE)</f>
        <v>1</v>
      </c>
      <c r="Q22" s="2">
        <f>VLOOKUP(1,$X$22:$AC$25,6,FALSE)</f>
        <v>1</v>
      </c>
      <c r="S22" s="44"/>
      <c r="T22" s="45">
        <f>IF(H23="",0,IF(K23=$B$101,IF(H23&gt;J23,3,IF(H23=J23,1,0)),0))</f>
        <v>3</v>
      </c>
      <c r="U22" s="45">
        <f>IF(H25="",0,IF(K25=$B$101,IF(H25&gt;J25,3,IF(H25=J25,1,0)),0))</f>
        <v>3</v>
      </c>
      <c r="V22" s="45">
        <f>IF(J27="",0,IF(K27=$B$101,IF(H27&lt;J27,3,IF(H27=J27,1,0)),0))</f>
        <v>0</v>
      </c>
      <c r="W22" s="1"/>
      <c r="X22" s="185">
        <f>RANK(AD22,AD22:AD25)+COUNTIF(AD22:AD22,AD22)-1</f>
        <v>1</v>
      </c>
      <c r="Y22" s="39" t="str">
        <f>B111</f>
        <v>Spanien</v>
      </c>
      <c r="Z22" s="1">
        <f>SUM(S22:V22)</f>
        <v>6</v>
      </c>
      <c r="AA22" s="1">
        <f>SUM(S26:V26)</f>
        <v>2</v>
      </c>
      <c r="AB22" s="1">
        <f>SUM(S26:S29)</f>
        <v>1</v>
      </c>
      <c r="AC22" s="1">
        <f>AA22-AB22</f>
        <v>1</v>
      </c>
      <c r="AD22" s="33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601020003010101</v>
      </c>
      <c r="AE22" s="5"/>
      <c r="AF22" s="34"/>
      <c r="AG22" s="34">
        <f>IF($Z22=$Z23,$T22-$S23,0)</f>
        <v>3</v>
      </c>
      <c r="AH22" s="34">
        <f>IF($Z22=$Z24,$U22-$S24,0)</f>
        <v>0</v>
      </c>
      <c r="AI22" s="34">
        <f>IF($Z22=$Z25,$V22-$S25,0)</f>
        <v>0</v>
      </c>
      <c r="AJ22" s="34">
        <f>SUM(AF22:AI22)</f>
        <v>3</v>
      </c>
      <c r="AK22" s="5"/>
      <c r="AL22" s="34"/>
      <c r="AM22" s="34">
        <f>IF($Z22=$Z23,$T26-$S27,0)</f>
        <v>1</v>
      </c>
      <c r="AN22" s="34">
        <f>IF($Z22=$Z24,$U26-$S28,0)</f>
        <v>0</v>
      </c>
      <c r="AO22" s="34">
        <f>IF($Z22=$Z25,$V26-$S29,0)</f>
        <v>0</v>
      </c>
      <c r="AP22" s="34">
        <f>SUM(AL22:AO22)</f>
        <v>1</v>
      </c>
      <c r="AQ22" s="34"/>
      <c r="AR22" s="34">
        <f>IF($Z22=$Z23,$T26,0)</f>
        <v>1</v>
      </c>
      <c r="AS22" s="34">
        <f>IF($Z22=$Z24,$U26,0)</f>
        <v>0</v>
      </c>
      <c r="AT22" s="34">
        <f>IF($Z22=$Z25,$V26,0)</f>
        <v>0</v>
      </c>
      <c r="AU22" s="34">
        <f>SUM(AQ22:AT22)</f>
        <v>1</v>
      </c>
      <c r="AV22" s="184">
        <f>IF(AND(COUNTIF(K23:K28,$B$101)=COUNTA(H23:H28),COUNTIF(K23:K28,$B$101)=COUNTA(J23:J28)),IF(AU22=AU23,T26-S27,IF(AU22=AU24,U26-S28,IF(AU22=AU25,V26-S29,4))),4)</f>
        <v>1</v>
      </c>
      <c r="AW22" s="33"/>
    </row>
    <row r="23" spans="2:49" ht="12.75">
      <c r="B23" s="7">
        <v>42533.875</v>
      </c>
      <c r="C23" s="4" t="s">
        <v>140</v>
      </c>
      <c r="D23" s="40" t="str">
        <f>Y22</f>
        <v>Spanien</v>
      </c>
      <c r="E23" s="22" t="s">
        <v>21</v>
      </c>
      <c r="F23" s="41" t="str">
        <f>Y23</f>
        <v>Ukraine</v>
      </c>
      <c r="G23" s="24"/>
      <c r="H23" s="55">
        <f aca="true" ca="1" t="shared" si="4" ref="H23:H28">IF($B$102="",1,INT(RAND()*5)+INT(RAND()*3)*INT(RAND()*2))</f>
        <v>1</v>
      </c>
      <c r="I23" s="13" t="s">
        <v>22</v>
      </c>
      <c r="J23" s="57">
        <f aca="true" ca="1" t="shared" si="5" ref="J23:J28">IF($B$102="",0,INT(RAND()*5)+INT(RAND()*3)*INT(RAND()*2))</f>
        <v>0</v>
      </c>
      <c r="K23" s="9" t="s">
        <v>23</v>
      </c>
      <c r="L23" s="1"/>
      <c r="M23" s="11" t="str">
        <f>VLOOKUP(2,$X$22:$AC$25,2,FALSE)</f>
        <v>Ukraine</v>
      </c>
      <c r="N23" s="2">
        <f>VLOOKUP(2,$X$22:$AC$25,3,FALSE)</f>
        <v>6</v>
      </c>
      <c r="O23" s="2">
        <f>VLOOKUP(2,$X$22:$AC$25,4,FALSE)</f>
        <v>2</v>
      </c>
      <c r="P23" s="2">
        <f>VLOOKUP(2,$X$22:$AC$25,5,FALSE)</f>
        <v>1</v>
      </c>
      <c r="Q23" s="2">
        <f>VLOOKUP(2,$X$22:$AC$25,6,FALSE)</f>
        <v>1</v>
      </c>
      <c r="S23" s="46">
        <f>IF(J23="",0,IF(K23=$B$101,IF(H23&lt;J23,3,IF(H23=J23,1,0)),0))</f>
        <v>0</v>
      </c>
      <c r="T23" s="44"/>
      <c r="U23" s="46">
        <f>IF(H28="",0,IF(K28=$B$101,IF(H28&gt;J28,3,IF(H28=J28,1,0)),0))</f>
        <v>3</v>
      </c>
      <c r="V23" s="46">
        <f>IF(H26="",0,IF(K26=$B$101,IF(H26&gt;J26,3,IF(H26=J26,1,0)),0))</f>
        <v>3</v>
      </c>
      <c r="W23" s="1"/>
      <c r="X23" s="185">
        <f>RANK(AD23,AD22:AD25)+COUNTIF(AD22:AD23,AD23)-1</f>
        <v>2</v>
      </c>
      <c r="Y23" s="37" t="str">
        <f>B119</f>
        <v>Ukraine</v>
      </c>
      <c r="Z23" s="1">
        <f>SUM(S23:V23)</f>
        <v>6</v>
      </c>
      <c r="AA23" s="1">
        <f>SUM(S27:V27)</f>
        <v>2</v>
      </c>
      <c r="AB23" s="1">
        <f>SUM(T26:T29)</f>
        <v>1</v>
      </c>
      <c r="AC23" s="1">
        <f>AA23-AB23</f>
        <v>1</v>
      </c>
      <c r="AD23" s="33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601019996990001</v>
      </c>
      <c r="AE23" s="5"/>
      <c r="AF23" s="34">
        <f>IF($Z23=$Z22,$S23-$T22,0)</f>
        <v>-3</v>
      </c>
      <c r="AG23" s="34"/>
      <c r="AH23" s="34">
        <f>IF($Z23=$Z24,$U23-$T24,0)</f>
        <v>0</v>
      </c>
      <c r="AI23" s="34">
        <f>IF($Z23=$Z25,$V23-$T25,0)</f>
        <v>0</v>
      </c>
      <c r="AJ23" s="34">
        <f>SUM(AF23:AI23)</f>
        <v>-3</v>
      </c>
      <c r="AK23" s="5"/>
      <c r="AL23" s="34">
        <f>IF($Z23=$Z22,$S27-$T26,0)</f>
        <v>-1</v>
      </c>
      <c r="AM23" s="34"/>
      <c r="AN23" s="34">
        <f>IF($Z23=$Z24,$U27-$T28,0)</f>
        <v>0</v>
      </c>
      <c r="AO23" s="34">
        <f>IF($Z23=$Z25,$V27-$T29,0)</f>
        <v>0</v>
      </c>
      <c r="AP23" s="34">
        <f>SUM(AL23:AO23)</f>
        <v>-1</v>
      </c>
      <c r="AQ23" s="34">
        <f>IF($Z23=$Z22,$S27,0)</f>
        <v>0</v>
      </c>
      <c r="AR23" s="34"/>
      <c r="AS23" s="34">
        <f>IF($Z23=$Z24,$U27,0)</f>
        <v>0</v>
      </c>
      <c r="AT23" s="34">
        <f>IF($Z23=$Z25,$V27,0)</f>
        <v>0</v>
      </c>
      <c r="AU23" s="34">
        <f>SUM(AQ23:AT23)</f>
        <v>0</v>
      </c>
      <c r="AV23" s="184">
        <f>IF(AND(COUNTIF(K23:K28,$B$101)=COUNTA(H23:H28),COUNTIF(K23:K28,$B$101)=COUNTA(J23:J28)),IF(AU23=AU22,S27-T26,IF(AU23=AU24,U27-T28,IF(AU23=AU25,V27-T29,3))),3)</f>
        <v>1</v>
      </c>
      <c r="AW23" s="33"/>
    </row>
    <row r="24" spans="2:49" ht="12.75">
      <c r="B24" s="7">
        <v>42533.75</v>
      </c>
      <c r="C24" s="4" t="s">
        <v>145</v>
      </c>
      <c r="D24" s="42" t="str">
        <f>Y24</f>
        <v>Ungarn</v>
      </c>
      <c r="E24" s="22" t="s">
        <v>21</v>
      </c>
      <c r="F24" s="43" t="str">
        <f>Y25</f>
        <v>Albanien</v>
      </c>
      <c r="G24" s="24"/>
      <c r="H24" s="56">
        <f ca="1" t="shared" si="4"/>
        <v>1</v>
      </c>
      <c r="I24" s="13" t="s">
        <v>22</v>
      </c>
      <c r="J24" s="61">
        <f ca="1" t="shared" si="5"/>
        <v>0</v>
      </c>
      <c r="K24" s="9" t="s">
        <v>23</v>
      </c>
      <c r="L24" s="1"/>
      <c r="M24" s="11" t="str">
        <f>VLOOKUP(3,$X$22:$AC$25,2,FALSE)</f>
        <v>Ungarn</v>
      </c>
      <c r="N24" s="2">
        <f>VLOOKUP(3,$X$22:$AC$25,3,FALSE)</f>
        <v>3</v>
      </c>
      <c r="O24" s="2">
        <f>VLOOKUP(3,$X$22:$AC$25,4,FALSE)</f>
        <v>1</v>
      </c>
      <c r="P24" s="2">
        <f>VLOOKUP(3,$X$22:$AC$25,5,FALSE)</f>
        <v>2</v>
      </c>
      <c r="Q24" s="2">
        <f>VLOOKUP(3,$X$22:$AC$25,6,FALSE)</f>
        <v>-1</v>
      </c>
      <c r="S24" s="47">
        <f>IF(J25="",0,IF(K25=$B$101,IF(H25&lt;J25,3,IF(H25=J25,1,0)),0))</f>
        <v>0</v>
      </c>
      <c r="T24" s="47">
        <f>IF(J28="",0,IF(K28=$B$101,IF(H28&lt;J28,3,IF(H28=J28,1,0)),0))</f>
        <v>0</v>
      </c>
      <c r="U24" s="44"/>
      <c r="V24" s="47">
        <f>IF(H24="",0,IF(K24=$B$101,IF(H24&gt;J24,3,IF(H24=J24,1,0)),0))</f>
        <v>3</v>
      </c>
      <c r="W24" s="1"/>
      <c r="X24" s="185">
        <f>RANK(AD24,AD22:AD25)+COUNTIF(AD22:AD24,AD24)-1</f>
        <v>3</v>
      </c>
      <c r="Y24" s="38" t="str">
        <f>B127</f>
        <v>Ungarn</v>
      </c>
      <c r="Z24" s="1">
        <f>SUM(S24:V24)</f>
        <v>3</v>
      </c>
      <c r="AA24" s="1">
        <f>SUM(S28:V28)</f>
        <v>1</v>
      </c>
      <c r="AB24" s="1">
        <f>SUM(U26:U29)</f>
        <v>2</v>
      </c>
      <c r="AC24" s="1">
        <f>AA24-AB24</f>
        <v>-1</v>
      </c>
      <c r="AD24" s="33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299010003010099</v>
      </c>
      <c r="AE24" s="5"/>
      <c r="AF24" s="34">
        <f>IF($Z24=$Z22,$S24-$U22,0)</f>
        <v>0</v>
      </c>
      <c r="AG24" s="34">
        <f>IF($Z24=$Z23,$T24-$U23,0)</f>
        <v>0</v>
      </c>
      <c r="AH24" s="34"/>
      <c r="AI24" s="34">
        <f>IF($Z24=$Z25,$V24-$U25,0)</f>
        <v>3</v>
      </c>
      <c r="AJ24" s="34">
        <f>SUM(AF24:AI24)</f>
        <v>3</v>
      </c>
      <c r="AK24" s="5"/>
      <c r="AL24" s="34">
        <f>IF($Z24=$Z22,$S28-$U26,0)</f>
        <v>0</v>
      </c>
      <c r="AM24" s="34">
        <f>IF($Z24=$Z23,$T28-$U27,0)</f>
        <v>0</v>
      </c>
      <c r="AN24" s="34"/>
      <c r="AO24" s="34">
        <f>IF($Z24=$Z25,$V28-$U29,0)</f>
        <v>1</v>
      </c>
      <c r="AP24" s="34">
        <f>SUM(AL24:AO24)</f>
        <v>1</v>
      </c>
      <c r="AQ24" s="34">
        <f>IF($Z24=$Z22,$S28,0)</f>
        <v>0</v>
      </c>
      <c r="AR24" s="34">
        <f>IF($Z24=$Z23,$T28,0)</f>
        <v>0</v>
      </c>
      <c r="AS24" s="34"/>
      <c r="AT24" s="34">
        <f>IF($Z24=$Z25,$V28,0)</f>
        <v>1</v>
      </c>
      <c r="AU24" s="34">
        <f>SUM(AQ24:AT24)</f>
        <v>1</v>
      </c>
      <c r="AV24" s="184">
        <f>IF(AND(COUNTIF(K23:K28,$B$101)=COUNTA(H23:H28),COUNTIF(K23:K28,$B$101)=COUNTA(J23:J28)),IF(AU24=AU22,S28-U26,IF(AU24=AU23,T28-U27,IF(AU24=AU25,V28-U29,2))),2)</f>
        <v>-1</v>
      </c>
      <c r="AW24" s="33"/>
    </row>
    <row r="25" spans="2:49" ht="12.75">
      <c r="B25" s="7">
        <v>42537.875</v>
      </c>
      <c r="C25" s="4" t="s">
        <v>136</v>
      </c>
      <c r="D25" s="40" t="str">
        <f>Y22</f>
        <v>Spanien</v>
      </c>
      <c r="E25" s="22" t="s">
        <v>21</v>
      </c>
      <c r="F25" s="42" t="str">
        <f>Y24</f>
        <v>Ungarn</v>
      </c>
      <c r="G25" s="24"/>
      <c r="H25" s="60">
        <f ca="1" t="shared" si="4"/>
        <v>1</v>
      </c>
      <c r="I25" s="13" t="s">
        <v>22</v>
      </c>
      <c r="J25" s="58">
        <f ca="1" t="shared" si="5"/>
        <v>0</v>
      </c>
      <c r="K25" s="9" t="s">
        <v>23</v>
      </c>
      <c r="L25" s="1"/>
      <c r="M25" s="11" t="str">
        <f>VLOOKUP(4,$X$22:$AC$25,2,FALSE)</f>
        <v>Albanien</v>
      </c>
      <c r="N25" s="2">
        <f>VLOOKUP(4,$X$22:$AC$25,3,FALSE)</f>
        <v>3</v>
      </c>
      <c r="O25" s="2">
        <f>VLOOKUP(4,$X$22:$AC$25,4,FALSE)</f>
        <v>1</v>
      </c>
      <c r="P25" s="2">
        <f>VLOOKUP(4,$X$22:$AC$25,5,FALSE)</f>
        <v>2</v>
      </c>
      <c r="Q25" s="2">
        <f>VLOOKUP(4,$X$22:$AC$25,6,FALSE)</f>
        <v>-1</v>
      </c>
      <c r="S25" s="48">
        <f>IF(H27="",0,IF(K27=$B$101,IF(H27&gt;J27,3,IF(H27=J27,1,0)),0))</f>
        <v>3</v>
      </c>
      <c r="T25" s="48">
        <f>IF(J26="",0,IF(K26=$B$101,IF(H26&lt;J26,3,IF(H26=J26,1,0)),0))</f>
        <v>0</v>
      </c>
      <c r="U25" s="48">
        <f>IF(J24="",0,IF(K24=$B$101,IF(H24&lt;J24,3,IF(H24=J24,1,0)),0))</f>
        <v>0</v>
      </c>
      <c r="V25" s="44"/>
      <c r="W25" s="1"/>
      <c r="X25" s="185">
        <f>RANK(AD25,AD22:AD25)+COUNTIF(AD22:AD25,AD25)-1</f>
        <v>4</v>
      </c>
      <c r="Y25" s="36" t="str">
        <f>B135</f>
        <v>Albanien</v>
      </c>
      <c r="Z25" s="1">
        <f>SUM(S25:V25)</f>
        <v>3</v>
      </c>
      <c r="AA25" s="1">
        <f>SUM(S29:V29)</f>
        <v>1</v>
      </c>
      <c r="AB25" s="1">
        <f>SUM(V26:V29)</f>
        <v>2</v>
      </c>
      <c r="AC25" s="1">
        <f>AA25-AB25</f>
        <v>-1</v>
      </c>
      <c r="AD25" s="33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299009996989999</v>
      </c>
      <c r="AE25" s="5"/>
      <c r="AF25" s="34">
        <f>IF($Z25=$Z22,$S25-$V22,0)</f>
        <v>0</v>
      </c>
      <c r="AG25" s="34">
        <f>IF($Z25=$Z23,$T25-$V23,0)</f>
        <v>0</v>
      </c>
      <c r="AH25" s="34">
        <f>IF($Z25=$Z24,$U25-$V24,0)</f>
        <v>-3</v>
      </c>
      <c r="AI25" s="34"/>
      <c r="AJ25" s="34">
        <f>SUM(AF25:AI25)</f>
        <v>-3</v>
      </c>
      <c r="AK25" s="5"/>
      <c r="AL25" s="34">
        <f>IF($Z25=$Z22,$S29-$V26,0)</f>
        <v>0</v>
      </c>
      <c r="AM25" s="34">
        <f>IF($Z25=$Z23,$T29-$V27,0)</f>
        <v>0</v>
      </c>
      <c r="AN25" s="34">
        <f>IF($Z25=$Z24,$U29-$V28,0)</f>
        <v>-1</v>
      </c>
      <c r="AO25" s="34"/>
      <c r="AP25" s="34">
        <f>SUM(AL25:AO25)</f>
        <v>-1</v>
      </c>
      <c r="AQ25" s="34">
        <f>IF($Z25=$Z22,$S29,0)</f>
        <v>0</v>
      </c>
      <c r="AR25" s="34">
        <f>IF($Z25=$Z23,$T29,0)</f>
        <v>0</v>
      </c>
      <c r="AS25" s="34">
        <f>IF($Z25=$Z24,$U29,0)</f>
        <v>0</v>
      </c>
      <c r="AT25" s="34"/>
      <c r="AU25" s="34">
        <f>SUM(AQ25:AT25)</f>
        <v>0</v>
      </c>
      <c r="AV25" s="184">
        <f>IF(AND(COUNTIF(K23:K28,$B$101)=COUNTA(H23:H28),COUNTIF(K23:K28,$B$101)=COUNTA(J23:J28)),IF(AU25=AU22,S29-V26,IF(AU25=AU23,T29-V27,IF(AU25=AU24,U29-V28,1))),1)</f>
        <v>-1</v>
      </c>
      <c r="AW25" s="33"/>
    </row>
    <row r="26" spans="2:49" ht="12.75">
      <c r="B26" s="7">
        <v>42537.75</v>
      </c>
      <c r="C26" s="4" t="s">
        <v>141</v>
      </c>
      <c r="D26" s="41" t="str">
        <f>Y23</f>
        <v>Ukraine</v>
      </c>
      <c r="E26" s="22" t="s">
        <v>21</v>
      </c>
      <c r="F26" s="43" t="str">
        <f>Y25</f>
        <v>Albanien</v>
      </c>
      <c r="G26" s="24"/>
      <c r="H26" s="59">
        <f ca="1" t="shared" si="4"/>
        <v>1</v>
      </c>
      <c r="I26" s="13" t="s">
        <v>22</v>
      </c>
      <c r="J26" s="61">
        <f ca="1" t="shared" si="5"/>
        <v>0</v>
      </c>
      <c r="K26" s="9" t="s">
        <v>23</v>
      </c>
      <c r="L26" s="1"/>
      <c r="N26" s="1"/>
      <c r="O26" s="1"/>
      <c r="P26" s="1"/>
      <c r="S26" s="44"/>
      <c r="T26" s="45">
        <f>IF(K23=$B$101,H23,0)</f>
        <v>1</v>
      </c>
      <c r="U26" s="45">
        <f>IF(K25=$B$101,H25,0)</f>
        <v>1</v>
      </c>
      <c r="V26" s="45">
        <f>IF(K27=$B$101,J27,0)</f>
        <v>0</v>
      </c>
      <c r="W26" s="1"/>
      <c r="X26" s="1"/>
      <c r="Y26" s="1"/>
      <c r="Z26" s="1"/>
      <c r="AA26" s="1"/>
      <c r="AB26" s="1"/>
      <c r="AC26" s="1"/>
      <c r="AD26" s="6"/>
      <c r="AE26" s="9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V26" s="34"/>
      <c r="AW26" s="33"/>
    </row>
    <row r="27" spans="2:49" ht="12.75">
      <c r="B27" s="7">
        <v>42542.75</v>
      </c>
      <c r="C27" s="4" t="s">
        <v>138</v>
      </c>
      <c r="D27" s="43" t="str">
        <f>Y25</f>
        <v>Albanien</v>
      </c>
      <c r="E27" s="22" t="s">
        <v>21</v>
      </c>
      <c r="F27" s="40" t="str">
        <f>Y22</f>
        <v>Spanien</v>
      </c>
      <c r="H27" s="61">
        <f ca="1" t="shared" si="4"/>
        <v>1</v>
      </c>
      <c r="I27" s="13" t="s">
        <v>22</v>
      </c>
      <c r="J27" s="60">
        <f ca="1" t="shared" si="5"/>
        <v>0</v>
      </c>
      <c r="K27" s="9" t="s">
        <v>23</v>
      </c>
      <c r="M27" s="72" t="str">
        <f>IF(N22&gt;0,M22,"")</f>
        <v>Spanien</v>
      </c>
      <c r="N27" s="2" t="s">
        <v>30</v>
      </c>
      <c r="P27" s="51"/>
      <c r="S27" s="46">
        <f>IF(K23=$B$101,J23,0)</f>
        <v>0</v>
      </c>
      <c r="T27" s="44"/>
      <c r="U27" s="46">
        <f>IF(K28=$B$101,H28,0)</f>
        <v>1</v>
      </c>
      <c r="V27" s="46">
        <f>IF(K26=$B$101,H26,0)</f>
        <v>1</v>
      </c>
      <c r="AD27" s="2" t="s">
        <v>119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V27" s="35"/>
      <c r="AW27" s="33"/>
    </row>
    <row r="28" spans="2:49" ht="12.75">
      <c r="B28" s="7">
        <v>42542.75</v>
      </c>
      <c r="C28" s="4" t="s">
        <v>139</v>
      </c>
      <c r="D28" s="41" t="str">
        <f>Y23</f>
        <v>Ukraine</v>
      </c>
      <c r="E28" s="22" t="s">
        <v>21</v>
      </c>
      <c r="F28" s="42" t="str">
        <f>Y24</f>
        <v>Ungarn</v>
      </c>
      <c r="H28" s="59">
        <f ca="1" t="shared" si="4"/>
        <v>1</v>
      </c>
      <c r="I28" s="13" t="s">
        <v>22</v>
      </c>
      <c r="J28" s="56">
        <f ca="1" t="shared" si="5"/>
        <v>0</v>
      </c>
      <c r="K28" s="9" t="s">
        <v>23</v>
      </c>
      <c r="M28" s="72" t="str">
        <f>IF(N23&gt;0,M23,"")</f>
        <v>Ukraine</v>
      </c>
      <c r="N28" s="2" t="s">
        <v>31</v>
      </c>
      <c r="O28" s="52"/>
      <c r="P28" s="53"/>
      <c r="S28" s="47">
        <f>IF(K25=$B$101,J25,0)</f>
        <v>0</v>
      </c>
      <c r="T28" s="47">
        <f>IF(K28=$B$101,J28,0)</f>
        <v>0</v>
      </c>
      <c r="U28" s="44"/>
      <c r="V28" s="47">
        <f>IF(K24=$B$101,H24,0)</f>
        <v>1</v>
      </c>
      <c r="AD28" s="2" t="s">
        <v>120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V28" s="35"/>
      <c r="AW28" s="33"/>
    </row>
    <row r="29" spans="13:49" ht="12.75">
      <c r="M29" s="72" t="str">
        <f>IF(N24&gt;0,M24,"")</f>
        <v>Ungarn</v>
      </c>
      <c r="N29" s="2" t="s">
        <v>74</v>
      </c>
      <c r="S29" s="48">
        <f>IF(K27=$B$101,H27,0)</f>
        <v>1</v>
      </c>
      <c r="T29" s="48">
        <f>IF(K26=$B$101,J26,0)</f>
        <v>0</v>
      </c>
      <c r="U29" s="48">
        <f>IF(K24=$B$101,J24,0)</f>
        <v>0</v>
      </c>
      <c r="V29" s="44"/>
      <c r="AD29" s="2" t="s">
        <v>200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V29" s="35"/>
      <c r="AW29" s="33"/>
    </row>
    <row r="30" spans="5:49" ht="6" customHeight="1">
      <c r="E30" s="23"/>
      <c r="F30" s="12"/>
      <c r="G30" s="12"/>
      <c r="H30" s="2"/>
      <c r="I30" s="2"/>
      <c r="J30" s="2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V30" s="35"/>
      <c r="AW30" s="33"/>
    </row>
    <row r="31" spans="2:49" s="12" customFormat="1" ht="12.75">
      <c r="B31" s="156" t="s">
        <v>0</v>
      </c>
      <c r="C31" s="155" t="s">
        <v>32</v>
      </c>
      <c r="D31" s="24" t="s">
        <v>2</v>
      </c>
      <c r="E31" s="21"/>
      <c r="F31" s="24"/>
      <c r="G31" s="24"/>
      <c r="H31" s="28"/>
      <c r="I31" s="27"/>
      <c r="J31" s="28"/>
      <c r="K31" s="29"/>
      <c r="L31" s="24"/>
      <c r="M31" s="69" t="s">
        <v>3</v>
      </c>
      <c r="N31" s="24" t="s">
        <v>4</v>
      </c>
      <c r="O31" s="24" t="s">
        <v>5</v>
      </c>
      <c r="P31" s="24" t="s">
        <v>6</v>
      </c>
      <c r="Q31" s="24" t="s">
        <v>7</v>
      </c>
      <c r="R31" s="24"/>
      <c r="S31" s="2"/>
      <c r="T31" s="2"/>
      <c r="U31" s="2"/>
      <c r="V31" s="2"/>
      <c r="W31" s="24"/>
      <c r="X31" s="24" t="s">
        <v>8</v>
      </c>
      <c r="Y31" s="30" t="s">
        <v>9</v>
      </c>
      <c r="Z31" s="24" t="s">
        <v>4</v>
      </c>
      <c r="AA31" s="24" t="s">
        <v>5</v>
      </c>
      <c r="AB31" s="24" t="s">
        <v>6</v>
      </c>
      <c r="AC31" s="24" t="s">
        <v>7</v>
      </c>
      <c r="AD31" s="24"/>
      <c r="AE31" s="29" t="s">
        <v>10</v>
      </c>
      <c r="AF31" s="22" t="s">
        <v>11</v>
      </c>
      <c r="AG31" s="22"/>
      <c r="AH31" s="22"/>
      <c r="AI31" s="22"/>
      <c r="AJ31" s="22" t="s">
        <v>12</v>
      </c>
      <c r="AK31" s="30" t="s">
        <v>13</v>
      </c>
      <c r="AL31" s="22" t="s">
        <v>14</v>
      </c>
      <c r="AM31" s="22"/>
      <c r="AN31" s="22"/>
      <c r="AO31" s="22"/>
      <c r="AP31" s="22" t="s">
        <v>15</v>
      </c>
      <c r="AQ31" s="22" t="s">
        <v>16</v>
      </c>
      <c r="AR31" s="22"/>
      <c r="AS31" s="22"/>
      <c r="AT31" s="22"/>
      <c r="AU31" s="23" t="s">
        <v>17</v>
      </c>
      <c r="AV31" s="30" t="s">
        <v>18</v>
      </c>
      <c r="AW31" s="32"/>
    </row>
    <row r="32" spans="2:49" ht="12.75">
      <c r="B32" s="3" t="s">
        <v>19</v>
      </c>
      <c r="C32" s="3" t="s">
        <v>20</v>
      </c>
      <c r="L32" s="1"/>
      <c r="M32" s="11" t="str">
        <f>VLOOKUP(1,$X$32:$AC$35,2,FALSE)</f>
        <v>Deutschland</v>
      </c>
      <c r="N32" s="2">
        <f>VLOOKUP(1,$X$32:$AC$35,3,FALSE)</f>
        <v>6</v>
      </c>
      <c r="O32" s="2">
        <f>VLOOKUP(1,$X$32:$AC$35,4,FALSE)</f>
        <v>2</v>
      </c>
      <c r="P32" s="2">
        <f>VLOOKUP(1,$X$32:$AC$35,5,FALSE)</f>
        <v>1</v>
      </c>
      <c r="Q32" s="2">
        <f>VLOOKUP(1,$X$32:$AC$35,6,FALSE)</f>
        <v>1</v>
      </c>
      <c r="S32" s="44"/>
      <c r="T32" s="45">
        <f>IF(H33="",0,IF(K33=$B$101,IF(H33&gt;J33,3,IF(H33=J33,1,0)),0))</f>
        <v>3</v>
      </c>
      <c r="U32" s="45">
        <f>IF(H35="",0,IF(K35=$B$101,IF(H35&gt;J35,3,IF(H35=J35,1,0)),0))</f>
        <v>3</v>
      </c>
      <c r="V32" s="45">
        <f>IF(J37="",0,IF(K37=$B$101,IF(H37&lt;J37,3,IF(H37=J37,1,0)),0))</f>
        <v>0</v>
      </c>
      <c r="W32" s="1"/>
      <c r="X32" s="185">
        <f>RANK(AD32,AD32:AD35)+COUNTIF(AD32:AD32,AD32)-1</f>
        <v>1</v>
      </c>
      <c r="Y32" s="39" t="str">
        <f>B112</f>
        <v>Deutschland</v>
      </c>
      <c r="Z32" s="1">
        <f>SUM(S32:V32)</f>
        <v>6</v>
      </c>
      <c r="AA32" s="1">
        <f>SUM(S36:V36)</f>
        <v>2</v>
      </c>
      <c r="AB32" s="1">
        <f>SUM(S36:S39)</f>
        <v>1</v>
      </c>
      <c r="AC32" s="1">
        <f>AA32-AB32</f>
        <v>1</v>
      </c>
      <c r="AD32" s="33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601020003010101</v>
      </c>
      <c r="AE32" s="5"/>
      <c r="AF32" s="34"/>
      <c r="AG32" s="34">
        <f>IF($Z32=$Z33,$T32-$S33,0)</f>
        <v>3</v>
      </c>
      <c r="AH32" s="34">
        <f>IF($Z32=$Z34,$U32-$S34,0)</f>
        <v>0</v>
      </c>
      <c r="AI32" s="34">
        <f>IF($Z32=$Z35,$V32-$S35,0)</f>
        <v>0</v>
      </c>
      <c r="AJ32" s="34">
        <f>SUM(AF32:AI32)</f>
        <v>3</v>
      </c>
      <c r="AK32" s="5"/>
      <c r="AL32" s="34"/>
      <c r="AM32" s="34">
        <f>IF($Z32=$Z33,$T36-$S37,0)</f>
        <v>1</v>
      </c>
      <c r="AN32" s="34">
        <f>IF($Z32=$Z34,$U36-$S38,0)</f>
        <v>0</v>
      </c>
      <c r="AO32" s="34">
        <f>IF($Z32=$Z35,$V36-$S39,0)</f>
        <v>0</v>
      </c>
      <c r="AP32" s="34">
        <f>SUM(AL32:AO32)</f>
        <v>1</v>
      </c>
      <c r="AQ32" s="34"/>
      <c r="AR32" s="34">
        <f>IF($Z32=$Z33,$T36,0)</f>
        <v>1</v>
      </c>
      <c r="AS32" s="34">
        <f>IF($Z32=$Z34,$U36,0)</f>
        <v>0</v>
      </c>
      <c r="AT32" s="34">
        <f>IF($Z32=$Z35,$V36,0)</f>
        <v>0</v>
      </c>
      <c r="AU32" s="34">
        <f>SUM(AQ32:AT32)</f>
        <v>1</v>
      </c>
      <c r="AV32" s="184">
        <f>IF(AND(COUNTIF(K33:K38,$B$101)=COUNTA(H33:H38),COUNTIF(K33:K38,$B$101)=COUNTA(J33:J38)),IF(AU32=AU33,T36-S37,IF(AU32=AU34,U36-S38,IF(AU32=AU35,V36-S39,4))),4)</f>
        <v>1</v>
      </c>
      <c r="AW32" s="33"/>
    </row>
    <row r="33" spans="2:49" ht="12.75">
      <c r="B33" s="7">
        <v>42534.625</v>
      </c>
      <c r="C33" s="4" t="s">
        <v>144</v>
      </c>
      <c r="D33" s="40" t="str">
        <f>Y32</f>
        <v>Deutschland</v>
      </c>
      <c r="E33" s="22" t="s">
        <v>21</v>
      </c>
      <c r="F33" s="41" t="str">
        <f>Y33</f>
        <v>Kroatien</v>
      </c>
      <c r="G33" s="24"/>
      <c r="H33" s="55">
        <f aca="true" ca="1" t="shared" si="6" ref="H33:H38">IF($B$102="",1,INT(RAND()*5)+INT(RAND()*3)*INT(RAND()*2))</f>
        <v>1</v>
      </c>
      <c r="I33" s="13" t="s">
        <v>22</v>
      </c>
      <c r="J33" s="57">
        <f aca="true" ca="1" t="shared" si="7" ref="J33:J38">IF($B$102="",0,INT(RAND()*5)+INT(RAND()*3)*INT(RAND()*2))</f>
        <v>0</v>
      </c>
      <c r="K33" s="9" t="s">
        <v>23</v>
      </c>
      <c r="L33" s="1"/>
      <c r="M33" s="11" t="str">
        <f>VLOOKUP(2,$X$32:$AC$35,2,FALSE)</f>
        <v>Kroatien</v>
      </c>
      <c r="N33" s="2">
        <f>VLOOKUP(2,$X$32:$AC$35,3,FALSE)</f>
        <v>6</v>
      </c>
      <c r="O33" s="2">
        <f>VLOOKUP(2,$X$32:$AC$35,4,FALSE)</f>
        <v>2</v>
      </c>
      <c r="P33" s="2">
        <f>VLOOKUP(2,$X$32:$AC$35,5,FALSE)</f>
        <v>1</v>
      </c>
      <c r="Q33" s="2">
        <f>VLOOKUP(2,$X$32:$AC$35,6,FALSE)</f>
        <v>1</v>
      </c>
      <c r="S33" s="46">
        <f>IF(J33="",0,IF(K33=$B$101,IF(H33&lt;J33,3,IF(H33=J33,1,0)),0))</f>
        <v>0</v>
      </c>
      <c r="T33" s="44"/>
      <c r="U33" s="46">
        <f>IF(H38="",0,IF(K38=$B$101,IF(H38&gt;J38,3,IF(H38=J38,1,0)),0))</f>
        <v>3</v>
      </c>
      <c r="V33" s="46">
        <f>IF(H36="",0,IF(K36=$B$101,IF(H36&gt;J36,3,IF(H36=J36,1,0)),0))</f>
        <v>3</v>
      </c>
      <c r="W33" s="1"/>
      <c r="X33" s="185">
        <f>RANK(AD33,AD32:AD35)+COUNTIF(AD32:AD33,AD33)-1</f>
        <v>2</v>
      </c>
      <c r="Y33" s="37" t="str">
        <f>B120</f>
        <v>Kroatien</v>
      </c>
      <c r="Z33" s="1">
        <f>SUM(S33:V33)</f>
        <v>6</v>
      </c>
      <c r="AA33" s="1">
        <f>SUM(S37:V37)</f>
        <v>2</v>
      </c>
      <c r="AB33" s="1">
        <f>SUM(T36:T39)</f>
        <v>1</v>
      </c>
      <c r="AC33" s="1">
        <f>AA33-AB33</f>
        <v>1</v>
      </c>
      <c r="AD33" s="33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601019996990001</v>
      </c>
      <c r="AE33" s="5"/>
      <c r="AF33" s="34">
        <f>IF($Z33=$Z32,$S33-$T32,0)</f>
        <v>-3</v>
      </c>
      <c r="AG33" s="34"/>
      <c r="AH33" s="34">
        <f>IF($Z33=$Z34,$U33-$T34,0)</f>
        <v>0</v>
      </c>
      <c r="AI33" s="34">
        <f>IF($Z33=$Z35,$V33-$T35,0)</f>
        <v>0</v>
      </c>
      <c r="AJ33" s="34">
        <f>SUM(AF33:AI33)</f>
        <v>-3</v>
      </c>
      <c r="AK33" s="5"/>
      <c r="AL33" s="34">
        <f>IF($Z33=$Z32,$S37-$T36,0)</f>
        <v>-1</v>
      </c>
      <c r="AM33" s="34"/>
      <c r="AN33" s="34">
        <f>IF($Z33=$Z34,$U37-$T38,0)</f>
        <v>0</v>
      </c>
      <c r="AO33" s="34">
        <f>IF($Z33=$Z35,$V37-$T39,0)</f>
        <v>0</v>
      </c>
      <c r="AP33" s="34">
        <f>SUM(AL33:AO33)</f>
        <v>-1</v>
      </c>
      <c r="AQ33" s="34">
        <f>IF($Z33=$Z32,$S37,0)</f>
        <v>0</v>
      </c>
      <c r="AR33" s="34"/>
      <c r="AS33" s="34">
        <f>IF($Z33=$Z34,$U37,0)</f>
        <v>0</v>
      </c>
      <c r="AT33" s="34">
        <f>IF($Z33=$Z35,$V37,0)</f>
        <v>0</v>
      </c>
      <c r="AU33" s="34">
        <f>SUM(AQ33:AT33)</f>
        <v>0</v>
      </c>
      <c r="AV33" s="184">
        <f>IF(AND(COUNTIF(K33:K38,$B$101)=COUNTA(H33:H38),COUNTIF(K33:K38,$B$101)=COUNTA(J33:J38)),IF(AU33=AU32,S37-T36,IF(AU33=AU34,U37-T38,IF(AU33=AU35,V37-T39,3))),3)</f>
        <v>1</v>
      </c>
      <c r="AW33" s="33"/>
    </row>
    <row r="34" spans="2:49" ht="12.75">
      <c r="B34" s="7">
        <v>42533.625</v>
      </c>
      <c r="C34" s="4" t="s">
        <v>138</v>
      </c>
      <c r="D34" s="42" t="str">
        <f>Y34</f>
        <v>Tschechien</v>
      </c>
      <c r="E34" s="22" t="s">
        <v>21</v>
      </c>
      <c r="F34" s="43" t="str">
        <f>Y35</f>
        <v>Türkei</v>
      </c>
      <c r="G34" s="24"/>
      <c r="H34" s="56">
        <f ca="1" t="shared" si="6"/>
        <v>1</v>
      </c>
      <c r="I34" s="13" t="s">
        <v>22</v>
      </c>
      <c r="J34" s="61">
        <f ca="1" t="shared" si="7"/>
        <v>0</v>
      </c>
      <c r="K34" s="9" t="s">
        <v>23</v>
      </c>
      <c r="L34" s="1"/>
      <c r="M34" s="11" t="str">
        <f>VLOOKUP(3,$X$32:$AC$35,2,FALSE)</f>
        <v>Tschechien</v>
      </c>
      <c r="N34" s="2">
        <f>VLOOKUP(3,$X$32:$AC$35,3,FALSE)</f>
        <v>3</v>
      </c>
      <c r="O34" s="2">
        <f>VLOOKUP(3,$X$32:$AC$35,4,FALSE)</f>
        <v>1</v>
      </c>
      <c r="P34" s="2">
        <f>VLOOKUP(3,$X$32:$AC$35,5,FALSE)</f>
        <v>2</v>
      </c>
      <c r="Q34" s="2">
        <f>VLOOKUP(3,$X$32:$AC$35,6,FALSE)</f>
        <v>-1</v>
      </c>
      <c r="S34" s="47">
        <f>IF(J35="",0,IF(K35=$B$101,IF(H35&lt;J35,3,IF(H35=J35,1,0)),0))</f>
        <v>0</v>
      </c>
      <c r="T34" s="47">
        <f>IF(J38="",0,IF(K38=$B$101,IF(H38&lt;J38,3,IF(H38=J38,1,0)),0))</f>
        <v>0</v>
      </c>
      <c r="U34" s="44"/>
      <c r="V34" s="47">
        <f>IF(H34="",0,IF(K34=$B$101,IF(H34&gt;J34,3,IF(H34=J34,1,0)),0))</f>
        <v>3</v>
      </c>
      <c r="W34" s="1"/>
      <c r="X34" s="185">
        <f>RANK(AD34,AD32:AD35)+COUNTIF(AD32:AD34,AD34)-1</f>
        <v>3</v>
      </c>
      <c r="Y34" s="38" t="str">
        <f>B128</f>
        <v>Tschechien</v>
      </c>
      <c r="Z34" s="1">
        <f>SUM(S34:V34)</f>
        <v>3</v>
      </c>
      <c r="AA34" s="1">
        <f>SUM(S38:V38)</f>
        <v>1</v>
      </c>
      <c r="AB34" s="1">
        <f>SUM(U36:U39)</f>
        <v>2</v>
      </c>
      <c r="AC34" s="1">
        <f>AA34-AB34</f>
        <v>-1</v>
      </c>
      <c r="AD34" s="33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299010003010099</v>
      </c>
      <c r="AE34" s="5"/>
      <c r="AF34" s="34">
        <f>IF($Z34=$Z32,$S34-$U32,0)</f>
        <v>0</v>
      </c>
      <c r="AG34" s="34">
        <f>IF($Z34=$Z33,$T34-$U33,0)</f>
        <v>0</v>
      </c>
      <c r="AH34" s="34"/>
      <c r="AI34" s="34">
        <f>IF($Z34=$Z35,$V34-$U35,0)</f>
        <v>3</v>
      </c>
      <c r="AJ34" s="34">
        <f>SUM(AF34:AI34)</f>
        <v>3</v>
      </c>
      <c r="AK34" s="5"/>
      <c r="AL34" s="34">
        <f>IF($Z34=$Z32,$S38-$U36,0)</f>
        <v>0</v>
      </c>
      <c r="AM34" s="34">
        <f>IF($Z34=$Z33,$T38-$U37,0)</f>
        <v>0</v>
      </c>
      <c r="AN34" s="34"/>
      <c r="AO34" s="34">
        <f>IF($Z34=$Z35,$V38-$U39,0)</f>
        <v>1</v>
      </c>
      <c r="AP34" s="34">
        <f>SUM(AL34:AO34)</f>
        <v>1</v>
      </c>
      <c r="AQ34" s="34">
        <f>IF($Z34=$Z32,$S38,0)</f>
        <v>0</v>
      </c>
      <c r="AR34" s="34">
        <f>IF($Z34=$Z33,$T38,0)</f>
        <v>0</v>
      </c>
      <c r="AS34" s="34"/>
      <c r="AT34" s="34">
        <f>IF($Z34=$Z35,$V38,0)</f>
        <v>1</v>
      </c>
      <c r="AU34" s="34">
        <f>SUM(AQ34:AT34)</f>
        <v>1</v>
      </c>
      <c r="AV34" s="184">
        <f>IF(AND(COUNTIF(K33:K38,$B$101)=COUNTA(H33:H38),COUNTIF(K33:K38,$B$101)=COUNTA(J33:J38)),IF(AU34=AU32,S38-U36,IF(AU34=AU33,T38-U37,IF(AU34=AU35,V38-U39,2))),2)</f>
        <v>-1</v>
      </c>
      <c r="AW34" s="33"/>
    </row>
    <row r="35" spans="2:49" ht="12.75">
      <c r="B35" s="7">
        <v>42538.875</v>
      </c>
      <c r="C35" s="4" t="s">
        <v>145</v>
      </c>
      <c r="D35" s="40" t="str">
        <f>Y32</f>
        <v>Deutschland</v>
      </c>
      <c r="E35" s="22" t="s">
        <v>21</v>
      </c>
      <c r="F35" s="42" t="str">
        <f>Y34</f>
        <v>Tschechien</v>
      </c>
      <c r="G35" s="24"/>
      <c r="H35" s="60">
        <f ca="1" t="shared" si="6"/>
        <v>1</v>
      </c>
      <c r="I35" s="13" t="s">
        <v>22</v>
      </c>
      <c r="J35" s="58">
        <f ca="1" t="shared" si="7"/>
        <v>0</v>
      </c>
      <c r="K35" s="9" t="s">
        <v>23</v>
      </c>
      <c r="L35" s="1"/>
      <c r="M35" s="11" t="str">
        <f>VLOOKUP(4,$X$32:$AC$35,2,FALSE)</f>
        <v>Türkei</v>
      </c>
      <c r="N35" s="2">
        <f>VLOOKUP(4,$X$32:$AC$35,3,FALSE)</f>
        <v>3</v>
      </c>
      <c r="O35" s="2">
        <f>VLOOKUP(4,$X$32:$AC$35,4,FALSE)</f>
        <v>1</v>
      </c>
      <c r="P35" s="2">
        <f>VLOOKUP(4,$X$32:$AC$35,5,FALSE)</f>
        <v>2</v>
      </c>
      <c r="Q35" s="2">
        <f>VLOOKUP(4,$X$32:$AC$35,6,FALSE)</f>
        <v>-1</v>
      </c>
      <c r="S35" s="48">
        <f>IF(H37="",0,IF(K37=$B$101,IF(H37&gt;J37,3,IF(H37=J37,1,0)),0))</f>
        <v>3</v>
      </c>
      <c r="T35" s="48">
        <f>IF(J36="",0,IF(K36=$B$101,IF(H36&lt;J36,3,IF(H36=J36,1,0)),0))</f>
        <v>0</v>
      </c>
      <c r="U35" s="48">
        <f>IF(J34="",0,IF(K34=$B$101,IF(H34&lt;J34,3,IF(H34=J34,1,0)),0))</f>
        <v>0</v>
      </c>
      <c r="V35" s="44"/>
      <c r="W35" s="1"/>
      <c r="X35" s="185">
        <f>RANK(AD35,AD32:AD35)+COUNTIF(AD32:AD35,AD35)-1</f>
        <v>4</v>
      </c>
      <c r="Y35" s="36" t="str">
        <f>B136</f>
        <v>Türkei</v>
      </c>
      <c r="Z35" s="1">
        <f>SUM(S35:V35)</f>
        <v>3</v>
      </c>
      <c r="AA35" s="1">
        <f>SUM(S39:V39)</f>
        <v>1</v>
      </c>
      <c r="AB35" s="1">
        <f>SUM(V36:V39)</f>
        <v>2</v>
      </c>
      <c r="AC35" s="1">
        <f>AA35-AB35</f>
        <v>-1</v>
      </c>
      <c r="AD35" s="33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299009996989999</v>
      </c>
      <c r="AE35" s="5"/>
      <c r="AF35" s="34">
        <f>IF($Z35=$Z32,$S35-$V32,0)</f>
        <v>0</v>
      </c>
      <c r="AG35" s="34">
        <f>IF($Z35=$Z33,$T35-$V33,0)</f>
        <v>0</v>
      </c>
      <c r="AH35" s="34">
        <f>IF($Z35=$Z34,$U35-$V34,0)</f>
        <v>-3</v>
      </c>
      <c r="AI35" s="34"/>
      <c r="AJ35" s="34">
        <f>SUM(AF35:AI35)</f>
        <v>-3</v>
      </c>
      <c r="AK35" s="5"/>
      <c r="AL35" s="34">
        <f>IF($Z35=$Z32,$S39-$V36,0)</f>
        <v>0</v>
      </c>
      <c r="AM35" s="34">
        <f>IF($Z35=$Z33,$T39-$V37,0)</f>
        <v>0</v>
      </c>
      <c r="AN35" s="34">
        <f>IF($Z35=$Z34,$U39-$V38,0)</f>
        <v>-1</v>
      </c>
      <c r="AO35" s="34"/>
      <c r="AP35" s="34">
        <f>SUM(AL35:AO35)</f>
        <v>-1</v>
      </c>
      <c r="AQ35" s="34">
        <f>IF($Z35=$Z32,$S39,0)</f>
        <v>0</v>
      </c>
      <c r="AR35" s="34">
        <f>IF($Z35=$Z33,$T39,0)</f>
        <v>0</v>
      </c>
      <c r="AS35" s="34">
        <f>IF($Z35=$Z34,$U39,0)</f>
        <v>0</v>
      </c>
      <c r="AT35" s="34"/>
      <c r="AU35" s="34">
        <f>SUM(AQ35:AT35)</f>
        <v>0</v>
      </c>
      <c r="AV35" s="184">
        <f>IF(AND(COUNTIF(K33:K38,$B$101)=COUNTA(H33:H38),COUNTIF(K33:K38,$B$101)=COUNTA(J33:J38)),IF(AU35=AU32,S39-V36,IF(AU35=AU33,T39-V37,IF(AU35=AU34,U39-V38,1))),1)</f>
        <v>-1</v>
      </c>
      <c r="AW35" s="33"/>
    </row>
    <row r="36" spans="2:49" ht="12.75">
      <c r="B36" s="7">
        <v>42538.75</v>
      </c>
      <c r="C36" s="4" t="s">
        <v>143</v>
      </c>
      <c r="D36" s="41" t="str">
        <f>Y33</f>
        <v>Kroatien</v>
      </c>
      <c r="E36" s="22" t="s">
        <v>21</v>
      </c>
      <c r="F36" s="43" t="str">
        <f>Y35</f>
        <v>Türkei</v>
      </c>
      <c r="G36" s="24"/>
      <c r="H36" s="59">
        <f ca="1" t="shared" si="6"/>
        <v>1</v>
      </c>
      <c r="I36" s="13" t="s">
        <v>22</v>
      </c>
      <c r="J36" s="61">
        <f ca="1" t="shared" si="7"/>
        <v>0</v>
      </c>
      <c r="K36" s="9" t="s">
        <v>23</v>
      </c>
      <c r="L36" s="1"/>
      <c r="N36" s="1"/>
      <c r="O36" s="1"/>
      <c r="P36" s="1"/>
      <c r="S36" s="44"/>
      <c r="T36" s="45">
        <f>IF(K33=$B$101,H33,0)</f>
        <v>1</v>
      </c>
      <c r="U36" s="45">
        <f>IF(K35=$B$101,H35,0)</f>
        <v>1</v>
      </c>
      <c r="V36" s="45">
        <f>IF(K37=$B$101,J37,0)</f>
        <v>0</v>
      </c>
      <c r="W36" s="1"/>
      <c r="X36" s="1"/>
      <c r="Y36" s="1"/>
      <c r="Z36" s="1"/>
      <c r="AA36" s="1"/>
      <c r="AB36" s="1"/>
      <c r="AC36" s="1"/>
      <c r="AD36" s="6"/>
      <c r="AE36" s="9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V36" s="34"/>
      <c r="AW36" s="33"/>
    </row>
    <row r="37" spans="2:49" ht="12.75">
      <c r="B37" s="7">
        <v>42542.875</v>
      </c>
      <c r="C37" s="4" t="s">
        <v>142</v>
      </c>
      <c r="D37" s="43" t="str">
        <f>Y35</f>
        <v>Türkei</v>
      </c>
      <c r="E37" s="22" t="s">
        <v>21</v>
      </c>
      <c r="F37" s="40" t="str">
        <f>Y32</f>
        <v>Deutschland</v>
      </c>
      <c r="H37" s="61">
        <f ca="1" t="shared" si="6"/>
        <v>1</v>
      </c>
      <c r="I37" s="13" t="s">
        <v>22</v>
      </c>
      <c r="J37" s="60">
        <f ca="1" t="shared" si="7"/>
        <v>0</v>
      </c>
      <c r="K37" s="9" t="s">
        <v>23</v>
      </c>
      <c r="M37" s="155" t="str">
        <f>IF(N32&gt;0,M32,"")</f>
        <v>Deutschland</v>
      </c>
      <c r="N37" s="2" t="s">
        <v>33</v>
      </c>
      <c r="P37" s="51"/>
      <c r="S37" s="46">
        <f>IF(K33=$B$101,J33,0)</f>
        <v>0</v>
      </c>
      <c r="T37" s="44"/>
      <c r="U37" s="46">
        <f>IF(K38=$B$101,H38,0)</f>
        <v>1</v>
      </c>
      <c r="V37" s="46">
        <f>IF(K36=$B$101,H36,0)</f>
        <v>1</v>
      </c>
      <c r="AD37" s="2" t="s">
        <v>119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V37" s="35"/>
      <c r="AW37" s="33"/>
    </row>
    <row r="38" spans="2:49" ht="12.75">
      <c r="B38" s="7">
        <v>42542.875</v>
      </c>
      <c r="C38" s="4" t="s">
        <v>137</v>
      </c>
      <c r="D38" s="41" t="str">
        <f>Y33</f>
        <v>Kroatien</v>
      </c>
      <c r="E38" s="22" t="s">
        <v>21</v>
      </c>
      <c r="F38" s="42" t="str">
        <f>Y34</f>
        <v>Tschechien</v>
      </c>
      <c r="H38" s="59">
        <f ca="1" t="shared" si="6"/>
        <v>1</v>
      </c>
      <c r="I38" s="13" t="s">
        <v>22</v>
      </c>
      <c r="J38" s="56">
        <f ca="1" t="shared" si="7"/>
        <v>0</v>
      </c>
      <c r="K38" s="9" t="s">
        <v>23</v>
      </c>
      <c r="M38" s="155" t="str">
        <f>IF(N33&gt;0,M33,"")</f>
        <v>Kroatien</v>
      </c>
      <c r="N38" s="2" t="s">
        <v>34</v>
      </c>
      <c r="O38" s="52"/>
      <c r="P38" s="53"/>
      <c r="S38" s="47">
        <f>IF(K35=$B$101,J35,0)</f>
        <v>0</v>
      </c>
      <c r="T38" s="47">
        <f>IF(K38=$B$101,J38,0)</f>
        <v>0</v>
      </c>
      <c r="U38" s="44"/>
      <c r="V38" s="47">
        <f>IF(K34=$B$101,H34,0)</f>
        <v>1</v>
      </c>
      <c r="AD38" s="2" t="s">
        <v>120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V38" s="35"/>
      <c r="AW38" s="33"/>
    </row>
    <row r="39" spans="13:49" ht="12.75">
      <c r="M39" s="155" t="str">
        <f>IF(N34&gt;0,M34,"")</f>
        <v>Tschechien</v>
      </c>
      <c r="N39" s="2" t="s">
        <v>117</v>
      </c>
      <c r="S39" s="48">
        <f>IF(K37=$B$101,H37,0)</f>
        <v>1</v>
      </c>
      <c r="T39" s="48">
        <f>IF(K36=$B$101,J36,0)</f>
        <v>0</v>
      </c>
      <c r="U39" s="48">
        <f>IF(K34=$B$101,J34,0)</f>
        <v>0</v>
      </c>
      <c r="V39" s="44"/>
      <c r="AD39" s="2" t="s">
        <v>200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V39" s="35"/>
      <c r="AW39" s="33"/>
    </row>
    <row r="40" spans="5:49" ht="6" customHeight="1">
      <c r="E40" s="23"/>
      <c r="F40" s="12"/>
      <c r="G40" s="12"/>
      <c r="H40" s="2"/>
      <c r="I40" s="2"/>
      <c r="J40" s="2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V40" s="35"/>
      <c r="AW40" s="33"/>
    </row>
    <row r="41" spans="2:49" s="12" customFormat="1" ht="12.75">
      <c r="B41" s="25" t="s">
        <v>0</v>
      </c>
      <c r="C41" s="26" t="s">
        <v>35</v>
      </c>
      <c r="D41" s="24" t="s">
        <v>2</v>
      </c>
      <c r="E41" s="21"/>
      <c r="F41" s="24"/>
      <c r="G41" s="24"/>
      <c r="H41" s="28"/>
      <c r="I41" s="27"/>
      <c r="J41" s="28"/>
      <c r="K41" s="29"/>
      <c r="L41" s="24"/>
      <c r="M41" s="69" t="s">
        <v>3</v>
      </c>
      <c r="N41" s="24" t="s">
        <v>4</v>
      </c>
      <c r="O41" s="24" t="s">
        <v>5</v>
      </c>
      <c r="P41" s="24" t="s">
        <v>6</v>
      </c>
      <c r="Q41" s="24" t="s">
        <v>7</v>
      </c>
      <c r="R41" s="24"/>
      <c r="S41" s="2"/>
      <c r="T41" s="2"/>
      <c r="U41" s="2"/>
      <c r="V41" s="2"/>
      <c r="W41" s="24"/>
      <c r="X41" s="24" t="s">
        <v>8</v>
      </c>
      <c r="Y41" s="30" t="s">
        <v>9</v>
      </c>
      <c r="Z41" s="24" t="s">
        <v>4</v>
      </c>
      <c r="AA41" s="24" t="s">
        <v>5</v>
      </c>
      <c r="AB41" s="24" t="s">
        <v>6</v>
      </c>
      <c r="AC41" s="24" t="s">
        <v>7</v>
      </c>
      <c r="AD41" s="24"/>
      <c r="AE41" s="29" t="s">
        <v>10</v>
      </c>
      <c r="AF41" s="22" t="s">
        <v>11</v>
      </c>
      <c r="AG41" s="22"/>
      <c r="AH41" s="22"/>
      <c r="AI41" s="22"/>
      <c r="AJ41" s="22" t="s">
        <v>12</v>
      </c>
      <c r="AK41" s="30" t="s">
        <v>13</v>
      </c>
      <c r="AL41" s="22" t="s">
        <v>14</v>
      </c>
      <c r="AM41" s="22"/>
      <c r="AN41" s="22"/>
      <c r="AO41" s="22"/>
      <c r="AP41" s="22" t="s">
        <v>15</v>
      </c>
      <c r="AQ41" s="22" t="s">
        <v>16</v>
      </c>
      <c r="AR41" s="22"/>
      <c r="AS41" s="22"/>
      <c r="AT41" s="22"/>
      <c r="AU41" s="23" t="s">
        <v>17</v>
      </c>
      <c r="AV41" s="30" t="s">
        <v>18</v>
      </c>
      <c r="AW41" s="32"/>
    </row>
    <row r="42" spans="2:49" ht="12.75">
      <c r="B42" s="3" t="s">
        <v>19</v>
      </c>
      <c r="C42" s="3" t="s">
        <v>20</v>
      </c>
      <c r="L42" s="1"/>
      <c r="M42" s="11" t="str">
        <f>VLOOKUP(1,$X$42:$AC$45,2,FALSE)</f>
        <v>Portugal</v>
      </c>
      <c r="N42" s="2">
        <f>VLOOKUP(1,$X$42:$AC$45,3,FALSE)</f>
        <v>6</v>
      </c>
      <c r="O42" s="2">
        <f>VLOOKUP(1,$X$42:$AC$45,4,FALSE)</f>
        <v>2</v>
      </c>
      <c r="P42" s="2">
        <f>VLOOKUP(1,$X$42:$AC$45,5,FALSE)</f>
        <v>1</v>
      </c>
      <c r="Q42" s="2">
        <f>VLOOKUP(1,$X$42:$AC$45,6,FALSE)</f>
        <v>1</v>
      </c>
      <c r="S42" s="44"/>
      <c r="T42" s="45">
        <f>IF(H43="",0,IF(K43=$B$101,IF(H43&gt;J43,3,IF(H43=J43,1,0)),0))</f>
        <v>3</v>
      </c>
      <c r="U42" s="45">
        <f>IF(H45="",0,IF(K45=$B$101,IF(H45&gt;J45,3,IF(H45=J45,1,0)),0))</f>
        <v>3</v>
      </c>
      <c r="V42" s="45">
        <f>IF(J47="",0,IF(K47=$B$101,IF(H47&lt;J47,3,IF(H47=J47,1,0)),0))</f>
        <v>0</v>
      </c>
      <c r="W42" s="1"/>
      <c r="X42" s="185">
        <f>RANK(AD42,AD42:AD45)+COUNTIF(AD42:AD42,AD42)-1</f>
        <v>1</v>
      </c>
      <c r="Y42" s="39" t="str">
        <f>B113</f>
        <v>Portugal</v>
      </c>
      <c r="Z42" s="1">
        <f>SUM(S42:V42)</f>
        <v>6</v>
      </c>
      <c r="AA42" s="1">
        <f>SUM(S46:V46)</f>
        <v>2</v>
      </c>
      <c r="AB42" s="1">
        <f>SUM(S46:S49)</f>
        <v>1</v>
      </c>
      <c r="AC42" s="1">
        <f>AA42-AB42</f>
        <v>1</v>
      </c>
      <c r="AD42" s="33">
        <f>IF(P$48="",AE42*10000000000000000+Z42*100000000000000+AC42*1000000000000+AA42*10000000000+AK42*100000000+AJ42*1000000+AP42*10000+AU42*100+AV42,AE42*10000000000000000+Z42*100000000000000+AK42*1000000000000+AJ42*10000000000+AP42*100000000+AU42*1000000+AC42*10000+AA42*100+AV42)</f>
        <v>601020003010101</v>
      </c>
      <c r="AE42" s="5"/>
      <c r="AF42" s="34"/>
      <c r="AG42" s="34">
        <f>IF($Z42=$Z43,$T42-$S43,0)</f>
        <v>3</v>
      </c>
      <c r="AH42" s="34">
        <f>IF($Z42=$Z44,$U42-$S44,0)</f>
        <v>0</v>
      </c>
      <c r="AI42" s="34">
        <f>IF($Z42=$Z45,$V42-$S45,0)</f>
        <v>0</v>
      </c>
      <c r="AJ42" s="34">
        <f>SUM(AF42:AI42)</f>
        <v>3</v>
      </c>
      <c r="AK42" s="5"/>
      <c r="AL42" s="34"/>
      <c r="AM42" s="34">
        <f>IF($Z42=$Z43,$T46-$S47,0)</f>
        <v>1</v>
      </c>
      <c r="AN42" s="34">
        <f>IF($Z42=$Z44,$U46-$S48,0)</f>
        <v>0</v>
      </c>
      <c r="AO42" s="34">
        <f>IF($Z42=$Z45,$V46-$S49,0)</f>
        <v>0</v>
      </c>
      <c r="AP42" s="34">
        <f>SUM(AL42:AO42)</f>
        <v>1</v>
      </c>
      <c r="AQ42" s="34"/>
      <c r="AR42" s="34">
        <f>IF($Z42=$Z43,$T46,0)</f>
        <v>1</v>
      </c>
      <c r="AS42" s="34">
        <f>IF($Z42=$Z44,$U46,0)</f>
        <v>0</v>
      </c>
      <c r="AT42" s="34">
        <f>IF($Z42=$Z45,$V46,0)</f>
        <v>0</v>
      </c>
      <c r="AU42" s="34">
        <f>SUM(AQ42:AT42)</f>
        <v>1</v>
      </c>
      <c r="AV42" s="184">
        <f>IF(AND(COUNTIF(K43:K48,$B$101)=COUNTA(H43:H48),COUNTIF(K43:K48,$B$101)=COUNTA(J43:J48)),IF(AU42=AU43,T46-S47,IF(AU42=AU44,U46-S48,IF(AU42=AU45,V46-S49,4))),4)</f>
        <v>1</v>
      </c>
      <c r="AW42" s="33"/>
    </row>
    <row r="43" spans="2:49" ht="12.75">
      <c r="B43" s="7">
        <v>42534.875</v>
      </c>
      <c r="C43" s="4" t="s">
        <v>141</v>
      </c>
      <c r="D43" s="40" t="str">
        <f>Y42</f>
        <v>Portugal</v>
      </c>
      <c r="E43" s="22" t="s">
        <v>21</v>
      </c>
      <c r="F43" s="41" t="str">
        <f>Y43</f>
        <v>Schweiz</v>
      </c>
      <c r="G43" s="24"/>
      <c r="H43" s="55">
        <f aca="true" ca="1" t="shared" si="8" ref="H43:H48">IF($B$102="",1,INT(RAND()*5)+INT(RAND()*3)*INT(RAND()*2))</f>
        <v>1</v>
      </c>
      <c r="I43" s="13" t="s">
        <v>22</v>
      </c>
      <c r="J43" s="57">
        <f aca="true" ca="1" t="shared" si="9" ref="J43:J48">IF($B$102="",0,INT(RAND()*5)+INT(RAND()*3)*INT(RAND()*2))</f>
        <v>0</v>
      </c>
      <c r="K43" s="9" t="s">
        <v>23</v>
      </c>
      <c r="L43" s="1"/>
      <c r="M43" s="11" t="str">
        <f>VLOOKUP(2,$X$42:$AC$45,2,FALSE)</f>
        <v>Schweiz</v>
      </c>
      <c r="N43" s="2">
        <f>VLOOKUP(2,$X$42:$AC$45,3,FALSE)</f>
        <v>6</v>
      </c>
      <c r="O43" s="2">
        <f>VLOOKUP(2,$X$42:$AC$45,4,FALSE)</f>
        <v>2</v>
      </c>
      <c r="P43" s="2">
        <f>VLOOKUP(2,$X$42:$AC$45,5,FALSE)</f>
        <v>1</v>
      </c>
      <c r="Q43" s="2">
        <f>VLOOKUP(2,$X$42:$AC$45,6,FALSE)</f>
        <v>1</v>
      </c>
      <c r="S43" s="46">
        <f>IF(J43="",0,IF(K43=$B$101,IF(H43&lt;J43,3,IF(H43=J43,1,0)),0))</f>
        <v>0</v>
      </c>
      <c r="T43" s="44"/>
      <c r="U43" s="46">
        <f>IF(H48="",0,IF(K48=$B$101,IF(H48&gt;J48,3,IF(H48=J48,1,0)),0))</f>
        <v>3</v>
      </c>
      <c r="V43" s="46">
        <f>IF(H46="",0,IF(K46=$B$101,IF(H46&gt;J46,3,IF(H46=J46,1,0)),0))</f>
        <v>3</v>
      </c>
      <c r="W43" s="1"/>
      <c r="X43" s="185">
        <f>RANK(AD43,AD42:AD45)+COUNTIF(AD42:AD43,AD43)-1</f>
        <v>2</v>
      </c>
      <c r="Y43" s="37" t="str">
        <f>B121</f>
        <v>Schweiz</v>
      </c>
      <c r="Z43" s="1">
        <f>SUM(S43:V43)</f>
        <v>6</v>
      </c>
      <c r="AA43" s="1">
        <f>SUM(S47:V47)</f>
        <v>2</v>
      </c>
      <c r="AB43" s="1">
        <f>SUM(T46:T49)</f>
        <v>1</v>
      </c>
      <c r="AC43" s="1">
        <f>AA43-AB43</f>
        <v>1</v>
      </c>
      <c r="AD43" s="33">
        <f>IF(P$48="",AE43*10000000000000000+Z43*100000000000000+AC43*1000000000000+AA43*10000000000+AK43*100000000+AJ43*1000000+AP43*10000+AU43*100+AV43,AE43*10000000000000000+Z43*100000000000000+AK43*1000000000000+AJ43*10000000000+AP43*100000000+AU43*1000000+AC43*10000+AA43*100+AV43)</f>
        <v>601019996990001</v>
      </c>
      <c r="AE43" s="5"/>
      <c r="AF43" s="34">
        <f>IF($Z43=$Z42,$S43-$T42,0)</f>
        <v>-3</v>
      </c>
      <c r="AG43" s="34"/>
      <c r="AH43" s="34">
        <f>IF($Z43=$Z44,$U43-$T44,0)</f>
        <v>0</v>
      </c>
      <c r="AI43" s="34">
        <f>IF($Z43=$Z45,$V43-$T45,0)</f>
        <v>0</v>
      </c>
      <c r="AJ43" s="34">
        <f>SUM(AF43:AI43)</f>
        <v>-3</v>
      </c>
      <c r="AK43" s="5"/>
      <c r="AL43" s="34">
        <f>IF($Z43=$Z42,$S47-$T46,0)</f>
        <v>-1</v>
      </c>
      <c r="AM43" s="34"/>
      <c r="AN43" s="34">
        <f>IF($Z43=$Z44,$U47-$T48,0)</f>
        <v>0</v>
      </c>
      <c r="AO43" s="34">
        <f>IF($Z43=$Z45,$V47-$T49,0)</f>
        <v>0</v>
      </c>
      <c r="AP43" s="34">
        <f>SUM(AL43:AO43)</f>
        <v>-1</v>
      </c>
      <c r="AQ43" s="34">
        <f>IF($Z43=$Z42,$S47,0)</f>
        <v>0</v>
      </c>
      <c r="AR43" s="34"/>
      <c r="AS43" s="34">
        <f>IF($Z43=$Z44,$U47,0)</f>
        <v>0</v>
      </c>
      <c r="AT43" s="34">
        <f>IF($Z43=$Z45,$V47,0)</f>
        <v>0</v>
      </c>
      <c r="AU43" s="34">
        <f>SUM(AQ43:AT43)</f>
        <v>0</v>
      </c>
      <c r="AV43" s="184">
        <f>IF(AND(COUNTIF(K43:K48,$B$101)=COUNTA(H43:H48),COUNTIF(K43:K48,$B$101)=COUNTA(J43:J48)),IF(AU43=AU42,S47-T46,IF(AU43=AU44,U47-T48,IF(AU43=AU45,V47-T49,3))),3)</f>
        <v>1</v>
      </c>
      <c r="AW43" s="33"/>
    </row>
    <row r="44" spans="2:49" ht="12.75">
      <c r="B44" s="7">
        <v>42534.75</v>
      </c>
      <c r="C44" s="4" t="s">
        <v>136</v>
      </c>
      <c r="D44" s="42" t="str">
        <f>Y44</f>
        <v>Schweden</v>
      </c>
      <c r="E44" s="22" t="s">
        <v>21</v>
      </c>
      <c r="F44" s="43" t="str">
        <f>Y45</f>
        <v>Wales</v>
      </c>
      <c r="G44" s="24"/>
      <c r="H44" s="56">
        <f ca="1" t="shared" si="8"/>
        <v>1</v>
      </c>
      <c r="I44" s="13" t="s">
        <v>22</v>
      </c>
      <c r="J44" s="61">
        <f ca="1" t="shared" si="9"/>
        <v>0</v>
      </c>
      <c r="K44" s="9" t="s">
        <v>23</v>
      </c>
      <c r="L44" s="1"/>
      <c r="M44" s="11" t="str">
        <f>VLOOKUP(3,$X$42:$AC$45,2,FALSE)</f>
        <v>Schweden</v>
      </c>
      <c r="N44" s="2">
        <f>VLOOKUP(3,$X$42:$AC$45,3,FALSE)</f>
        <v>3</v>
      </c>
      <c r="O44" s="2">
        <f>VLOOKUP(3,$X$42:$AC$45,4,FALSE)</f>
        <v>1</v>
      </c>
      <c r="P44" s="2">
        <f>VLOOKUP(3,$X$42:$AC$45,5,FALSE)</f>
        <v>2</v>
      </c>
      <c r="Q44" s="2">
        <f>VLOOKUP(3,$X$42:$AC$45,6,FALSE)</f>
        <v>-1</v>
      </c>
      <c r="S44" s="47">
        <f>IF(J45="",0,IF(K45=$B$101,IF(H45&lt;J45,3,IF(H45=J45,1,0)),0))</f>
        <v>0</v>
      </c>
      <c r="T44" s="47">
        <f>IF(J48="",0,IF(K48=$B$101,IF(H48&lt;J48,3,IF(H48=J48,1,0)),0))</f>
        <v>0</v>
      </c>
      <c r="U44" s="44"/>
      <c r="V44" s="47">
        <f>IF(H44="",0,IF(K44=$B$101,IF(H44&gt;J44,3,IF(H44=J44,1,0)),0))</f>
        <v>3</v>
      </c>
      <c r="W44" s="1"/>
      <c r="X44" s="185">
        <f>RANK(AD44,AD42:AD45)+COUNTIF(AD42:AD44,AD44)-1</f>
        <v>3</v>
      </c>
      <c r="Y44" s="38" t="str">
        <f>B129</f>
        <v>Schweden</v>
      </c>
      <c r="Z44" s="1">
        <f>SUM(S44:V44)</f>
        <v>3</v>
      </c>
      <c r="AA44" s="1">
        <f>SUM(S48:V48)</f>
        <v>1</v>
      </c>
      <c r="AB44" s="1">
        <f>SUM(U46:U49)</f>
        <v>2</v>
      </c>
      <c r="AC44" s="1">
        <f>AA44-AB44</f>
        <v>-1</v>
      </c>
      <c r="AD44" s="33">
        <f>IF(P$48="",AE44*10000000000000000+Z44*100000000000000+AC44*1000000000000+AA44*10000000000+AK44*100000000+AJ44*1000000+AP44*10000+AU44*100+AV44,AE44*10000000000000000+Z44*100000000000000+AK44*1000000000000+AJ44*10000000000+AP44*100000000+AU44*1000000+AC44*10000+AA44*100+AV44)</f>
        <v>299010003010099</v>
      </c>
      <c r="AE44" s="5"/>
      <c r="AF44" s="34">
        <f>IF($Z44=$Z42,$S44-$U42,0)</f>
        <v>0</v>
      </c>
      <c r="AG44" s="34">
        <f>IF($Z44=$Z43,$T44-$U43,0)</f>
        <v>0</v>
      </c>
      <c r="AH44" s="34"/>
      <c r="AI44" s="34">
        <f>IF($Z44=$Z45,$V44-$U45,0)</f>
        <v>3</v>
      </c>
      <c r="AJ44" s="34">
        <f>SUM(AF44:AI44)</f>
        <v>3</v>
      </c>
      <c r="AK44" s="5"/>
      <c r="AL44" s="34">
        <f>IF($Z44=$Z42,$S48-$U46,0)</f>
        <v>0</v>
      </c>
      <c r="AM44" s="34">
        <f>IF($Z44=$Z43,$T48-$U47,0)</f>
        <v>0</v>
      </c>
      <c r="AN44" s="34"/>
      <c r="AO44" s="34">
        <f>IF($Z44=$Z45,$V48-$U49,0)</f>
        <v>1</v>
      </c>
      <c r="AP44" s="34">
        <f>SUM(AL44:AO44)</f>
        <v>1</v>
      </c>
      <c r="AQ44" s="34">
        <f>IF($Z44=$Z42,$S48,0)</f>
        <v>0</v>
      </c>
      <c r="AR44" s="34">
        <f>IF($Z44=$Z43,$T48,0)</f>
        <v>0</v>
      </c>
      <c r="AS44" s="34"/>
      <c r="AT44" s="34">
        <f>IF($Z44=$Z45,$V48,0)</f>
        <v>1</v>
      </c>
      <c r="AU44" s="34">
        <f>SUM(AQ44:AT44)</f>
        <v>1</v>
      </c>
      <c r="AV44" s="184">
        <f>IF(AND(COUNTIF(K43:K48,$B$101)=COUNTA(H43:H48),COUNTIF(K43:K48,$B$101)=COUNTA(J43:J48)),IF(AU44=AU42,S48-U46,IF(AU44=AU43,T48-U47,IF(AU44=AU45,V48-U49,2))),2)</f>
        <v>-1</v>
      </c>
      <c r="AW44" s="33"/>
    </row>
    <row r="45" spans="2:49" ht="12.75">
      <c r="B45" s="7">
        <v>42539.625</v>
      </c>
      <c r="C45" s="4" t="s">
        <v>142</v>
      </c>
      <c r="D45" s="40" t="str">
        <f>Y42</f>
        <v>Portugal</v>
      </c>
      <c r="E45" s="22" t="s">
        <v>21</v>
      </c>
      <c r="F45" s="42" t="str">
        <f>Y44</f>
        <v>Schweden</v>
      </c>
      <c r="G45" s="24"/>
      <c r="H45" s="60">
        <f ca="1" t="shared" si="8"/>
        <v>1</v>
      </c>
      <c r="I45" s="13" t="s">
        <v>22</v>
      </c>
      <c r="J45" s="58">
        <f ca="1" t="shared" si="9"/>
        <v>0</v>
      </c>
      <c r="K45" s="9" t="s">
        <v>23</v>
      </c>
      <c r="L45" s="1"/>
      <c r="M45" s="11" t="str">
        <f>VLOOKUP(4,$X$42:AC$45,2,FALSE)</f>
        <v>Wales</v>
      </c>
      <c r="N45" s="2">
        <f>VLOOKUP(4,$X$42:$AC$45,3,FALSE)</f>
        <v>3</v>
      </c>
      <c r="O45" s="2">
        <f>VLOOKUP(4,$X$42:$AC$45,4,FALSE)</f>
        <v>1</v>
      </c>
      <c r="P45" s="2">
        <f>VLOOKUP(4,$X$42:$AC$45,5,FALSE)</f>
        <v>2</v>
      </c>
      <c r="Q45" s="2">
        <f>VLOOKUP(4,$X$42:$AC$45,6,FALSE)</f>
        <v>-1</v>
      </c>
      <c r="S45" s="48">
        <f>IF(H47="",0,IF(K47=$B$101,IF(H47&gt;J47,3,IF(H47=J47,1,0)),0))</f>
        <v>3</v>
      </c>
      <c r="T45" s="48">
        <f>IF(J46="",0,IF(K46=$B$101,IF(H46&lt;J46,3,IF(H46=J46,1,0)),0))</f>
        <v>0</v>
      </c>
      <c r="U45" s="48">
        <f>IF(J44="",0,IF(K44=$B$101,IF(H44&lt;J44,3,IF(H44=J44,1,0)),0))</f>
        <v>0</v>
      </c>
      <c r="V45" s="44"/>
      <c r="W45" s="1"/>
      <c r="X45" s="185">
        <f>RANK(AD45,AD42:AD45)+COUNTIF(AD42:AD45,AD45)-1</f>
        <v>4</v>
      </c>
      <c r="Y45" s="36" t="str">
        <f>B137</f>
        <v>Wales</v>
      </c>
      <c r="Z45" s="1">
        <f>SUM(S45:V45)</f>
        <v>3</v>
      </c>
      <c r="AA45" s="1">
        <f>SUM(S49:V49)</f>
        <v>1</v>
      </c>
      <c r="AB45" s="1">
        <f>SUM(V46:V49)</f>
        <v>2</v>
      </c>
      <c r="AC45" s="1">
        <f>AA45-AB45</f>
        <v>-1</v>
      </c>
      <c r="AD45" s="33">
        <f>IF(P$48="",AE45*10000000000000000+Z45*100000000000000+AC45*1000000000000+AA45*10000000000+AK45*100000000+AJ45*1000000+AP45*10000+AU45*100+AV45,AE45*10000000000000000+Z45*100000000000000+AK45*1000000000000+AJ45*10000000000+AP45*100000000+AU45*1000000+AC45*10000+AA45*100+AV45)</f>
        <v>299009996989999</v>
      </c>
      <c r="AE45" s="5"/>
      <c r="AF45" s="34">
        <f>IF($Z45=$Z42,$S45-$V42,0)</f>
        <v>0</v>
      </c>
      <c r="AG45" s="34">
        <f>IF($Z45=$Z43,$T45-$V43,0)</f>
        <v>0</v>
      </c>
      <c r="AH45" s="34">
        <f>IF($Z45=$Z44,$U45-$V44,0)</f>
        <v>-3</v>
      </c>
      <c r="AI45" s="34"/>
      <c r="AJ45" s="34">
        <f>SUM(AF45:AI45)</f>
        <v>-3</v>
      </c>
      <c r="AK45" s="5"/>
      <c r="AL45" s="34">
        <f>IF($Z45=$Z42,$S49-$V46,0)</f>
        <v>0</v>
      </c>
      <c r="AM45" s="34">
        <f>IF($Z45=$Z43,$T49-$V47,0)</f>
        <v>0</v>
      </c>
      <c r="AN45" s="34">
        <f>IF($Z45=$Z44,$U49-$V48,0)</f>
        <v>-1</v>
      </c>
      <c r="AO45" s="34"/>
      <c r="AP45" s="34">
        <f>SUM(AL45:AO45)</f>
        <v>-1</v>
      </c>
      <c r="AQ45" s="34">
        <f>IF($Z45=$Z42,$S49,0)</f>
        <v>0</v>
      </c>
      <c r="AR45" s="34">
        <f>IF($Z45=$Z43,$T49,0)</f>
        <v>0</v>
      </c>
      <c r="AS45" s="34">
        <f>IF($Z45=$Z44,$U49,0)</f>
        <v>0</v>
      </c>
      <c r="AT45" s="34"/>
      <c r="AU45" s="34">
        <f>SUM(AQ45:AT45)</f>
        <v>0</v>
      </c>
      <c r="AV45" s="184">
        <f>IF(AND(COUNTIF(K43:K48,$B$101)=COUNTA(H43:H48),COUNTIF(K43:K48,$B$101)=COUNTA(J43:J48)),IF(AU45=AU42,S49-V46,IF(AU45=AU43,T49-V47,IF(AU45=AU44,U49-V48,1))),1)</f>
        <v>-1</v>
      </c>
      <c r="AW45" s="33"/>
    </row>
    <row r="46" spans="2:49" ht="12.75">
      <c r="B46" s="7">
        <v>42538.625</v>
      </c>
      <c r="C46" s="4" t="s">
        <v>144</v>
      </c>
      <c r="D46" s="41" t="str">
        <f>Y43</f>
        <v>Schweiz</v>
      </c>
      <c r="E46" s="22" t="s">
        <v>21</v>
      </c>
      <c r="F46" s="43" t="str">
        <f>Y45</f>
        <v>Wales</v>
      </c>
      <c r="G46" s="24"/>
      <c r="H46" s="59">
        <f ca="1" t="shared" si="8"/>
        <v>1</v>
      </c>
      <c r="I46" s="13" t="s">
        <v>22</v>
      </c>
      <c r="J46" s="61">
        <f ca="1" t="shared" si="9"/>
        <v>0</v>
      </c>
      <c r="K46" s="9" t="s">
        <v>23</v>
      </c>
      <c r="L46" s="1"/>
      <c r="N46" s="1"/>
      <c r="O46" s="1"/>
      <c r="P46" s="1"/>
      <c r="S46" s="44"/>
      <c r="T46" s="45">
        <f>IF(K43=$B$101,H43,0)</f>
        <v>1</v>
      </c>
      <c r="U46" s="45">
        <f>IF(K45=$B$101,H45,0)</f>
        <v>1</v>
      </c>
      <c r="V46" s="45">
        <f>IF(K47=$B$101,J47,0)</f>
        <v>0</v>
      </c>
      <c r="W46" s="1"/>
      <c r="X46" s="1"/>
      <c r="Y46" s="1"/>
      <c r="Z46" s="1"/>
      <c r="AA46" s="1"/>
      <c r="AB46" s="1"/>
      <c r="AC46" s="1"/>
      <c r="AD46" s="6"/>
      <c r="AE46" s="9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V46" s="34"/>
      <c r="AW46" s="33"/>
    </row>
    <row r="47" spans="2:49" ht="12.75">
      <c r="B47" s="7">
        <v>42543.875</v>
      </c>
      <c r="C47" s="4" t="s">
        <v>145</v>
      </c>
      <c r="D47" s="43" t="str">
        <f>Y45</f>
        <v>Wales</v>
      </c>
      <c r="E47" s="22" t="s">
        <v>21</v>
      </c>
      <c r="F47" s="40" t="str">
        <f>Y42</f>
        <v>Portugal</v>
      </c>
      <c r="H47" s="61">
        <f ca="1" t="shared" si="8"/>
        <v>1</v>
      </c>
      <c r="I47" s="13" t="s">
        <v>22</v>
      </c>
      <c r="J47" s="60">
        <f ca="1" t="shared" si="9"/>
        <v>0</v>
      </c>
      <c r="K47" s="9" t="s">
        <v>23</v>
      </c>
      <c r="M47" s="74" t="str">
        <f>IF(N42&gt;0,M42,"")</f>
        <v>Portugal</v>
      </c>
      <c r="N47" s="2" t="s">
        <v>36</v>
      </c>
      <c r="P47" s="51"/>
      <c r="S47" s="46">
        <f>IF(K43=$B$101,J43,0)</f>
        <v>0</v>
      </c>
      <c r="T47" s="44"/>
      <c r="U47" s="46">
        <f>IF(K48=$B$101,H48,0)</f>
        <v>1</v>
      </c>
      <c r="V47" s="46">
        <f>IF(K46=$B$101,H46,0)</f>
        <v>1</v>
      </c>
      <c r="AD47" s="2" t="s">
        <v>119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V47" s="35"/>
      <c r="AW47" s="33"/>
    </row>
    <row r="48" spans="2:49" ht="12.75">
      <c r="B48" s="7">
        <v>42543.875</v>
      </c>
      <c r="C48" s="4" t="s">
        <v>140</v>
      </c>
      <c r="D48" s="41" t="str">
        <f>Y43</f>
        <v>Schweiz</v>
      </c>
      <c r="E48" s="22" t="s">
        <v>21</v>
      </c>
      <c r="F48" s="42" t="str">
        <f>Y44</f>
        <v>Schweden</v>
      </c>
      <c r="H48" s="59">
        <f ca="1" t="shared" si="8"/>
        <v>1</v>
      </c>
      <c r="I48" s="13" t="s">
        <v>22</v>
      </c>
      <c r="J48" s="56">
        <f ca="1" t="shared" si="9"/>
        <v>0</v>
      </c>
      <c r="K48" s="9" t="s">
        <v>23</v>
      </c>
      <c r="M48" s="74" t="str">
        <f>IF(N43&gt;0,M43,"")</f>
        <v>Schweiz</v>
      </c>
      <c r="N48" s="2" t="s">
        <v>37</v>
      </c>
      <c r="O48" s="52"/>
      <c r="P48" s="53"/>
      <c r="S48" s="47">
        <f>IF(K45=$B$101,J45,0)</f>
        <v>0</v>
      </c>
      <c r="T48" s="47">
        <f>IF(K48=$B$101,J48,0)</f>
        <v>0</v>
      </c>
      <c r="U48" s="44"/>
      <c r="V48" s="47">
        <f>IF(K44=$B$101,H44,0)</f>
        <v>1</v>
      </c>
      <c r="AD48" s="2" t="s">
        <v>120</v>
      </c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V48" s="35"/>
      <c r="AW48" s="33"/>
    </row>
    <row r="49" spans="2:49" ht="12.75">
      <c r="B49" s="2" t="s">
        <v>2</v>
      </c>
      <c r="M49" s="74" t="str">
        <f>IF(N44&gt;0,M44,"")</f>
        <v>Schweden</v>
      </c>
      <c r="N49" s="2" t="s">
        <v>77</v>
      </c>
      <c r="S49" s="48">
        <f>IF(K47=$B$101,H47,0)</f>
        <v>1</v>
      </c>
      <c r="T49" s="48">
        <f>IF(K46=$B$101,J46,0)</f>
        <v>0</v>
      </c>
      <c r="U49" s="48">
        <f>IF(K44=$B$101,J44,0)</f>
        <v>0</v>
      </c>
      <c r="V49" s="44"/>
      <c r="AD49" s="2" t="s">
        <v>200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V49" s="35"/>
      <c r="AW49" s="33"/>
    </row>
    <row r="50" spans="3:49" ht="6" customHeight="1">
      <c r="C50" s="3"/>
      <c r="E50" s="23"/>
      <c r="F50" s="12"/>
      <c r="G50" s="12"/>
      <c r="H50" s="2"/>
      <c r="I50" s="2"/>
      <c r="J50" s="2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V50" s="35"/>
      <c r="AW50" s="33"/>
    </row>
    <row r="51" spans="2:49" s="12" customFormat="1" ht="12.75">
      <c r="B51" s="64" t="s">
        <v>0</v>
      </c>
      <c r="C51" s="65" t="s">
        <v>38</v>
      </c>
      <c r="D51" s="24" t="s">
        <v>2</v>
      </c>
      <c r="E51" s="21"/>
      <c r="F51" s="24"/>
      <c r="G51" s="24"/>
      <c r="H51" s="28"/>
      <c r="I51" s="27"/>
      <c r="J51" s="28"/>
      <c r="K51" s="29"/>
      <c r="L51" s="24"/>
      <c r="M51" s="69" t="s">
        <v>3</v>
      </c>
      <c r="N51" s="24" t="s">
        <v>4</v>
      </c>
      <c r="O51" s="24" t="s">
        <v>5</v>
      </c>
      <c r="P51" s="24" t="s">
        <v>6</v>
      </c>
      <c r="Q51" s="24" t="s">
        <v>7</v>
      </c>
      <c r="R51" s="24"/>
      <c r="S51" s="2"/>
      <c r="T51" s="2"/>
      <c r="U51" s="2"/>
      <c r="V51" s="2"/>
      <c r="W51" s="24"/>
      <c r="X51" s="24" t="s">
        <v>8</v>
      </c>
      <c r="Y51" s="30" t="s">
        <v>9</v>
      </c>
      <c r="Z51" s="24" t="s">
        <v>4</v>
      </c>
      <c r="AA51" s="24" t="s">
        <v>5</v>
      </c>
      <c r="AB51" s="24" t="s">
        <v>6</v>
      </c>
      <c r="AC51" s="24" t="s">
        <v>7</v>
      </c>
      <c r="AD51" s="24"/>
      <c r="AE51" s="29" t="s">
        <v>10</v>
      </c>
      <c r="AF51" s="22" t="s">
        <v>11</v>
      </c>
      <c r="AG51" s="22"/>
      <c r="AH51" s="22"/>
      <c r="AI51" s="22"/>
      <c r="AJ51" s="22" t="s">
        <v>12</v>
      </c>
      <c r="AK51" s="30" t="s">
        <v>13</v>
      </c>
      <c r="AL51" s="22" t="s">
        <v>14</v>
      </c>
      <c r="AM51" s="22"/>
      <c r="AN51" s="22"/>
      <c r="AO51" s="22"/>
      <c r="AP51" s="22" t="s">
        <v>15</v>
      </c>
      <c r="AQ51" s="22" t="s">
        <v>16</v>
      </c>
      <c r="AR51" s="22"/>
      <c r="AS51" s="22"/>
      <c r="AT51" s="22"/>
      <c r="AU51" s="23" t="s">
        <v>17</v>
      </c>
      <c r="AV51" s="30" t="s">
        <v>18</v>
      </c>
      <c r="AW51" s="32"/>
    </row>
    <row r="52" spans="2:49" ht="12.75">
      <c r="B52" s="3" t="s">
        <v>19</v>
      </c>
      <c r="C52" s="3" t="s">
        <v>20</v>
      </c>
      <c r="L52" s="1"/>
      <c r="M52" s="11" t="str">
        <f>VLOOKUP(1,$X$52:$AC$55,2,FALSE)</f>
        <v>Belgien</v>
      </c>
      <c r="N52" s="2">
        <f>VLOOKUP(1,$X$52:$AC$55,3,FALSE)</f>
        <v>6</v>
      </c>
      <c r="O52" s="2">
        <f>VLOOKUP(1,$X$52:$AC$55,4,FALSE)</f>
        <v>2</v>
      </c>
      <c r="P52" s="2">
        <f>VLOOKUP(1,$X$52:$AC$55,5,FALSE)</f>
        <v>1</v>
      </c>
      <c r="Q52" s="2">
        <f>VLOOKUP(1,$X$52:$AC$55,6,FALSE)</f>
        <v>1</v>
      </c>
      <c r="S52" s="44"/>
      <c r="T52" s="45">
        <f>IF(H53="",0,IF(K53=$B$101,IF(H53&gt;J53,3,IF(H53=J53,1,0)),0))</f>
        <v>3</v>
      </c>
      <c r="U52" s="45">
        <f>IF(H55="",0,IF(K55=$B$101,IF(H55&gt;J55,3,IF(H55=J55,1,0)),0))</f>
        <v>3</v>
      </c>
      <c r="V52" s="45">
        <f>IF(J57="",0,IF(K57=$B$101,IF(H57&lt;J57,3,IF(H57=J57,1,0)),0))</f>
        <v>0</v>
      </c>
      <c r="W52" s="1"/>
      <c r="X52" s="185">
        <f>RANK(AD52,AD52:AD55)+COUNTIF(AD52:AD52,AD52)-1</f>
        <v>1</v>
      </c>
      <c r="Y52" s="39" t="str">
        <f>B114</f>
        <v>Belgien</v>
      </c>
      <c r="Z52" s="1">
        <f>SUM(S52:V52)</f>
        <v>6</v>
      </c>
      <c r="AA52" s="1">
        <f>SUM(S56:V56)</f>
        <v>2</v>
      </c>
      <c r="AB52" s="1">
        <f>SUM(S56:S59)</f>
        <v>1</v>
      </c>
      <c r="AC52" s="1">
        <f>AA52-AB52</f>
        <v>1</v>
      </c>
      <c r="AD52" s="33">
        <f>IF(P$58="",AE52*10000000000000000+Z52*100000000000000+AC52*1000000000000+AA52*10000000000+AK52*100000000+AJ52*1000000+AP52*10000+AU52*100+AV52,AE52*10000000000000000+Z52*100000000000000+AK52*1000000000000+AJ52*10000000000+AP52*100000000+AU52*1000000+AC52*10000+AA52*100+AV52)</f>
        <v>601020003010101</v>
      </c>
      <c r="AE52" s="5"/>
      <c r="AF52" s="34"/>
      <c r="AG52" s="34">
        <f>IF($Z52=$Z53,$T52-$S53,0)</f>
        <v>3</v>
      </c>
      <c r="AH52" s="34">
        <f>IF($Z52=$Z54,$U52-$S54,0)</f>
        <v>0</v>
      </c>
      <c r="AI52" s="34">
        <f>IF($Z52=$Z55,$V52-$S55,0)</f>
        <v>0</v>
      </c>
      <c r="AJ52" s="34">
        <f>SUM(AF52:AI52)</f>
        <v>3</v>
      </c>
      <c r="AK52" s="5"/>
      <c r="AL52" s="34"/>
      <c r="AM52" s="34">
        <f>IF($Z52=$Z53,$T56-$S57,0)</f>
        <v>1</v>
      </c>
      <c r="AN52" s="34">
        <f>IF($Z52=$Z54,$U56-$S58,0)</f>
        <v>0</v>
      </c>
      <c r="AO52" s="34">
        <f>IF($Z52=$Z55,$V56-$S59,0)</f>
        <v>0</v>
      </c>
      <c r="AP52" s="34">
        <f>SUM(AL52:AO52)</f>
        <v>1</v>
      </c>
      <c r="AQ52" s="34"/>
      <c r="AR52" s="34">
        <f>IF($Z52=$Z53,$T56,0)</f>
        <v>1</v>
      </c>
      <c r="AS52" s="34">
        <f>IF($Z52=$Z54,$U56,0)</f>
        <v>0</v>
      </c>
      <c r="AT52" s="34">
        <f>IF($Z52=$Z55,$V56,0)</f>
        <v>0</v>
      </c>
      <c r="AU52" s="34">
        <f>SUM(AQ52:AT52)</f>
        <v>1</v>
      </c>
      <c r="AV52" s="184">
        <f>IF(AND(COUNTIF(K53:K58,$B$101)=COUNTA(H53:H58),COUNTIF(K53:K58,$B$101)=COUNTA(J53:J58)),IF(AU52=AU53,T56-S57,IF(AU52=AU54,U56-S58,IF(AU52=AU55,V56-S59,4))),4)</f>
        <v>1</v>
      </c>
      <c r="AW52" s="33"/>
    </row>
    <row r="53" spans="2:49" ht="12.75">
      <c r="B53" s="7">
        <v>42535.875</v>
      </c>
      <c r="C53" s="4" t="s">
        <v>143</v>
      </c>
      <c r="D53" s="40" t="str">
        <f>Y52</f>
        <v>Belgien</v>
      </c>
      <c r="E53" s="22" t="s">
        <v>21</v>
      </c>
      <c r="F53" s="41" t="str">
        <f>Y53</f>
        <v>Österreich</v>
      </c>
      <c r="G53" s="24"/>
      <c r="H53" s="55">
        <f aca="true" ca="1" t="shared" si="10" ref="H53:H58">IF($B$102="",1,INT(RAND()*5)+INT(RAND()*3)*INT(RAND()*2))</f>
        <v>1</v>
      </c>
      <c r="I53" s="13" t="s">
        <v>22</v>
      </c>
      <c r="J53" s="57">
        <f aca="true" ca="1" t="shared" si="11" ref="J53:J58">IF($B$102="",0,INT(RAND()*5)+INT(RAND()*3)*INT(RAND()*2))</f>
        <v>0</v>
      </c>
      <c r="K53" s="9" t="s">
        <v>23</v>
      </c>
      <c r="L53" s="1"/>
      <c r="M53" s="11" t="str">
        <f>VLOOKUP(2,$X$52:$AC$55,2,FALSE)</f>
        <v>Österreich</v>
      </c>
      <c r="N53" s="2">
        <f>VLOOKUP(2,$X$52:$AC$55,3,FALSE)</f>
        <v>6</v>
      </c>
      <c r="O53" s="2">
        <f>VLOOKUP(2,$X$52:$AC$55,4,FALSE)</f>
        <v>2</v>
      </c>
      <c r="P53" s="2">
        <f>VLOOKUP(2,$X$52:$AC$55,5,FALSE)</f>
        <v>1</v>
      </c>
      <c r="Q53" s="2">
        <f>VLOOKUP(2,$X$52:$AC$55,6,FALSE)</f>
        <v>1</v>
      </c>
      <c r="S53" s="46">
        <f>IF(J53="",0,IF(K53=$B$101,IF(H53&lt;J53,3,IF(H53=J53,1,0)),0))</f>
        <v>0</v>
      </c>
      <c r="T53" s="44"/>
      <c r="U53" s="46">
        <f>IF(H58="",0,IF(K58=$B$101,IF(H58&gt;J58,3,IF(H58=J58,1,0)),0))</f>
        <v>3</v>
      </c>
      <c r="V53" s="46">
        <f>IF(H56="",0,IF(K56=$B$101,IF(H56&gt;J56,3,IF(H56=J56,1,0)),0))</f>
        <v>3</v>
      </c>
      <c r="W53" s="1"/>
      <c r="X53" s="185">
        <f>RANK(AD53,AD52:AD55)+COUNTIF(AD52:AD53,AD53)-1</f>
        <v>2</v>
      </c>
      <c r="Y53" s="37" t="str">
        <f>B122</f>
        <v>Österreich</v>
      </c>
      <c r="Z53" s="1">
        <f>SUM(S53:V53)</f>
        <v>6</v>
      </c>
      <c r="AA53" s="1">
        <f>SUM(S57:V57)</f>
        <v>2</v>
      </c>
      <c r="AB53" s="1">
        <f>SUM(T56:T59)</f>
        <v>1</v>
      </c>
      <c r="AC53" s="1">
        <f>AA53-AB53</f>
        <v>1</v>
      </c>
      <c r="AD53" s="33">
        <f>IF(P$58="",AE53*10000000000000000+Z53*100000000000000+AC53*1000000000000+AA53*10000000000+AK53*100000000+AJ53*1000000+AP53*10000+AU53*100+AV53,AE53*10000000000000000+Z53*100000000000000+AK53*1000000000000+AJ53*10000000000+AP53*100000000+AU53*1000000+AC53*10000+AA53*100+AV53)</f>
        <v>601019996990001</v>
      </c>
      <c r="AE53" s="5"/>
      <c r="AF53" s="34">
        <f>IF($Z53=$Z52,$S53-$T52,0)</f>
        <v>-3</v>
      </c>
      <c r="AG53" s="34"/>
      <c r="AH53" s="34">
        <f>IF($Z53=$Z54,$U53-$T54,0)</f>
        <v>0</v>
      </c>
      <c r="AI53" s="34">
        <f>IF($Z53=$Z55,$V53-$T55,0)</f>
        <v>0</v>
      </c>
      <c r="AJ53" s="34">
        <f>SUM(AF53:AI53)</f>
        <v>-3</v>
      </c>
      <c r="AK53" s="5"/>
      <c r="AL53" s="34">
        <f>IF($Z53=$Z52,$S57-$T56,0)</f>
        <v>-1</v>
      </c>
      <c r="AM53" s="34"/>
      <c r="AN53" s="34">
        <f>IF($Z53=$Z54,$U57-$T58,0)</f>
        <v>0</v>
      </c>
      <c r="AO53" s="34">
        <f>IF($Z53=$Z55,$V57-$T59,0)</f>
        <v>0</v>
      </c>
      <c r="AP53" s="34">
        <f>SUM(AL53:AO53)</f>
        <v>-1</v>
      </c>
      <c r="AQ53" s="34">
        <f>IF($Z53=$Z52,$S57,0)</f>
        <v>0</v>
      </c>
      <c r="AR53" s="34"/>
      <c r="AS53" s="34">
        <f>IF($Z53=$Z54,$U57,0)</f>
        <v>0</v>
      </c>
      <c r="AT53" s="34">
        <f>IF($Z53=$Z55,$V57,0)</f>
        <v>0</v>
      </c>
      <c r="AU53" s="34">
        <f>SUM(AQ53:AT53)</f>
        <v>0</v>
      </c>
      <c r="AV53" s="184">
        <f>IF(AND(COUNTIF(K53:K58,$B$101)=COUNTA(H53:H58),COUNTIF(K53:K58,$B$101)=COUNTA(J53:J58)),IF(AU53=AU52,S57-T56,IF(AU53=AU54,U57-T58,IF(AU53=AU55,V57-T59,3))),3)</f>
        <v>1</v>
      </c>
      <c r="AW53" s="33"/>
    </row>
    <row r="54" spans="2:49" ht="12.75">
      <c r="B54" s="4">
        <v>42535.75</v>
      </c>
      <c r="C54" s="4" t="s">
        <v>142</v>
      </c>
      <c r="D54" s="42" t="str">
        <f>Y54</f>
        <v>Slowakei</v>
      </c>
      <c r="E54" s="22" t="s">
        <v>21</v>
      </c>
      <c r="F54" s="43" t="str">
        <f>Y55</f>
        <v>Island</v>
      </c>
      <c r="G54" s="24"/>
      <c r="H54" s="56">
        <f ca="1" t="shared" si="10"/>
        <v>1</v>
      </c>
      <c r="I54" s="13" t="s">
        <v>22</v>
      </c>
      <c r="J54" s="61">
        <f ca="1" t="shared" si="11"/>
        <v>0</v>
      </c>
      <c r="K54" s="9" t="s">
        <v>23</v>
      </c>
      <c r="L54" s="1"/>
      <c r="M54" s="11" t="str">
        <f>VLOOKUP(3,$X$52:$AC$55,2,FALSE)</f>
        <v>Slowakei</v>
      </c>
      <c r="N54" s="2">
        <f>VLOOKUP(3,$X$52:$AC$55,3,FALSE)</f>
        <v>3</v>
      </c>
      <c r="O54" s="2">
        <f>VLOOKUP(3,$X$52:$AC$55,4,FALSE)</f>
        <v>1</v>
      </c>
      <c r="P54" s="2">
        <f>VLOOKUP(3,$X$52:$AC$55,5,FALSE)</f>
        <v>2</v>
      </c>
      <c r="Q54" s="2">
        <f>VLOOKUP(3,$X$52:$AC$55,6,FALSE)</f>
        <v>-1</v>
      </c>
      <c r="S54" s="47">
        <f>IF(J55="",0,IF(K55=$B$101,IF(H55&lt;J55,3,IF(H55=J55,1,0)),0))</f>
        <v>0</v>
      </c>
      <c r="T54" s="47">
        <f>IF(J58="",0,IF(K58=$B$101,IF(H58&lt;J58,3,IF(H58=J58,1,0)),0))</f>
        <v>0</v>
      </c>
      <c r="U54" s="44"/>
      <c r="V54" s="47">
        <f>IF(H54="",0,IF(K54=$B$101,IF(H54&gt;J54,3,IF(H54=J54,1,0)),0))</f>
        <v>3</v>
      </c>
      <c r="W54" s="1"/>
      <c r="X54" s="185">
        <f>RANK(AD54,AD52:AD55)+COUNTIF(AD52:AD54,AD54)-1</f>
        <v>3</v>
      </c>
      <c r="Y54" s="38" t="str">
        <f>B130</f>
        <v>Slowakei</v>
      </c>
      <c r="Z54" s="1">
        <f>SUM(S54:V54)</f>
        <v>3</v>
      </c>
      <c r="AA54" s="1">
        <f>SUM(S58:V58)</f>
        <v>1</v>
      </c>
      <c r="AB54" s="1">
        <f>SUM(U56:U59)</f>
        <v>2</v>
      </c>
      <c r="AC54" s="1">
        <f>AA54-AB54</f>
        <v>-1</v>
      </c>
      <c r="AD54" s="33">
        <f>IF(P$58="",AE54*10000000000000000+Z54*100000000000000+AC54*1000000000000+AA54*10000000000+AK54*100000000+AJ54*1000000+AP54*10000+AU54*100+AV54,AE54*10000000000000000+Z54*100000000000000+AK54*1000000000000+AJ54*10000000000+AP54*100000000+AU54*1000000+AC54*10000+AA54*100+AV54)</f>
        <v>299010003010099</v>
      </c>
      <c r="AE54" s="5"/>
      <c r="AF54" s="34">
        <f>IF($Z54=$Z52,$S54-$U52,0)</f>
        <v>0</v>
      </c>
      <c r="AG54" s="34">
        <f>IF($Z54=$Z53,$T54-$U53,0)</f>
        <v>0</v>
      </c>
      <c r="AH54" s="34"/>
      <c r="AI54" s="34">
        <f>IF($Z54=$Z55,$V54-$U55,0)</f>
        <v>3</v>
      </c>
      <c r="AJ54" s="34">
        <f>SUM(AF54:AI54)</f>
        <v>3</v>
      </c>
      <c r="AK54" s="5"/>
      <c r="AL54" s="34">
        <f>IF($Z54=$Z52,$S58-$U56,0)</f>
        <v>0</v>
      </c>
      <c r="AM54" s="34">
        <f>IF($Z54=$Z53,$T58-$U57,0)</f>
        <v>0</v>
      </c>
      <c r="AN54" s="34"/>
      <c r="AO54" s="34">
        <f>IF($Z54=$Z55,$V58-$U59,0)</f>
        <v>1</v>
      </c>
      <c r="AP54" s="34">
        <f>SUM(AL54:AO54)</f>
        <v>1</v>
      </c>
      <c r="AQ54" s="34">
        <f>IF($Z54=$Z52,$S58,0)</f>
        <v>0</v>
      </c>
      <c r="AR54" s="34">
        <f>IF($Z54=$Z53,$T58,0)</f>
        <v>0</v>
      </c>
      <c r="AS54" s="34"/>
      <c r="AT54" s="34">
        <f>IF($Z54=$Z55,$V58,0)</f>
        <v>1</v>
      </c>
      <c r="AU54" s="34">
        <f>SUM(AQ54:AT54)</f>
        <v>1</v>
      </c>
      <c r="AV54" s="184">
        <f>IF(AND(COUNTIF(K53:K58,$B$101)=COUNTA(H53:H58),COUNTIF(K53:K58,$B$101)=COUNTA(J53:J58)),IF(AU54=AU52,S58-U56,IF(AU54=AU53,T58-U57,IF(AU54=AU55,V58-U59,2))),2)</f>
        <v>-1</v>
      </c>
      <c r="AW54" s="33"/>
    </row>
    <row r="55" spans="2:49" ht="12.75">
      <c r="B55" s="7">
        <v>42539.875</v>
      </c>
      <c r="C55" s="4" t="s">
        <v>138</v>
      </c>
      <c r="D55" s="40" t="str">
        <f>Y52</f>
        <v>Belgien</v>
      </c>
      <c r="E55" s="22" t="s">
        <v>21</v>
      </c>
      <c r="F55" s="42" t="str">
        <f>Y54</f>
        <v>Slowakei</v>
      </c>
      <c r="G55" s="24"/>
      <c r="H55" s="60">
        <f ca="1" t="shared" si="10"/>
        <v>1</v>
      </c>
      <c r="I55" s="13" t="s">
        <v>22</v>
      </c>
      <c r="J55" s="58">
        <f ca="1" t="shared" si="11"/>
        <v>0</v>
      </c>
      <c r="K55" s="9" t="s">
        <v>23</v>
      </c>
      <c r="L55" s="1"/>
      <c r="M55" s="11" t="str">
        <f>VLOOKUP(4,$X$52:$AC$55,2,FALSE)</f>
        <v>Island</v>
      </c>
      <c r="N55" s="2">
        <f>VLOOKUP(4,$X$52:$AC$55,3,FALSE)</f>
        <v>3</v>
      </c>
      <c r="O55" s="2">
        <f>VLOOKUP(4,$X$52:$AC$55,4,FALSE)</f>
        <v>1</v>
      </c>
      <c r="P55" s="2">
        <f>VLOOKUP(4,$X$52:$AC$55,5,FALSE)</f>
        <v>2</v>
      </c>
      <c r="Q55" s="2">
        <f>VLOOKUP(4,$X$52:$AC$55,6,FALSE)</f>
        <v>-1</v>
      </c>
      <c r="S55" s="48">
        <f>IF(H57="",0,IF(K57=$B$101,IF(H57&gt;J57,3,IF(H57=J57,1,0)),0))</f>
        <v>3</v>
      </c>
      <c r="T55" s="48">
        <f>IF(J56="",0,IF(K56=$B$101,IF(H56&lt;J56,3,IF(H56=J56,1,0)),0))</f>
        <v>0</v>
      </c>
      <c r="U55" s="48">
        <f>IF(J54="",0,IF(K54=$B$101,IF(H54&lt;J54,3,IF(H54=J54,1,0)),0))</f>
        <v>0</v>
      </c>
      <c r="V55" s="44"/>
      <c r="W55" s="1"/>
      <c r="X55" s="185">
        <f>RANK(AD55,AD52:AD55)+COUNTIF(AD52:AD55,AD55)-1</f>
        <v>4</v>
      </c>
      <c r="Y55" s="36" t="str">
        <f>B138</f>
        <v>Island</v>
      </c>
      <c r="Z55" s="1">
        <f>SUM(S55:V55)</f>
        <v>3</v>
      </c>
      <c r="AA55" s="1">
        <f>SUM(S59:V59)</f>
        <v>1</v>
      </c>
      <c r="AB55" s="1">
        <f>SUM(V56:V59)</f>
        <v>2</v>
      </c>
      <c r="AC55" s="1">
        <f>AA55-AB55</f>
        <v>-1</v>
      </c>
      <c r="AD55" s="33">
        <f>IF(P$58="",AE55*10000000000000000+Z55*100000000000000+AC55*1000000000000+AA55*10000000000+AK55*100000000+AJ55*1000000+AP55*10000+AU55*100+AV55,AE55*10000000000000000+Z55*100000000000000+AK55*1000000000000+AJ55*10000000000+AP55*100000000+AU55*1000000+AC55*10000+AA55*100+AV55)</f>
        <v>299009996989999</v>
      </c>
      <c r="AE55" s="5"/>
      <c r="AF55" s="34">
        <f>IF($Z55=$Z52,$S55-$V52,0)</f>
        <v>0</v>
      </c>
      <c r="AG55" s="34">
        <f>IF($Z55=$Z53,$T55-$V53,0)</f>
        <v>0</v>
      </c>
      <c r="AH55" s="34">
        <f>IF($Z55=$Z54,$U55-$V54,0)</f>
        <v>-3</v>
      </c>
      <c r="AI55" s="34"/>
      <c r="AJ55" s="34">
        <f>SUM(AF55:AI55)</f>
        <v>-3</v>
      </c>
      <c r="AK55" s="5"/>
      <c r="AL55" s="34">
        <f>IF($Z55=$Z52,$S59-$V56,0)</f>
        <v>0</v>
      </c>
      <c r="AM55" s="34">
        <f>IF($Z55=$Z53,$T59-$V57,0)</f>
        <v>0</v>
      </c>
      <c r="AN55" s="34">
        <f>IF($Z55=$Z54,$U59-$V58,0)</f>
        <v>-1</v>
      </c>
      <c r="AO55" s="34"/>
      <c r="AP55" s="34">
        <f>SUM(AL55:AO55)</f>
        <v>-1</v>
      </c>
      <c r="AQ55" s="34">
        <f>IF($Z55=$Z52,$S59,0)</f>
        <v>0</v>
      </c>
      <c r="AR55" s="34">
        <f>IF($Z55=$Z53,$T59,0)</f>
        <v>0</v>
      </c>
      <c r="AS55" s="34">
        <f>IF($Z55=$Z54,$U59,0)</f>
        <v>0</v>
      </c>
      <c r="AT55" s="34"/>
      <c r="AU55" s="34">
        <f>SUM(AQ55:AT55)</f>
        <v>0</v>
      </c>
      <c r="AV55" s="184">
        <f>IF(AND(COUNTIF(K53:K58,$B$101)=COUNTA(H53:H58),COUNTIF(K53:K58,$B$101)=COUNTA(J53:J58)),IF(AU55=AU52,S59-V56,IF(AU55=AU53,T59-V57,IF(AU55=AU54,U59-V58,1))),1)</f>
        <v>-1</v>
      </c>
      <c r="AW55" s="33"/>
    </row>
    <row r="56" spans="2:49" ht="12.75">
      <c r="B56" s="7">
        <v>42539.75</v>
      </c>
      <c r="C56" s="4" t="s">
        <v>139</v>
      </c>
      <c r="D56" s="41" t="str">
        <f>Y53</f>
        <v>Österreich</v>
      </c>
      <c r="E56" s="22" t="s">
        <v>21</v>
      </c>
      <c r="F56" s="43" t="str">
        <f>Y55</f>
        <v>Island</v>
      </c>
      <c r="G56" s="24"/>
      <c r="H56" s="59">
        <f ca="1" t="shared" si="10"/>
        <v>1</v>
      </c>
      <c r="I56" s="13" t="s">
        <v>22</v>
      </c>
      <c r="J56" s="61">
        <f ca="1" t="shared" si="11"/>
        <v>0</v>
      </c>
      <c r="K56" s="9" t="s">
        <v>23</v>
      </c>
      <c r="L56" s="1"/>
      <c r="N56" s="1"/>
      <c r="O56" s="1"/>
      <c r="P56" s="1"/>
      <c r="S56" s="44"/>
      <c r="T56" s="45">
        <f>IF(K53=$B$101,H53,0)</f>
        <v>1</v>
      </c>
      <c r="U56" s="45">
        <f>IF(K55=$B$101,H55,0)</f>
        <v>1</v>
      </c>
      <c r="V56" s="45">
        <f>IF(K57=$B$101,J57,0)</f>
        <v>0</v>
      </c>
      <c r="W56" s="1"/>
      <c r="X56" s="1"/>
      <c r="Y56" s="1"/>
      <c r="Z56" s="1"/>
      <c r="AA56" s="1"/>
      <c r="AB56" s="1"/>
      <c r="AC56" s="1"/>
      <c r="AD56" s="6"/>
      <c r="AE56" s="9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V56" s="34"/>
      <c r="AW56" s="33"/>
    </row>
    <row r="57" spans="2:49" ht="12.75">
      <c r="B57" s="7">
        <v>42543.75</v>
      </c>
      <c r="C57" s="4" t="s">
        <v>141</v>
      </c>
      <c r="D57" s="43" t="str">
        <f>Y55</f>
        <v>Island</v>
      </c>
      <c r="E57" s="22" t="s">
        <v>21</v>
      </c>
      <c r="F57" s="40" t="str">
        <f>Y52</f>
        <v>Belgien</v>
      </c>
      <c r="H57" s="61">
        <f ca="1" t="shared" si="10"/>
        <v>1</v>
      </c>
      <c r="I57" s="13" t="s">
        <v>22</v>
      </c>
      <c r="J57" s="60">
        <f ca="1" t="shared" si="11"/>
        <v>0</v>
      </c>
      <c r="K57" s="9" t="s">
        <v>23</v>
      </c>
      <c r="M57" s="75" t="str">
        <f>IF(N52&gt;0,M52,"")</f>
        <v>Belgien</v>
      </c>
      <c r="N57" s="2" t="s">
        <v>39</v>
      </c>
      <c r="P57" s="51"/>
      <c r="S57" s="46">
        <f>IF(K53=$B$101,J53,0)</f>
        <v>0</v>
      </c>
      <c r="T57" s="44"/>
      <c r="U57" s="46">
        <f>IF(K58=$B$101,H58,0)</f>
        <v>1</v>
      </c>
      <c r="V57" s="46">
        <f>IF(K56=$B$101,H56,0)</f>
        <v>1</v>
      </c>
      <c r="AD57" s="2" t="s">
        <v>119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V57" s="35"/>
      <c r="AW57" s="33"/>
    </row>
    <row r="58" spans="2:61" ht="12.75">
      <c r="B58" s="7">
        <v>42543.75</v>
      </c>
      <c r="C58" s="4" t="s">
        <v>136</v>
      </c>
      <c r="D58" s="41" t="str">
        <f>Y53</f>
        <v>Österreich</v>
      </c>
      <c r="E58" s="22" t="s">
        <v>21</v>
      </c>
      <c r="F58" s="42" t="str">
        <f>Y54</f>
        <v>Slowakei</v>
      </c>
      <c r="H58" s="59">
        <f ca="1" t="shared" si="10"/>
        <v>1</v>
      </c>
      <c r="I58" s="13" t="s">
        <v>22</v>
      </c>
      <c r="J58" s="56">
        <f ca="1" t="shared" si="11"/>
        <v>0</v>
      </c>
      <c r="K58" s="9" t="s">
        <v>23</v>
      </c>
      <c r="M58" s="75" t="str">
        <f>IF(N53&gt;0,M53,"")</f>
        <v>Österreich</v>
      </c>
      <c r="N58" s="2" t="s">
        <v>40</v>
      </c>
      <c r="O58" s="52"/>
      <c r="P58" s="53"/>
      <c r="S58" s="47">
        <f>IF(K55=$B$101,J55,0)</f>
        <v>0</v>
      </c>
      <c r="T58" s="47">
        <f>IF(K58=$B$101,J58,0)</f>
        <v>0</v>
      </c>
      <c r="U58" s="44"/>
      <c r="V58" s="47">
        <f>IF(K54=$B$101,H54,0)</f>
        <v>1</v>
      </c>
      <c r="AD58" s="2" t="s">
        <v>120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V58" s="35"/>
      <c r="AW58" s="33"/>
      <c r="AX58" t="s">
        <v>27</v>
      </c>
      <c r="AY58"/>
      <c r="AZ58"/>
      <c r="BA58" t="s">
        <v>24</v>
      </c>
      <c r="BB58"/>
      <c r="BC58"/>
      <c r="BD58" t="s">
        <v>33</v>
      </c>
      <c r="BE58"/>
      <c r="BF58"/>
      <c r="BG58" t="s">
        <v>30</v>
      </c>
      <c r="BH58"/>
      <c r="BI58"/>
    </row>
    <row r="59" spans="13:61" ht="12.75">
      <c r="M59" s="75" t="str">
        <f>IF(N54&gt;0,M54,"")</f>
        <v>Slowakei</v>
      </c>
      <c r="N59" s="2" t="s">
        <v>75</v>
      </c>
      <c r="S59" s="48">
        <f>IF(K57=$B$101,H57,0)</f>
        <v>1</v>
      </c>
      <c r="T59" s="48">
        <f>IF(K56=$B$101,J56,0)</f>
        <v>0</v>
      </c>
      <c r="U59" s="48">
        <f>IF(K54=$B$101,J54,0)</f>
        <v>0</v>
      </c>
      <c r="V59" s="44"/>
      <c r="AD59" s="2" t="s">
        <v>200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V59" s="35"/>
      <c r="AW59" s="33"/>
      <c r="AX59" t="s">
        <v>97</v>
      </c>
      <c r="AY59" t="s">
        <v>98</v>
      </c>
      <c r="AZ59" t="s">
        <v>99</v>
      </c>
      <c r="BA59" t="s">
        <v>98</v>
      </c>
      <c r="BB59" t="s">
        <v>99</v>
      </c>
      <c r="BC59" t="s">
        <v>100</v>
      </c>
      <c r="BD59" t="s">
        <v>101</v>
      </c>
      <c r="BE59" t="s">
        <v>100</v>
      </c>
      <c r="BF59" t="s">
        <v>102</v>
      </c>
      <c r="BG59" t="s">
        <v>97</v>
      </c>
      <c r="BH59" t="s">
        <v>101</v>
      </c>
      <c r="BI59" t="s">
        <v>102</v>
      </c>
    </row>
    <row r="60" spans="3:61" ht="6" customHeight="1">
      <c r="C60" s="3"/>
      <c r="E60" s="23"/>
      <c r="F60" s="12"/>
      <c r="G60" s="12"/>
      <c r="H60" s="2"/>
      <c r="I60" s="2"/>
      <c r="J60" s="2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V60" s="35"/>
      <c r="AW60" s="33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12" customFormat="1" ht="12.75">
      <c r="A61" s="32"/>
      <c r="J61" s="24" t="s">
        <v>97</v>
      </c>
      <c r="L61" s="24" t="s">
        <v>8</v>
      </c>
      <c r="M61" s="69" t="s">
        <v>3</v>
      </c>
      <c r="N61" s="24" t="s">
        <v>4</v>
      </c>
      <c r="O61" s="24" t="s">
        <v>5</v>
      </c>
      <c r="P61" s="24" t="s">
        <v>6</v>
      </c>
      <c r="Q61" s="24" t="s">
        <v>7</v>
      </c>
      <c r="R61" s="24" t="s">
        <v>123</v>
      </c>
      <c r="S61" s="12" t="s">
        <v>8</v>
      </c>
      <c r="T61" s="12" t="s">
        <v>98</v>
      </c>
      <c r="X61" s="24" t="s">
        <v>122</v>
      </c>
      <c r="Y61" s="12" t="s">
        <v>118</v>
      </c>
      <c r="AE61" s="29" t="s">
        <v>10</v>
      </c>
      <c r="AF61" s="24" t="s">
        <v>8</v>
      </c>
      <c r="AV61" s="30" t="s">
        <v>18</v>
      </c>
      <c r="AX61" t="s">
        <v>83</v>
      </c>
      <c r="AY61" t="s">
        <v>94</v>
      </c>
      <c r="AZ61" s="121" t="s">
        <v>82</v>
      </c>
      <c r="BA61" s="121" t="s">
        <v>82</v>
      </c>
      <c r="BB61" t="s">
        <v>85</v>
      </c>
      <c r="BC61" t="s">
        <v>87</v>
      </c>
      <c r="BD61" t="s">
        <v>82</v>
      </c>
      <c r="BE61" t="s">
        <v>83</v>
      </c>
      <c r="BF61" s="121" t="s">
        <v>84</v>
      </c>
      <c r="BG61" t="s">
        <v>82</v>
      </c>
      <c r="BH61" t="s">
        <v>83</v>
      </c>
      <c r="BI61" t="s">
        <v>90</v>
      </c>
    </row>
    <row r="62" spans="1:61" ht="12.75">
      <c r="A62" s="33"/>
      <c r="C62" s="67" t="str">
        <f>CONCATENATE("3",E62)</f>
        <v>3A</v>
      </c>
      <c r="D62" s="68" t="str">
        <f>VLOOKUP(1,$J$62:$M$70,4,FALSE)</f>
        <v>Polen</v>
      </c>
      <c r="E62" s="2" t="str">
        <f>VLOOKUP(1,$J$62:$M$65,3,FALSE)</f>
        <v>A</v>
      </c>
      <c r="H62" s="2"/>
      <c r="I62" s="2"/>
      <c r="J62" s="1">
        <f>RANK(T62,$T$62:$T$65)</f>
        <v>1</v>
      </c>
      <c r="K62" s="11"/>
      <c r="L62" s="159" t="str">
        <f aca="true" t="shared" si="12" ref="L62:L67">MID(R62,2,1)</f>
        <v>A</v>
      </c>
      <c r="M62" s="158" t="str">
        <f>VLOOKUP(1,$X$62:$AC$67,2,FALSE)</f>
        <v>Polen</v>
      </c>
      <c r="N62" s="2">
        <f>VLOOKUP(1,$X$62:$AC$67,3,FALSE)</f>
        <v>3</v>
      </c>
      <c r="O62" s="2">
        <f>VLOOKUP(1,$X$62:$AC$67,4,FALSE)</f>
        <v>1</v>
      </c>
      <c r="P62" s="2">
        <f>VLOOKUP(1,$X$62:$AC$67,5,FALSE)</f>
        <v>2</v>
      </c>
      <c r="Q62" s="2">
        <f>VLOOKUP(1,$X$62:$AC$67,6,FALSE)</f>
        <v>-1</v>
      </c>
      <c r="R62" s="24" t="str">
        <f>VLOOKUP(1,$X$62:$AF$67,9,FALSE)</f>
        <v>3A</v>
      </c>
      <c r="S62" s="2" t="str">
        <f>MID(R62,2,1)</f>
        <v>A</v>
      </c>
      <c r="T62" s="2">
        <f>71-CODE(S62)</f>
        <v>6</v>
      </c>
      <c r="X62" s="1">
        <f aca="true" t="shared" si="13" ref="X62:X67">RANK(AD62,$AD$62:$AD$67)</f>
        <v>1</v>
      </c>
      <c r="Y62" s="70" t="str">
        <f>M4</f>
        <v>Polen</v>
      </c>
      <c r="Z62" s="2">
        <f>N4</f>
        <v>3</v>
      </c>
      <c r="AA62" s="2">
        <f>O4</f>
        <v>1</v>
      </c>
      <c r="AB62" s="2">
        <f>P4</f>
        <v>2</v>
      </c>
      <c r="AC62" s="2">
        <f>Q4</f>
        <v>-1</v>
      </c>
      <c r="AD62" s="33">
        <f aca="true" t="shared" si="14" ref="AD62:AD67">AE62*10000000000000000+Z62*100000000000000+AC62*1000000000000+AA62*10000000000+AV62</f>
        <v>299010000000006</v>
      </c>
      <c r="AE62" s="5"/>
      <c r="AF62" s="2" t="str">
        <f>N9</f>
        <v>3A</v>
      </c>
      <c r="AV62" s="5">
        <v>6</v>
      </c>
      <c r="AX62" t="s">
        <v>84</v>
      </c>
      <c r="AY62" s="121"/>
      <c r="AZ62" s="121" t="s">
        <v>88</v>
      </c>
      <c r="BA62" t="s">
        <v>83</v>
      </c>
      <c r="BB62" t="s">
        <v>86</v>
      </c>
      <c r="BC62" t="s">
        <v>94</v>
      </c>
      <c r="BD62" s="121"/>
      <c r="BE62" t="s">
        <v>85</v>
      </c>
      <c r="BF62" s="121" t="s">
        <v>86</v>
      </c>
      <c r="BG62" t="s">
        <v>88</v>
      </c>
      <c r="BH62" s="121" t="s">
        <v>84</v>
      </c>
      <c r="BI62" t="s">
        <v>91</v>
      </c>
    </row>
    <row r="63" spans="1:61" ht="12.75">
      <c r="A63" s="33"/>
      <c r="C63" s="67" t="str">
        <f>CONCATENATE("3",E63)</f>
        <v>3B</v>
      </c>
      <c r="D63" s="68" t="str">
        <f>VLOOKUP(2,$J$62:$M$70,4,FALSE)</f>
        <v>Rumänien</v>
      </c>
      <c r="E63" s="2" t="str">
        <f>VLOOKUP(2,$J$62:$M$65,3,FALSE)</f>
        <v>B</v>
      </c>
      <c r="H63" s="2"/>
      <c r="I63" s="2"/>
      <c r="J63" s="1">
        <f>RANK(T63,$T$62:$T$65)</f>
        <v>2</v>
      </c>
      <c r="K63" s="11"/>
      <c r="L63" s="159" t="str">
        <f t="shared" si="12"/>
        <v>B</v>
      </c>
      <c r="M63" s="158" t="str">
        <f>VLOOKUP(2,$X$62:$AC$67,2,FALSE)</f>
        <v>Rumänien</v>
      </c>
      <c r="N63" s="2">
        <f>VLOOKUP(2,$X$62:$AC$67,3,FALSE)</f>
        <v>3</v>
      </c>
      <c r="O63" s="2">
        <f>VLOOKUP(2,$X$62:$AC$67,4,FALSE)</f>
        <v>1</v>
      </c>
      <c r="P63" s="2">
        <f>VLOOKUP(2,$X$62:$AC$67,5,FALSE)</f>
        <v>2</v>
      </c>
      <c r="Q63" s="2">
        <f>VLOOKUP(2,$X$62:$AC$67,6,FALSE)</f>
        <v>-1</v>
      </c>
      <c r="R63" s="24" t="str">
        <f>VLOOKUP(2,$X$62:$AF$67,9,FALSE)</f>
        <v>3B</v>
      </c>
      <c r="S63" s="2" t="str">
        <f>MID(R63,2,1)</f>
        <v>B</v>
      </c>
      <c r="T63" s="2">
        <f>71-CODE(S63)</f>
        <v>5</v>
      </c>
      <c r="X63" s="1">
        <f t="shared" si="13"/>
        <v>2</v>
      </c>
      <c r="Y63" s="71" t="str">
        <f>M14</f>
        <v>Rumänien</v>
      </c>
      <c r="Z63" s="2">
        <f>N14</f>
        <v>3</v>
      </c>
      <c r="AA63" s="2">
        <f>O14</f>
        <v>1</v>
      </c>
      <c r="AB63" s="2">
        <f>P14</f>
        <v>2</v>
      </c>
      <c r="AC63" s="2">
        <f>Q14</f>
        <v>-1</v>
      </c>
      <c r="AD63" s="33">
        <f t="shared" si="14"/>
        <v>299010000000005</v>
      </c>
      <c r="AE63" s="5"/>
      <c r="AF63" s="2" t="str">
        <f>N19</f>
        <v>3B</v>
      </c>
      <c r="AV63" s="5">
        <v>5</v>
      </c>
      <c r="AX63" t="s">
        <v>85</v>
      </c>
      <c r="AY63" s="121"/>
      <c r="AZ63" s="121" t="s">
        <v>89</v>
      </c>
      <c r="BA63" t="s">
        <v>84</v>
      </c>
      <c r="BB63" t="s">
        <v>91</v>
      </c>
      <c r="BC63" t="s">
        <v>95</v>
      </c>
      <c r="BD63" s="121"/>
      <c r="BE63" t="s">
        <v>88</v>
      </c>
      <c r="BF63" s="121" t="s">
        <v>87</v>
      </c>
      <c r="BG63" t="s">
        <v>89</v>
      </c>
      <c r="BH63" t="s">
        <v>85</v>
      </c>
      <c r="BI63" t="s">
        <v>96</v>
      </c>
    </row>
    <row r="64" spans="1:61" ht="12.75">
      <c r="A64" s="33"/>
      <c r="C64" s="67" t="str">
        <f>CONCATENATE("3",E64)</f>
        <v>3C</v>
      </c>
      <c r="D64" s="68" t="str">
        <f>VLOOKUP(3,$J$62:$M$70,4,FALSE)</f>
        <v>Ungarn</v>
      </c>
      <c r="E64" s="2" t="str">
        <f>VLOOKUP(3,$J$62:$M$65,3,FALSE)</f>
        <v>C</v>
      </c>
      <c r="H64" s="2"/>
      <c r="I64" s="2"/>
      <c r="J64" s="1">
        <f>RANK(T64,$T$62:$T$65)</f>
        <v>3</v>
      </c>
      <c r="K64" s="11"/>
      <c r="L64" s="159" t="str">
        <f t="shared" si="12"/>
        <v>C</v>
      </c>
      <c r="M64" s="158" t="str">
        <f>VLOOKUP(3,$X$62:$AC$67,2,FALSE)</f>
        <v>Ungarn</v>
      </c>
      <c r="N64" s="2">
        <f>VLOOKUP(3,$X$62:$AC$67,3,FALSE)</f>
        <v>3</v>
      </c>
      <c r="O64" s="2">
        <f>VLOOKUP(3,$X$62:$AC$67,4,FALSE)</f>
        <v>1</v>
      </c>
      <c r="P64" s="2">
        <f>VLOOKUP(3,$X$62:$AC$67,5,FALSE)</f>
        <v>2</v>
      </c>
      <c r="Q64" s="2">
        <f>VLOOKUP(3,$X$62:$AC$67,6,FALSE)</f>
        <v>-1</v>
      </c>
      <c r="R64" s="24" t="str">
        <f>VLOOKUP(3,$X$62:$AF$67,9,FALSE)</f>
        <v>3C</v>
      </c>
      <c r="S64" s="2" t="str">
        <f>MID(R64,2,1)</f>
        <v>C</v>
      </c>
      <c r="T64" s="2">
        <f>71-CODE(S64)</f>
        <v>4</v>
      </c>
      <c r="X64" s="1">
        <f t="shared" si="13"/>
        <v>3</v>
      </c>
      <c r="Y64" s="72" t="str">
        <f>M24</f>
        <v>Ungarn</v>
      </c>
      <c r="Z64" s="2">
        <f>N24</f>
        <v>3</v>
      </c>
      <c r="AA64" s="2">
        <f>O24</f>
        <v>1</v>
      </c>
      <c r="AB64" s="2">
        <f>P24</f>
        <v>2</v>
      </c>
      <c r="AC64" s="2">
        <f>Q24</f>
        <v>-1</v>
      </c>
      <c r="AD64" s="33">
        <f t="shared" si="14"/>
        <v>299010000000004</v>
      </c>
      <c r="AE64" s="5"/>
      <c r="AF64" s="2" t="str">
        <f>N29</f>
        <v>3C</v>
      </c>
      <c r="AV64" s="5">
        <v>4</v>
      </c>
      <c r="AX64" t="s">
        <v>86</v>
      </c>
      <c r="AY64" s="121"/>
      <c r="AZ64" s="121" t="s">
        <v>92</v>
      </c>
      <c r="BA64" s="121" t="s">
        <v>88</v>
      </c>
      <c r="BB64" s="121"/>
      <c r="BC64"/>
      <c r="BD64" s="121"/>
      <c r="BE64" t="s">
        <v>90</v>
      </c>
      <c r="BF64" t="s">
        <v>89</v>
      </c>
      <c r="BG64"/>
      <c r="BH64" s="121" t="s">
        <v>86</v>
      </c>
      <c r="BI64"/>
    </row>
    <row r="65" spans="1:61" ht="12.75">
      <c r="A65" s="33"/>
      <c r="C65" s="67" t="str">
        <f>CONCATENATE("3",E65)</f>
        <v>3D</v>
      </c>
      <c r="D65" s="68" t="str">
        <f>VLOOKUP(4,$J$62:$M$70,4,FALSE)</f>
        <v>Tschechien</v>
      </c>
      <c r="E65" s="2" t="str">
        <f>VLOOKUP(4,$J$62:$M$65,3,FALSE)</f>
        <v>D</v>
      </c>
      <c r="H65" s="2"/>
      <c r="I65" s="2"/>
      <c r="J65" s="1">
        <f>RANK(T65,$T$62:$T$65)</f>
        <v>4</v>
      </c>
      <c r="K65" s="11"/>
      <c r="L65" s="159" t="str">
        <f t="shared" si="12"/>
        <v>D</v>
      </c>
      <c r="M65" s="158" t="str">
        <f>VLOOKUP(4,$X$62:$AC$67,2,FALSE)</f>
        <v>Tschechien</v>
      </c>
      <c r="N65" s="2">
        <f>VLOOKUP(4,$X$62:$AC$67,3,FALSE)</f>
        <v>3</v>
      </c>
      <c r="O65" s="2">
        <f>VLOOKUP(4,$X$62:$AC$67,4,FALSE)</f>
        <v>1</v>
      </c>
      <c r="P65" s="2">
        <f>VLOOKUP(4,$X$62:$AC$67,5,FALSE)</f>
        <v>2</v>
      </c>
      <c r="Q65" s="2">
        <f>VLOOKUP(4,$X$62:$AC$67,6,FALSE)</f>
        <v>-1</v>
      </c>
      <c r="R65" s="24" t="str">
        <f>VLOOKUP(4,$X$62:$AF$67,9,FALSE)</f>
        <v>3D</v>
      </c>
      <c r="S65" s="2" t="str">
        <f>MID(R65,2,1)</f>
        <v>D</v>
      </c>
      <c r="T65" s="2">
        <f>71-CODE(S65)</f>
        <v>3</v>
      </c>
      <c r="X65" s="1">
        <f t="shared" si="13"/>
        <v>4</v>
      </c>
      <c r="Y65" s="73" t="str">
        <f>M34</f>
        <v>Tschechien</v>
      </c>
      <c r="Z65" s="2">
        <f>N34</f>
        <v>3</v>
      </c>
      <c r="AA65" s="2">
        <f>O34</f>
        <v>1</v>
      </c>
      <c r="AB65" s="2">
        <f>P34</f>
        <v>2</v>
      </c>
      <c r="AC65" s="2">
        <f>Q34</f>
        <v>-1</v>
      </c>
      <c r="AD65" s="33">
        <f t="shared" si="14"/>
        <v>299010000000003</v>
      </c>
      <c r="AE65" s="5"/>
      <c r="AF65" s="2" t="str">
        <f>N39</f>
        <v>3D</v>
      </c>
      <c r="AV65" s="5">
        <v>3</v>
      </c>
      <c r="AX65" t="s">
        <v>87</v>
      </c>
      <c r="AY65" s="121"/>
      <c r="AZ65" s="121" t="s">
        <v>93</v>
      </c>
      <c r="BA65" s="121" t="s">
        <v>89</v>
      </c>
      <c r="BB65" s="121"/>
      <c r="BC65"/>
      <c r="BD65" s="121"/>
      <c r="BE65" t="s">
        <v>91</v>
      </c>
      <c r="BF65" s="121" t="s">
        <v>93</v>
      </c>
      <c r="BG65"/>
      <c r="BH65" s="121" t="s">
        <v>87</v>
      </c>
      <c r="BI65"/>
    </row>
    <row r="66" spans="1:61" ht="12.75">
      <c r="A66" s="33"/>
      <c r="H66" s="2"/>
      <c r="I66" s="2"/>
      <c r="K66" s="11"/>
      <c r="L66" s="1" t="str">
        <f t="shared" si="12"/>
        <v>E</v>
      </c>
      <c r="M66" s="11" t="str">
        <f>VLOOKUP(5,$X$62:$AC$67,2,FALSE)</f>
        <v>Schweden</v>
      </c>
      <c r="N66" s="2">
        <f>VLOOKUP(5,$X$62:$AC$67,3,FALSE)</f>
        <v>3</v>
      </c>
      <c r="O66" s="2">
        <f>VLOOKUP(5,$X$62:$AC$67,4,FALSE)</f>
        <v>1</v>
      </c>
      <c r="P66" s="2">
        <f>VLOOKUP(5,$X$62:$AC$67,5,FALSE)</f>
        <v>2</v>
      </c>
      <c r="Q66" s="2">
        <f>VLOOKUP(5,$X$62:$AC$67,6,FALSE)</f>
        <v>-1</v>
      </c>
      <c r="R66" s="24" t="str">
        <f>VLOOKUP(5,$X$62:$AF$67,9,FALSE)</f>
        <v>3E</v>
      </c>
      <c r="X66" s="1">
        <f t="shared" si="13"/>
        <v>5</v>
      </c>
      <c r="Y66" s="74" t="str">
        <f>M44</f>
        <v>Schweden</v>
      </c>
      <c r="Z66" s="2">
        <f>N44</f>
        <v>3</v>
      </c>
      <c r="AA66" s="2">
        <f>O44</f>
        <v>1</v>
      </c>
      <c r="AB66" s="2">
        <f>P44</f>
        <v>2</v>
      </c>
      <c r="AC66" s="2">
        <f>Q44</f>
        <v>-1</v>
      </c>
      <c r="AD66" s="33">
        <f t="shared" si="14"/>
        <v>299010000000002</v>
      </c>
      <c r="AE66" s="5"/>
      <c r="AF66" s="2" t="str">
        <f>N49</f>
        <v>3E</v>
      </c>
      <c r="AV66" s="5">
        <v>2</v>
      </c>
      <c r="AX66" t="s">
        <v>90</v>
      </c>
      <c r="AY66"/>
      <c r="AZ66" t="s">
        <v>95</v>
      </c>
      <c r="BA66" t="s">
        <v>90</v>
      </c>
      <c r="BB66"/>
      <c r="BC66"/>
      <c r="BD66" s="121"/>
      <c r="BE66" t="s">
        <v>92</v>
      </c>
      <c r="BF66" s="121" t="s">
        <v>94</v>
      </c>
      <c r="BG66"/>
      <c r="BH66" t="s">
        <v>92</v>
      </c>
      <c r="BI66" s="121"/>
    </row>
    <row r="67" spans="1:61" ht="12.75">
      <c r="A67" s="33"/>
      <c r="C67" s="122" t="str">
        <f>CONCATENATE(E62,E63,E64,E65)</f>
        <v>ABCD</v>
      </c>
      <c r="H67" s="2"/>
      <c r="I67" s="2"/>
      <c r="K67" s="11"/>
      <c r="L67" s="1" t="str">
        <f t="shared" si="12"/>
        <v>F</v>
      </c>
      <c r="M67" s="11" t="str">
        <f>VLOOKUP(6,$X$62:$AC$67,2,FALSE)</f>
        <v>Slowakei</v>
      </c>
      <c r="N67" s="2">
        <f>VLOOKUP(6,$X$62:$AC$67,3,FALSE)</f>
        <v>3</v>
      </c>
      <c r="O67" s="2">
        <f>VLOOKUP(6,$X$62:$AC$67,4,FALSE)</f>
        <v>1</v>
      </c>
      <c r="P67" s="2">
        <f>VLOOKUP(6,$X$62:$AC$67,5,FALSE)</f>
        <v>2</v>
      </c>
      <c r="Q67" s="2">
        <f>VLOOKUP(6,$X$62:$AC$67,6,FALSE)</f>
        <v>-1</v>
      </c>
      <c r="R67" s="24" t="str">
        <f>VLOOKUP(6,$X$62:$AF$67,9,FALSE)</f>
        <v>3F</v>
      </c>
      <c r="X67" s="1">
        <f t="shared" si="13"/>
        <v>6</v>
      </c>
      <c r="Y67" s="75" t="str">
        <f>M54</f>
        <v>Slowakei</v>
      </c>
      <c r="Z67" s="2">
        <f>N54</f>
        <v>3</v>
      </c>
      <c r="AA67" s="2">
        <f>O54</f>
        <v>1</v>
      </c>
      <c r="AB67" s="2">
        <f>P54</f>
        <v>2</v>
      </c>
      <c r="AC67" s="2">
        <f>Q54</f>
        <v>-1</v>
      </c>
      <c r="AD67" s="33">
        <f t="shared" si="14"/>
        <v>299010000000001</v>
      </c>
      <c r="AE67" s="5"/>
      <c r="AF67" s="2" t="str">
        <f>N59</f>
        <v>3F</v>
      </c>
      <c r="AV67" s="5">
        <v>1</v>
      </c>
      <c r="AX67" t="s">
        <v>91</v>
      </c>
      <c r="AY67" s="121"/>
      <c r="AZ67" s="121" t="s">
        <v>96</v>
      </c>
      <c r="BA67" s="121" t="s">
        <v>92</v>
      </c>
      <c r="BB67" s="121"/>
      <c r="BC67"/>
      <c r="BD67" s="121"/>
      <c r="BE67" t="s">
        <v>96</v>
      </c>
      <c r="BF67" s="121" t="s">
        <v>95</v>
      </c>
      <c r="BG67"/>
      <c r="BH67" s="121" t="s">
        <v>93</v>
      </c>
      <c r="BI67" s="121"/>
    </row>
    <row r="68" spans="1:61" ht="12.75">
      <c r="A68" s="33"/>
      <c r="H68" s="2"/>
      <c r="I68" s="2"/>
      <c r="J68" s="1"/>
      <c r="K68" s="2"/>
      <c r="M68" s="2"/>
      <c r="AD68" s="2" t="s">
        <v>119</v>
      </c>
      <c r="AE68" s="2"/>
      <c r="AX68"/>
      <c r="AY68"/>
      <c r="AZ68"/>
      <c r="BA68" s="121" t="s">
        <v>93</v>
      </c>
      <c r="BB68" s="121"/>
      <c r="BC68"/>
      <c r="BD68"/>
      <c r="BE68"/>
      <c r="BF68" s="121"/>
      <c r="BG68"/>
      <c r="BH68" s="121" t="s">
        <v>94</v>
      </c>
      <c r="BI68" s="121"/>
    </row>
    <row r="69" spans="1:61" ht="12.75">
      <c r="A69" s="33"/>
      <c r="H69" s="2"/>
      <c r="I69" s="2"/>
      <c r="J69" s="1"/>
      <c r="K69" s="2"/>
      <c r="M69" s="2"/>
      <c r="AD69" s="2" t="s">
        <v>121</v>
      </c>
      <c r="AE69" s="2"/>
      <c r="AX69"/>
      <c r="AY69"/>
      <c r="AZ69"/>
      <c r="BA69" s="121" t="s">
        <v>96</v>
      </c>
      <c r="BB69" s="121"/>
      <c r="BC69"/>
      <c r="BD69"/>
      <c r="BE69"/>
      <c r="BF69" s="121"/>
      <c r="BG69"/>
      <c r="BH69" s="121" t="s">
        <v>95</v>
      </c>
      <c r="BI69"/>
    </row>
    <row r="70" spans="1:31" ht="6" customHeight="1">
      <c r="A70" s="33"/>
      <c r="H70" s="2"/>
      <c r="I70" s="2"/>
      <c r="J70" s="1"/>
      <c r="K70" s="2"/>
      <c r="M70" s="2"/>
      <c r="AE70" s="2"/>
    </row>
    <row r="71" spans="5:49" ht="3.75" customHeight="1">
      <c r="E71" s="23"/>
      <c r="F71" s="12"/>
      <c r="G71" s="12"/>
      <c r="H71" s="2"/>
      <c r="I71" s="2"/>
      <c r="J71" s="2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V71" s="35"/>
      <c r="AW71" s="33"/>
    </row>
    <row r="72" spans="3:30" ht="3.75" customHeight="1">
      <c r="C72" s="3"/>
      <c r="E72" s="3"/>
      <c r="F72" s="3"/>
      <c r="H72" s="13"/>
      <c r="I72" s="14"/>
      <c r="J72" s="13"/>
      <c r="AD72" s="6"/>
    </row>
    <row r="73" spans="2:68" ht="12.75">
      <c r="B73" s="24" t="s">
        <v>41</v>
      </c>
      <c r="C73" s="3"/>
      <c r="D73" s="24"/>
      <c r="E73" s="21"/>
      <c r="F73" s="24"/>
      <c r="G73" s="24"/>
      <c r="H73" s="28"/>
      <c r="I73" s="13"/>
      <c r="J73" s="28"/>
      <c r="K73" s="78"/>
      <c r="L73" s="1"/>
      <c r="M73" s="3"/>
      <c r="N73" s="1"/>
      <c r="O73" s="1"/>
      <c r="P73" s="1"/>
      <c r="Q73" s="1"/>
      <c r="R73" s="1" t="s">
        <v>124</v>
      </c>
      <c r="S73" s="1"/>
      <c r="U73" s="1" t="s">
        <v>97</v>
      </c>
      <c r="V73" s="1"/>
      <c r="W73" s="1"/>
      <c r="X73" s="29" t="s">
        <v>125</v>
      </c>
      <c r="Y73" s="3"/>
      <c r="Z73" s="1"/>
      <c r="AA73" s="1"/>
      <c r="AB73" s="1"/>
      <c r="AC73" s="1"/>
      <c r="AD73" s="6"/>
      <c r="AE73" s="9"/>
      <c r="AF73" s="1"/>
      <c r="AG73" s="1"/>
      <c r="AH73" s="1"/>
      <c r="AY73" s="1"/>
      <c r="AZ73" s="1"/>
      <c r="BA73" s="1"/>
      <c r="BB73" s="1"/>
      <c r="BC73" s="1"/>
      <c r="BD73" s="1"/>
      <c r="BE73" s="1"/>
      <c r="BF73" s="1"/>
      <c r="BG73" s="3"/>
      <c r="BH73" s="1"/>
      <c r="BI73" s="1"/>
      <c r="BJ73" s="1"/>
      <c r="BK73" s="1"/>
      <c r="BL73" s="6"/>
      <c r="BM73" s="9"/>
      <c r="BN73" s="1"/>
      <c r="BO73" s="1"/>
      <c r="BP73" s="1"/>
    </row>
    <row r="74" spans="2:66" ht="12.75">
      <c r="B74" s="7">
        <v>42546.625</v>
      </c>
      <c r="C74" s="4" t="s">
        <v>143</v>
      </c>
      <c r="D74" s="43" t="str">
        <f>M8</f>
        <v>Russland</v>
      </c>
      <c r="E74" s="22" t="s">
        <v>21</v>
      </c>
      <c r="F74" s="72" t="str">
        <f>M28</f>
        <v>Ukraine</v>
      </c>
      <c r="G74" s="24"/>
      <c r="H74" s="61">
        <f aca="true" ca="1" t="shared" si="15" ref="H74:H81">IF($B$102="",1,IF(OR(J74&lt;1,INT(RAND()*10&lt;6)),J74+1,J74-1))</f>
        <v>1</v>
      </c>
      <c r="I74" s="28" t="s">
        <v>22</v>
      </c>
      <c r="J74" s="55">
        <f aca="true" ca="1" t="shared" si="16" ref="J74:J81">IF($B$102="",0,INT(RAND()*5)+INT(RAND()*3)*INT(RAND()*2))</f>
        <v>0</v>
      </c>
      <c r="K74" s="9" t="s">
        <v>23</v>
      </c>
      <c r="L74" s="1"/>
      <c r="M74" s="103" t="str">
        <f aca="true" t="shared" si="17" ref="M74:M81">IF(J74="","",IF(J74=H74,"falsch!!! K.Remis",IF(H74&gt;J74,D74,F74)))</f>
        <v>Russland</v>
      </c>
      <c r="N74" s="1" t="str">
        <f>N8</f>
        <v>2A</v>
      </c>
      <c r="O74" s="1" t="str">
        <f>N28</f>
        <v>2C</v>
      </c>
      <c r="P74" s="1" t="s">
        <v>42</v>
      </c>
      <c r="Q74" s="1"/>
      <c r="R74" s="1"/>
      <c r="S74" s="1"/>
      <c r="U74" s="1"/>
      <c r="V74" s="1"/>
      <c r="W74" s="1"/>
      <c r="X74" s="5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X74" s="1"/>
      <c r="BD74" s="1"/>
      <c r="BE74" s="9"/>
      <c r="BF74" s="1"/>
      <c r="BG74" s="1"/>
      <c r="BN74" s="1"/>
    </row>
    <row r="75" spans="2:66" ht="12.75">
      <c r="B75" s="7">
        <v>42546.875</v>
      </c>
      <c r="C75" s="4" t="s">
        <v>137</v>
      </c>
      <c r="D75" s="155" t="str">
        <f>M37</f>
        <v>Deutschland</v>
      </c>
      <c r="E75" s="22" t="s">
        <v>21</v>
      </c>
      <c r="F75" s="68" t="str">
        <f>VLOOKUP(O75,$C$62:$D$65,2,TRUE)</f>
        <v>Rumänien</v>
      </c>
      <c r="G75" s="24"/>
      <c r="H75" s="56">
        <f ca="1" t="shared" si="15"/>
        <v>1</v>
      </c>
      <c r="I75" s="28" t="s">
        <v>22</v>
      </c>
      <c r="J75" s="97">
        <f ca="1" t="shared" si="16"/>
        <v>0</v>
      </c>
      <c r="K75" s="9" t="s">
        <v>23</v>
      </c>
      <c r="L75" s="1"/>
      <c r="M75" s="103" t="str">
        <f t="shared" si="17"/>
        <v>Deutschland</v>
      </c>
      <c r="N75" s="1" t="str">
        <f>N37</f>
        <v>1D</v>
      </c>
      <c r="O75" s="1" t="str">
        <f>IF(X75="",CONCATENATE("3",U75),CONCATENATE("3",X75))</f>
        <v>3B</v>
      </c>
      <c r="P75" s="1" t="s">
        <v>43</v>
      </c>
      <c r="Q75" s="1"/>
      <c r="R75" s="3" t="s">
        <v>80</v>
      </c>
      <c r="S75" s="1"/>
      <c r="T75" s="2" t="s">
        <v>126</v>
      </c>
      <c r="U75" s="117" t="str">
        <f>IF(COUNTIF($BD$61:$BD$69,C$67)&gt;0,$BD$59,IF(COUNTIF($BE$61:$BE$69,C$67)&gt;0,$BE$59,IF(COUNTIF($BF$61:$BF$69,C$67)&gt;0,$BF$59,CONCATENATE("??? ",C$67))))</f>
        <v>B</v>
      </c>
      <c r="V75" s="1"/>
      <c r="W75" s="1"/>
      <c r="X75" s="5"/>
      <c r="Y75"/>
      <c r="Z75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/>
      <c r="AX75" s="1"/>
      <c r="BD75" s="1"/>
      <c r="BE75" s="9"/>
      <c r="BF75" s="1"/>
      <c r="BG75" s="1"/>
      <c r="BN75" s="1"/>
    </row>
    <row r="76" spans="2:66" ht="12.75">
      <c r="B76" s="7">
        <v>42546.75</v>
      </c>
      <c r="C76" s="4" t="s">
        <v>138</v>
      </c>
      <c r="D76" s="71" t="str">
        <f>M17</f>
        <v>England</v>
      </c>
      <c r="E76" s="22" t="s">
        <v>21</v>
      </c>
      <c r="F76" s="68" t="str">
        <f>VLOOKUP(O76,$C$62:$D$65,2,TRUE)</f>
        <v>Tschechien</v>
      </c>
      <c r="G76" s="24"/>
      <c r="H76" s="119">
        <f ca="1" t="shared" si="15"/>
        <v>1</v>
      </c>
      <c r="I76" s="28" t="s">
        <v>22</v>
      </c>
      <c r="J76" s="97">
        <f ca="1" t="shared" si="16"/>
        <v>0</v>
      </c>
      <c r="K76" s="9" t="s">
        <v>23</v>
      </c>
      <c r="L76" s="1"/>
      <c r="M76" s="83" t="str">
        <f t="shared" si="17"/>
        <v>England</v>
      </c>
      <c r="N76" s="1" t="str">
        <f>N17</f>
        <v>1B</v>
      </c>
      <c r="O76" s="1" t="str">
        <f>IF(X76="",CONCATENATE("3",U76),CONCATENATE("3",X76))</f>
        <v>3D</v>
      </c>
      <c r="P76" s="1" t="s">
        <v>44</v>
      </c>
      <c r="Q76" s="1"/>
      <c r="R76" s="3" t="s">
        <v>78</v>
      </c>
      <c r="S76" s="1"/>
      <c r="T76" s="2" t="s">
        <v>126</v>
      </c>
      <c r="U76" s="117" t="str">
        <f>IF(COUNTIF($AX$61:$AX$69,C$67)&gt;0,$AX$59,IF(COUNTIF($AY$61:$AY$69,C$67)&gt;0,$AY$59,IF(COUNTIF($AZ$61:$AZ$69,C$67)&gt;0,$AZ$59,CONCATENATE("??? ",C$67))))</f>
        <v>D</v>
      </c>
      <c r="V76" s="1"/>
      <c r="W76" s="1"/>
      <c r="X76" s="5"/>
      <c r="Y76"/>
      <c r="Z76"/>
      <c r="AA76" s="116"/>
      <c r="AB76" s="116"/>
      <c r="AC76" s="116"/>
      <c r="AD76" s="116"/>
      <c r="AE76" s="116"/>
      <c r="AF76" s="116"/>
      <c r="AG76"/>
      <c r="AH76"/>
      <c r="AI76"/>
      <c r="AJ76"/>
      <c r="AK76"/>
      <c r="AL76"/>
      <c r="AM76"/>
      <c r="AN76"/>
      <c r="AO76"/>
      <c r="AP76"/>
      <c r="AX76" s="1"/>
      <c r="BD76" s="3"/>
      <c r="BE76" s="9"/>
      <c r="BF76" s="1"/>
      <c r="BG76" s="1"/>
      <c r="BN76" s="1"/>
    </row>
    <row r="77" spans="2:66" ht="12.75">
      <c r="B77" s="7">
        <v>42547.875</v>
      </c>
      <c r="C77" s="4" t="s">
        <v>144</v>
      </c>
      <c r="D77" s="75" t="str">
        <f>M57</f>
        <v>Belgien</v>
      </c>
      <c r="E77" s="22" t="s">
        <v>21</v>
      </c>
      <c r="F77" s="74" t="str">
        <f>M48</f>
        <v>Schweiz</v>
      </c>
      <c r="G77" s="24"/>
      <c r="H77" s="96">
        <f ca="1" t="shared" si="15"/>
        <v>1</v>
      </c>
      <c r="I77" s="28" t="s">
        <v>22</v>
      </c>
      <c r="J77" s="152">
        <f ca="1" t="shared" si="16"/>
        <v>0</v>
      </c>
      <c r="K77" s="9" t="s">
        <v>23</v>
      </c>
      <c r="L77" s="1"/>
      <c r="M77" s="83" t="str">
        <f t="shared" si="17"/>
        <v>Belgien</v>
      </c>
      <c r="N77" s="1" t="str">
        <f>N57</f>
        <v>1F</v>
      </c>
      <c r="O77" s="1" t="str">
        <f>N48</f>
        <v>2E</v>
      </c>
      <c r="P77" s="1" t="s">
        <v>45</v>
      </c>
      <c r="Q77" s="1"/>
      <c r="R77" s="3"/>
      <c r="S77" s="1"/>
      <c r="U77" s="24"/>
      <c r="V77" s="1"/>
      <c r="W77" s="1"/>
      <c r="X77" s="5"/>
      <c r="Y77"/>
      <c r="Z77"/>
      <c r="AA77" s="116"/>
      <c r="AB77" s="116"/>
      <c r="AC77" s="116"/>
      <c r="AD77" s="116"/>
      <c r="AE77" s="116"/>
      <c r="AF77" s="116"/>
      <c r="AG77"/>
      <c r="AH77"/>
      <c r="AI77"/>
      <c r="AJ77"/>
      <c r="AK77"/>
      <c r="AL77"/>
      <c r="AM77"/>
      <c r="AN77"/>
      <c r="AO77"/>
      <c r="AP77"/>
      <c r="AX77" s="1"/>
      <c r="BD77" s="3"/>
      <c r="BE77" s="9"/>
      <c r="BF77" s="1"/>
      <c r="BG77" s="1"/>
      <c r="BN77" s="1"/>
    </row>
    <row r="78" spans="2:42" ht="12.75">
      <c r="B78" s="7">
        <v>42548.75</v>
      </c>
      <c r="C78" s="4" t="s">
        <v>136</v>
      </c>
      <c r="D78" s="74" t="str">
        <f>M47</f>
        <v>Portugal</v>
      </c>
      <c r="E78" s="22" t="s">
        <v>21</v>
      </c>
      <c r="F78" s="155" t="str">
        <f>M38</f>
        <v>Kroatien</v>
      </c>
      <c r="G78" s="24"/>
      <c r="H78" s="98">
        <f ca="1" t="shared" si="15"/>
        <v>1</v>
      </c>
      <c r="I78" s="28" t="s">
        <v>22</v>
      </c>
      <c r="J78" s="56">
        <f ca="1" t="shared" si="16"/>
        <v>0</v>
      </c>
      <c r="K78" s="9" t="s">
        <v>23</v>
      </c>
      <c r="L78" s="1"/>
      <c r="M78" s="88" t="str">
        <f t="shared" si="17"/>
        <v>Portugal</v>
      </c>
      <c r="N78" s="1" t="str">
        <f>N47</f>
        <v>1E</v>
      </c>
      <c r="O78" s="1" t="str">
        <f>N38</f>
        <v>2D</v>
      </c>
      <c r="P78" s="1" t="s">
        <v>46</v>
      </c>
      <c r="Q78" s="1"/>
      <c r="R78" s="3"/>
      <c r="S78" s="1"/>
      <c r="U78" s="24"/>
      <c r="V78" s="1"/>
      <c r="W78" s="1"/>
      <c r="X78" s="5"/>
      <c r="Y78"/>
      <c r="Z78"/>
      <c r="AA78" s="116"/>
      <c r="AB78" s="116"/>
      <c r="AC78" s="116"/>
      <c r="AD78" s="116"/>
      <c r="AE78" s="116"/>
      <c r="AF78" s="116"/>
      <c r="AG78"/>
      <c r="AH78"/>
      <c r="AI78"/>
      <c r="AJ78"/>
      <c r="AK78"/>
      <c r="AL78"/>
      <c r="AM78"/>
      <c r="AN78"/>
      <c r="AO78"/>
      <c r="AP78"/>
    </row>
    <row r="79" spans="2:42" ht="12.75">
      <c r="B79" s="7">
        <v>42547.75</v>
      </c>
      <c r="C79" s="4" t="s">
        <v>140</v>
      </c>
      <c r="D79" s="72" t="str">
        <f>M27</f>
        <v>Spanien</v>
      </c>
      <c r="E79" s="22" t="s">
        <v>21</v>
      </c>
      <c r="F79" s="68" t="str">
        <f>VLOOKUP(O79,$C$62:$D$65,2,TRUE)</f>
        <v>Polen</v>
      </c>
      <c r="G79" s="24"/>
      <c r="H79" s="60">
        <f ca="1" t="shared" si="15"/>
        <v>1</v>
      </c>
      <c r="I79" s="28" t="s">
        <v>22</v>
      </c>
      <c r="J79" s="97">
        <f ca="1" t="shared" si="16"/>
        <v>0</v>
      </c>
      <c r="K79" s="9" t="s">
        <v>23</v>
      </c>
      <c r="L79" s="1"/>
      <c r="M79" s="88" t="str">
        <f t="shared" si="17"/>
        <v>Spanien</v>
      </c>
      <c r="N79" s="1" t="str">
        <f>N27</f>
        <v>1C</v>
      </c>
      <c r="O79" s="1" t="str">
        <f>IF(X79="",CONCATENATE("3",U79),CONCATENATE("3",X79))</f>
        <v>3A</v>
      </c>
      <c r="P79" s="1" t="s">
        <v>47</v>
      </c>
      <c r="Q79" s="1"/>
      <c r="R79" s="3" t="s">
        <v>81</v>
      </c>
      <c r="S79" s="1"/>
      <c r="T79" s="2" t="s">
        <v>126</v>
      </c>
      <c r="U79" s="117" t="str">
        <f>IF(COUNTIF($BG$61:$BG$69,C$67)&gt;0,$BG$59,IF(COUNTIF($BH$61:$BH$69,C$67)&gt;0,$BH$59,IF(COUNTIF($BI$61:$BI$69,C$67)&gt;0,$BI$59,CONCATENATE("??? ",C$67))))</f>
        <v>A</v>
      </c>
      <c r="V79" s="1"/>
      <c r="W79" s="1"/>
      <c r="X79" s="5"/>
      <c r="Y79"/>
      <c r="Z79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/>
    </row>
    <row r="80" spans="2:42" ht="12.75">
      <c r="B80" s="7">
        <v>42548.875</v>
      </c>
      <c r="C80" s="4" t="s">
        <v>145</v>
      </c>
      <c r="D80" s="71" t="str">
        <f>M18</f>
        <v>Italien</v>
      </c>
      <c r="E80" s="22" t="s">
        <v>21</v>
      </c>
      <c r="F80" s="75" t="str">
        <f>M58</f>
        <v>Österreich</v>
      </c>
      <c r="G80" s="24"/>
      <c r="H80" s="119">
        <f ca="1" t="shared" si="15"/>
        <v>1</v>
      </c>
      <c r="I80" s="28" t="s">
        <v>22</v>
      </c>
      <c r="J80" s="96">
        <f ca="1" t="shared" si="16"/>
        <v>0</v>
      </c>
      <c r="K80" s="9" t="s">
        <v>23</v>
      </c>
      <c r="L80" s="1"/>
      <c r="M80" s="90" t="str">
        <f t="shared" si="17"/>
        <v>Italien</v>
      </c>
      <c r="N80" s="1" t="str">
        <f>N18</f>
        <v>2B</v>
      </c>
      <c r="O80" s="1" t="str">
        <f>N58</f>
        <v>2F</v>
      </c>
      <c r="P80" s="1" t="s">
        <v>48</v>
      </c>
      <c r="Q80" s="1"/>
      <c r="R80" s="3"/>
      <c r="S80" s="1"/>
      <c r="U80" s="24"/>
      <c r="V80" s="1"/>
      <c r="W80" s="1"/>
      <c r="X80" s="5"/>
      <c r="Y80"/>
      <c r="Z80"/>
      <c r="AA80" s="116"/>
      <c r="AB80" s="116"/>
      <c r="AC80" s="116"/>
      <c r="AD80" s="116"/>
      <c r="AE80" s="116"/>
      <c r="AF80" s="116"/>
      <c r="AG80"/>
      <c r="AH80"/>
      <c r="AI80"/>
      <c r="AJ80"/>
      <c r="AK80"/>
      <c r="AL80"/>
      <c r="AM80"/>
      <c r="AN80"/>
      <c r="AO80"/>
      <c r="AP80"/>
    </row>
    <row r="81" spans="2:42" ht="12.75">
      <c r="B81" s="7">
        <v>42547.625</v>
      </c>
      <c r="C81" s="4" t="s">
        <v>141</v>
      </c>
      <c r="D81" s="70" t="str">
        <f>M7</f>
        <v>Frankreich</v>
      </c>
      <c r="E81" s="22" t="s">
        <v>21</v>
      </c>
      <c r="F81" s="68" t="str">
        <f>VLOOKUP(O81,$C$62:$D$65,2,TRUE)</f>
        <v>Ungarn</v>
      </c>
      <c r="G81" s="24"/>
      <c r="H81" s="54">
        <f ca="1" t="shared" si="15"/>
        <v>1</v>
      </c>
      <c r="I81" s="28" t="s">
        <v>22</v>
      </c>
      <c r="J81" s="97">
        <f ca="1" t="shared" si="16"/>
        <v>0</v>
      </c>
      <c r="K81" s="9" t="s">
        <v>23</v>
      </c>
      <c r="L81" s="1"/>
      <c r="M81" s="90" t="str">
        <f t="shared" si="17"/>
        <v>Frankreich</v>
      </c>
      <c r="N81" s="1" t="str">
        <f>N7</f>
        <v>1A</v>
      </c>
      <c r="O81" s="1" t="str">
        <f>IF(X81="",CONCATENATE("3",U81),CONCATENATE("3",X81))</f>
        <v>3C</v>
      </c>
      <c r="P81" s="1" t="s">
        <v>49</v>
      </c>
      <c r="Q81" s="1"/>
      <c r="R81" s="3" t="s">
        <v>79</v>
      </c>
      <c r="S81" s="1"/>
      <c r="T81" s="2" t="s">
        <v>126</v>
      </c>
      <c r="U81" s="117" t="str">
        <f>IF(COUNTIF($BA$61:$BA$69,C$67)&gt;0,$BA$59,IF(COUNTIF($BB$61:$BB$69,C$67)&gt;0,$BB$59,IF(COUNTIF($BC$61:$BC$69,C$67)&gt;0,$BC$59,CONCATENATE("??? ",C$67))))</f>
        <v>C</v>
      </c>
      <c r="V81" s="1"/>
      <c r="W81" s="1"/>
      <c r="X81" s="5"/>
      <c r="Y81"/>
      <c r="Z81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/>
    </row>
    <row r="82" spans="2:42" ht="12.75">
      <c r="B82" s="1"/>
      <c r="C82" s="3"/>
      <c r="D82" s="24"/>
      <c r="E82" s="21"/>
      <c r="F82" s="24"/>
      <c r="G82" s="24"/>
      <c r="H82" s="28"/>
      <c r="I82" s="13"/>
      <c r="J82" s="28"/>
      <c r="K82" s="78"/>
      <c r="L82" s="1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2" t="s">
        <v>127</v>
      </c>
      <c r="Y82"/>
      <c r="Z82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/>
    </row>
    <row r="83" spans="3:41" ht="12.75">
      <c r="C83" s="30"/>
      <c r="D83" s="24"/>
      <c r="E83" s="21"/>
      <c r="F83" s="24"/>
      <c r="G83" s="24"/>
      <c r="H83" s="28"/>
      <c r="I83" s="27"/>
      <c r="J83" s="28"/>
      <c r="K83" s="78"/>
      <c r="L83" s="24"/>
      <c r="M83" s="30"/>
      <c r="N83" s="24"/>
      <c r="O83" s="24"/>
      <c r="P83" s="24"/>
      <c r="Q83" s="1"/>
      <c r="R83" s="1"/>
      <c r="S83" s="1"/>
      <c r="T83" s="1"/>
      <c r="U83" s="1"/>
      <c r="V83" s="1"/>
      <c r="W83" s="1"/>
      <c r="X83" s="1"/>
      <c r="Y83" s="3"/>
      <c r="Z83" s="1"/>
      <c r="AA83" s="1"/>
      <c r="AB83" s="1"/>
      <c r="AC83" s="1"/>
      <c r="AD83" s="1"/>
      <c r="AE83" s="6"/>
      <c r="AF83" s="9"/>
      <c r="AG83" s="1"/>
      <c r="AH83" s="1"/>
      <c r="AO83" s="1"/>
    </row>
    <row r="84" spans="2:41" ht="12.75">
      <c r="B84" s="79" t="s">
        <v>50</v>
      </c>
      <c r="C84" s="3"/>
      <c r="D84" s="24"/>
      <c r="E84" s="21"/>
      <c r="F84" s="24"/>
      <c r="G84" s="24"/>
      <c r="H84" s="28"/>
      <c r="I84" s="13"/>
      <c r="J84" s="100"/>
      <c r="K84" s="78"/>
      <c r="L84" s="1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/>
      <c r="Z84" s="1"/>
      <c r="AA84" s="1"/>
      <c r="AB84" s="1"/>
      <c r="AC84" s="1"/>
      <c r="AD84" s="1"/>
      <c r="AE84" s="6"/>
      <c r="AF84" s="9"/>
      <c r="AG84" s="1"/>
      <c r="AH84" s="1"/>
      <c r="AO84" s="1"/>
    </row>
    <row r="85" spans="2:41" ht="12.75">
      <c r="B85" s="7">
        <v>42551.875</v>
      </c>
      <c r="C85" s="4" t="s">
        <v>139</v>
      </c>
      <c r="D85" s="104" t="str">
        <f>M74</f>
        <v>Russland</v>
      </c>
      <c r="E85" s="22" t="s">
        <v>21</v>
      </c>
      <c r="F85" s="104" t="str">
        <f>M75</f>
        <v>Deutschland</v>
      </c>
      <c r="G85" s="24"/>
      <c r="H85" s="118">
        <f ca="1">IF($B$102="",1,IF(OR(J85&lt;1,INT(RAND()*10&lt;6)),J85+1,J85-1))</f>
        <v>1</v>
      </c>
      <c r="I85" s="28" t="s">
        <v>22</v>
      </c>
      <c r="J85" s="97">
        <f ca="1">IF($B$102="",0,INT(RAND()*5)+INT(RAND()*3)*INT(RAND()*2))</f>
        <v>0</v>
      </c>
      <c r="K85" s="9" t="s">
        <v>23</v>
      </c>
      <c r="L85" s="1"/>
      <c r="M85" s="105" t="str">
        <f>IF(J85="","",IF(J85=H85,"falsch!!! K.Remis",IF(H85&gt;J85,D85,F85)))</f>
        <v>Russland</v>
      </c>
      <c r="N85" s="1" t="str">
        <f>P74</f>
        <v>AF1</v>
      </c>
      <c r="O85" s="1" t="str">
        <f>P75</f>
        <v>AF2</v>
      </c>
      <c r="P85" s="2" t="s">
        <v>52</v>
      </c>
      <c r="Q85" s="1"/>
      <c r="R85" s="1"/>
      <c r="S85" s="1"/>
      <c r="T85" s="1"/>
      <c r="U85" s="1"/>
      <c r="V85" s="1"/>
      <c r="W85" s="1"/>
      <c r="X85" s="1"/>
      <c r="Y85" s="3"/>
      <c r="Z85" s="1"/>
      <c r="AA85" s="1"/>
      <c r="AB85" s="1"/>
      <c r="AC85" s="1"/>
      <c r="AD85" s="1"/>
      <c r="AE85" s="6"/>
      <c r="AF85" s="9"/>
      <c r="AG85" s="1"/>
      <c r="AH85" s="1"/>
      <c r="AO85" s="1"/>
    </row>
    <row r="86" spans="2:41" ht="12.75">
      <c r="B86" s="7">
        <v>42552.875</v>
      </c>
      <c r="C86" s="4" t="s">
        <v>140</v>
      </c>
      <c r="D86" s="81" t="str">
        <f>M76</f>
        <v>England</v>
      </c>
      <c r="E86" s="80" t="s">
        <v>21</v>
      </c>
      <c r="F86" s="81" t="str">
        <f>M77</f>
        <v>Belgien</v>
      </c>
      <c r="G86" s="24"/>
      <c r="H86" s="118">
        <f ca="1">IF($B$102="",1,IF(OR(J86&lt;1,INT(RAND()*10&lt;6)),J86+1,J86-1))</f>
        <v>1</v>
      </c>
      <c r="I86" s="28" t="s">
        <v>22</v>
      </c>
      <c r="J86" s="118">
        <f ca="1">IF($B$102="",0,INT(RAND()*5)+INT(RAND()*3)*INT(RAND()*2))</f>
        <v>0</v>
      </c>
      <c r="K86" s="9" t="s">
        <v>23</v>
      </c>
      <c r="L86" s="1"/>
      <c r="M86" s="82" t="str">
        <f>IF(J86="","",IF(J86=H86,"falsch!!! K.Remis",IF(H86&gt;J86,D86,F86)))</f>
        <v>England</v>
      </c>
      <c r="N86" s="1" t="str">
        <f>P76</f>
        <v>AF3</v>
      </c>
      <c r="O86" s="1" t="str">
        <f>P77</f>
        <v>AF4</v>
      </c>
      <c r="P86" s="2" t="s">
        <v>54</v>
      </c>
      <c r="Q86" s="1"/>
      <c r="R86" s="1"/>
      <c r="S86" s="1"/>
      <c r="T86" s="1"/>
      <c r="U86" s="1"/>
      <c r="V86" s="1"/>
      <c r="W86" s="1"/>
      <c r="X86" s="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ht="12.75">
      <c r="B87" s="7">
        <v>42553.875</v>
      </c>
      <c r="C87" s="4" t="s">
        <v>142</v>
      </c>
      <c r="D87" s="84" t="str">
        <f>M78</f>
        <v>Portugal</v>
      </c>
      <c r="E87" s="80" t="s">
        <v>21</v>
      </c>
      <c r="F87" s="84" t="str">
        <f>M79</f>
        <v>Spanien</v>
      </c>
      <c r="G87" s="24"/>
      <c r="H87" s="118">
        <f ca="1">IF($B$102="",1,IF(OR(J87&lt;1,INT(RAND()*10&lt;6)),J87+1,J87-1))</f>
        <v>1</v>
      </c>
      <c r="I87" s="28" t="s">
        <v>22</v>
      </c>
      <c r="J87" s="97">
        <f ca="1">IF($B$102="",0,INT(RAND()*5)+INT(RAND()*3)*INT(RAND()*2))</f>
        <v>0</v>
      </c>
      <c r="K87" s="9" t="s">
        <v>23</v>
      </c>
      <c r="L87" s="1"/>
      <c r="M87" s="85" t="str">
        <f>IF(J87="","",IF(J87=H87,"falsch!!! K.Remis",IF(H87&gt;J87,D87,F87)))</f>
        <v>Portugal</v>
      </c>
      <c r="N87" s="1" t="str">
        <f>P78</f>
        <v>AF5</v>
      </c>
      <c r="O87" s="1" t="str">
        <f>P79</f>
        <v>AF6</v>
      </c>
      <c r="P87" s="1" t="s">
        <v>51</v>
      </c>
      <c r="Q87" s="1"/>
      <c r="R87" s="1"/>
      <c r="S87" s="1"/>
      <c r="T87" s="1"/>
      <c r="U87" s="1"/>
      <c r="V87" s="1"/>
      <c r="W87" s="1"/>
      <c r="X87" s="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ht="12.75">
      <c r="A88" s="102"/>
      <c r="B88" s="7">
        <v>42554.875</v>
      </c>
      <c r="C88" s="4" t="s">
        <v>136</v>
      </c>
      <c r="D88" s="86" t="str">
        <f>M80</f>
        <v>Italien</v>
      </c>
      <c r="E88" s="22" t="s">
        <v>21</v>
      </c>
      <c r="F88" s="86" t="str">
        <f>M81</f>
        <v>Frankreich</v>
      </c>
      <c r="G88" s="24"/>
      <c r="H88" s="118">
        <f ca="1">IF($B$102="",1,IF(OR(J88&lt;1,INT(RAND()*10&lt;6)),J88+1,J88-1))</f>
        <v>1</v>
      </c>
      <c r="I88" s="28" t="s">
        <v>22</v>
      </c>
      <c r="J88" s="97">
        <f ca="1">IF($B$102="",0,INT(RAND()*5)+INT(RAND()*3)*INT(RAND()*2))</f>
        <v>0</v>
      </c>
      <c r="K88" s="9" t="s">
        <v>23</v>
      </c>
      <c r="L88" s="1"/>
      <c r="M88" s="87" t="str">
        <f>IF(J88="","",IF(J88=H88,"falsch!!! K.Remis",IF(H88&gt;J88,D88,F88)))</f>
        <v>Italien</v>
      </c>
      <c r="N88" s="1" t="str">
        <f>P80</f>
        <v>AF7</v>
      </c>
      <c r="O88" s="1" t="str">
        <f>P81</f>
        <v>AF8</v>
      </c>
      <c r="P88" s="1" t="s">
        <v>53</v>
      </c>
      <c r="Q88" s="1"/>
      <c r="R88" s="1"/>
      <c r="S88" s="1"/>
      <c r="T88" s="1"/>
      <c r="U88" s="1"/>
      <c r="V88" s="1"/>
      <c r="W88" s="1"/>
      <c r="X88" s="1"/>
      <c r="Y88"/>
      <c r="Z88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</row>
    <row r="89" spans="17:41" ht="12.75">
      <c r="Q89" s="1"/>
      <c r="R89" s="1"/>
      <c r="S89" s="1"/>
      <c r="T89" s="1"/>
      <c r="U89" s="1"/>
      <c r="V89" s="1"/>
      <c r="W89" s="1"/>
      <c r="X89" s="1"/>
      <c r="Y89"/>
      <c r="Z89"/>
      <c r="AA89" s="116"/>
      <c r="AB89" s="116"/>
      <c r="AC89" s="116"/>
      <c r="AD89" s="116"/>
      <c r="AE89" s="116"/>
      <c r="AF89" s="116"/>
      <c r="AG89"/>
      <c r="AH89"/>
      <c r="AI89"/>
      <c r="AJ89"/>
      <c r="AK89"/>
      <c r="AL89"/>
      <c r="AM89"/>
      <c r="AN89"/>
      <c r="AO89"/>
    </row>
    <row r="90" spans="4:41" ht="12.75">
      <c r="D90" s="24"/>
      <c r="E90" s="21"/>
      <c r="F90" s="24"/>
      <c r="G90" s="24"/>
      <c r="H90" s="28"/>
      <c r="I90" s="27"/>
      <c r="J90" s="28"/>
      <c r="K90" s="78"/>
      <c r="L90" s="24"/>
      <c r="M90" s="30"/>
      <c r="N90" s="24"/>
      <c r="O90" s="24"/>
      <c r="P90" s="24"/>
      <c r="Q90" s="1"/>
      <c r="R90" s="1"/>
      <c r="S90" s="1"/>
      <c r="T90" s="1"/>
      <c r="U90" s="1"/>
      <c r="V90" s="1"/>
      <c r="W90" s="1"/>
      <c r="X90" s="1"/>
      <c r="Y90"/>
      <c r="Z90"/>
      <c r="AA90" s="116"/>
      <c r="AB90" s="116"/>
      <c r="AC90" s="116"/>
      <c r="AD90" s="116"/>
      <c r="AE90" s="116"/>
      <c r="AF90" s="116"/>
      <c r="AG90"/>
      <c r="AH90"/>
      <c r="AI90"/>
      <c r="AJ90"/>
      <c r="AK90"/>
      <c r="AL90"/>
      <c r="AM90"/>
      <c r="AN90"/>
      <c r="AO90"/>
    </row>
    <row r="91" spans="2:41" ht="12.75">
      <c r="B91" s="89" t="s">
        <v>55</v>
      </c>
      <c r="C91" s="30"/>
      <c r="D91" s="24"/>
      <c r="E91" s="21"/>
      <c r="F91" s="24"/>
      <c r="G91" s="24"/>
      <c r="H91" s="28"/>
      <c r="I91" s="13"/>
      <c r="J91" s="28"/>
      <c r="K91" s="78"/>
      <c r="L91" s="1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/>
      <c r="Z91"/>
      <c r="AA91" s="116"/>
      <c r="AB91" s="116"/>
      <c r="AC91" s="116"/>
      <c r="AD91" s="116"/>
      <c r="AE91" s="116"/>
      <c r="AF91" s="116"/>
      <c r="AG91"/>
      <c r="AH91"/>
      <c r="AI91"/>
      <c r="AJ91"/>
      <c r="AK91"/>
      <c r="AL91"/>
      <c r="AM91"/>
      <c r="AN91"/>
      <c r="AO91"/>
    </row>
    <row r="92" spans="2:41" ht="12.75">
      <c r="B92" s="7">
        <v>42557.875</v>
      </c>
      <c r="C92" s="4" t="s">
        <v>141</v>
      </c>
      <c r="D92" s="106" t="str">
        <f>M85</f>
        <v>Russland</v>
      </c>
      <c r="E92" s="30" t="s">
        <v>21</v>
      </c>
      <c r="F92" s="26" t="str">
        <f>M86</f>
        <v>England</v>
      </c>
      <c r="G92" s="24"/>
      <c r="H92" s="61">
        <f ca="1">IF($B$102="",1,IF(OR(J92&lt;1,INT(RAND()*10&lt;6)),J92+1,J92-1))</f>
        <v>1</v>
      </c>
      <c r="I92" s="28" t="s">
        <v>22</v>
      </c>
      <c r="J92" s="61">
        <f ca="1">IF($B$102="",0,INT(RAND()*5)+INT(RAND()*3)*INT(RAND()*2))</f>
        <v>0</v>
      </c>
      <c r="K92" s="9" t="s">
        <v>23</v>
      </c>
      <c r="L92" s="1"/>
      <c r="M92" s="107" t="str">
        <f>IF(J92="","",IF(J92=H92,"falsch!!! K.Remis",IF(H92&gt;J92,D92,F92)))</f>
        <v>Russland</v>
      </c>
      <c r="N92" s="1" t="s">
        <v>52</v>
      </c>
      <c r="O92" s="1" t="s">
        <v>54</v>
      </c>
      <c r="P92" s="1" t="s">
        <v>56</v>
      </c>
      <c r="Q92" s="1"/>
      <c r="R92" s="1"/>
      <c r="S92" s="1"/>
      <c r="T92" s="1"/>
      <c r="U92" s="1"/>
      <c r="V92" s="1"/>
      <c r="W92" s="1"/>
      <c r="X92" s="1"/>
      <c r="Y92"/>
      <c r="Z92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</row>
    <row r="93" spans="2:41" ht="12.75">
      <c r="B93" s="7">
        <v>42558.875</v>
      </c>
      <c r="C93" s="4" t="s">
        <v>139</v>
      </c>
      <c r="D93" s="91" t="str">
        <f>M87</f>
        <v>Portugal</v>
      </c>
      <c r="E93" s="30" t="s">
        <v>21</v>
      </c>
      <c r="F93" s="92" t="str">
        <f>M88</f>
        <v>Italien</v>
      </c>
      <c r="G93" s="24"/>
      <c r="H93" s="61">
        <f ca="1">IF($B$102="",1,IF(OR(J93&lt;1,INT(RAND()*10&lt;6)),J93+1,J93-1))</f>
        <v>1</v>
      </c>
      <c r="I93" s="28" t="s">
        <v>22</v>
      </c>
      <c r="J93" s="61">
        <f ca="1">IF($B$102="",0,INT(RAND()*5)+INT(RAND()*3)*INT(RAND()*2))</f>
        <v>0</v>
      </c>
      <c r="K93" s="9" t="s">
        <v>23</v>
      </c>
      <c r="L93" s="1"/>
      <c r="M93" s="107" t="str">
        <f>IF(J93="","",IF(J93=H93,"falsch!!! K.Remis",IF(H93&gt;J93,D93,F93)))</f>
        <v>Portugal</v>
      </c>
      <c r="N93" s="1" t="s">
        <v>51</v>
      </c>
      <c r="O93" s="1" t="s">
        <v>53</v>
      </c>
      <c r="P93" s="1" t="s">
        <v>57</v>
      </c>
      <c r="Q93" s="1"/>
      <c r="R93" s="1"/>
      <c r="S93" s="1"/>
      <c r="T93" s="1"/>
      <c r="U93" s="1"/>
      <c r="V93" s="1"/>
      <c r="W93" s="1"/>
      <c r="X93" s="1"/>
      <c r="Y93"/>
      <c r="Z93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</row>
    <row r="94" spans="2:41" ht="12.75">
      <c r="B94" s="1"/>
      <c r="C94" s="3"/>
      <c r="D94" s="24"/>
      <c r="E94" s="21"/>
      <c r="F94" s="24"/>
      <c r="G94" s="24"/>
      <c r="H94" s="28"/>
      <c r="I94" s="13"/>
      <c r="J94" s="28"/>
      <c r="K94" s="78"/>
      <c r="L94" s="1"/>
      <c r="M94" s="93" t="str">
        <f>IF(J92="","",IF(D92=M92,F92,D92))</f>
        <v>England</v>
      </c>
      <c r="N94" s="1"/>
      <c r="O94" s="1"/>
      <c r="P94" s="1" t="s">
        <v>58</v>
      </c>
      <c r="Q94" s="1"/>
      <c r="R94" s="1"/>
      <c r="S94" s="1"/>
      <c r="T94" s="1"/>
      <c r="U94" s="1"/>
      <c r="V94" s="1"/>
      <c r="W94" s="1"/>
      <c r="X94" s="1"/>
      <c r="Y94"/>
      <c r="Z94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</row>
    <row r="95" spans="2:41" ht="12.75">
      <c r="B95" s="94"/>
      <c r="C95" s="3"/>
      <c r="D95" s="12"/>
      <c r="E95" s="23"/>
      <c r="F95" s="12"/>
      <c r="G95" s="12"/>
      <c r="H95" s="31"/>
      <c r="J95" s="31"/>
      <c r="K95" s="78"/>
      <c r="M95" s="93" t="str">
        <f>IF(J93="","",IF(D93=M93,F93,D93))</f>
        <v>Italien</v>
      </c>
      <c r="P95" s="1" t="s">
        <v>59</v>
      </c>
      <c r="Y95"/>
      <c r="Z95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</row>
    <row r="96" spans="2:41" ht="12.75">
      <c r="B96" s="94" t="s">
        <v>60</v>
      </c>
      <c r="C96" s="3"/>
      <c r="D96" s="12"/>
      <c r="E96" s="23"/>
      <c r="F96" s="12"/>
      <c r="G96" s="12"/>
      <c r="H96" s="101"/>
      <c r="J96" s="101"/>
      <c r="K96" s="78"/>
      <c r="M96" s="2"/>
      <c r="P96" s="1"/>
      <c r="Q96" s="1"/>
      <c r="R96" s="1"/>
      <c r="S96" s="1"/>
      <c r="T96" s="1"/>
      <c r="U96" s="1"/>
      <c r="V96" s="1"/>
      <c r="W96" s="1"/>
      <c r="AE96" s="1"/>
      <c r="AF96" s="9"/>
      <c r="AG96" s="1"/>
      <c r="AH96" s="1"/>
      <c r="AO96" s="1"/>
    </row>
    <row r="97" spans="2:41" ht="12.75">
      <c r="B97" s="7">
        <v>42561.875</v>
      </c>
      <c r="C97" s="4" t="s">
        <v>136</v>
      </c>
      <c r="D97" s="66" t="str">
        <f>M92</f>
        <v>Russland</v>
      </c>
      <c r="E97" s="30" t="s">
        <v>21</v>
      </c>
      <c r="F97" s="66" t="str">
        <f>M93</f>
        <v>Portugal</v>
      </c>
      <c r="G97" s="24"/>
      <c r="H97" s="56">
        <f ca="1">IF($B$102="",1,IF(OR(J97&lt;1,INT(RAND()*10&lt;6)),J97+1,J97-1))</f>
        <v>1</v>
      </c>
      <c r="I97" s="28" t="s">
        <v>22</v>
      </c>
      <c r="J97" s="56">
        <f ca="1">IF($B$102="",0,INT(RAND()*5)+INT(RAND()*3)*INT(RAND()*2))</f>
        <v>0</v>
      </c>
      <c r="K97" s="9" t="s">
        <v>23</v>
      </c>
      <c r="L97" s="1"/>
      <c r="M97" s="95" t="str">
        <f>IF(J97="","",IF(J97=H97,"falsch!!! K.Remis",IF(H97&gt;J97,D97,F97)))</f>
        <v>Russland</v>
      </c>
      <c r="N97" s="1" t="str">
        <f>P92</f>
        <v>F1</v>
      </c>
      <c r="O97" s="1" t="str">
        <f>P93</f>
        <v>F2</v>
      </c>
      <c r="Q97" s="1"/>
      <c r="R97" s="1"/>
      <c r="S97" s="1"/>
      <c r="T97" s="1"/>
      <c r="U97" s="1"/>
      <c r="V97" s="1"/>
      <c r="W97" s="1"/>
      <c r="AE97" s="1"/>
      <c r="AF97" s="9"/>
      <c r="AG97" s="1"/>
      <c r="AH97" s="1"/>
      <c r="AO97" s="1"/>
    </row>
    <row r="98" spans="2:41" ht="12.75">
      <c r="B98" s="7"/>
      <c r="C98" s="4"/>
      <c r="D98" s="12"/>
      <c r="E98" s="12"/>
      <c r="F98" s="12"/>
      <c r="G98" s="24"/>
      <c r="H98" s="99"/>
      <c r="I98" s="28"/>
      <c r="J98" s="99"/>
      <c r="K98" s="78"/>
      <c r="L98" s="1"/>
      <c r="M98" s="95"/>
      <c r="N98" s="1"/>
      <c r="O98" s="1"/>
      <c r="Q98" s="1"/>
      <c r="R98" s="1"/>
      <c r="S98" s="1"/>
      <c r="T98" s="1"/>
      <c r="U98" s="1"/>
      <c r="V98" s="1"/>
      <c r="W98" s="1"/>
      <c r="AE98" s="1"/>
      <c r="AF98" s="9"/>
      <c r="AG98" s="1"/>
      <c r="AH98" s="1"/>
      <c r="AO98" s="1"/>
    </row>
    <row r="99" spans="2:31" ht="12.75">
      <c r="B99" s="1"/>
      <c r="C99" s="3"/>
      <c r="D99" s="1"/>
      <c r="E99" s="1"/>
      <c r="F99" s="1"/>
      <c r="G99" s="1"/>
      <c r="H99" s="13"/>
      <c r="I99" s="14"/>
      <c r="J99" s="13"/>
      <c r="L99" s="1"/>
      <c r="N99" s="1"/>
      <c r="O99" s="1"/>
      <c r="P99" s="1"/>
      <c r="Q99" s="1"/>
      <c r="R99" s="1"/>
      <c r="S99" s="1"/>
      <c r="T99" s="1"/>
      <c r="U99" s="1"/>
      <c r="V99" s="1"/>
      <c r="X99" s="1"/>
      <c r="Y99" s="3"/>
      <c r="Z99" s="1"/>
      <c r="AA99" s="1"/>
      <c r="AB99" s="1"/>
      <c r="AC99" s="1"/>
      <c r="AE99" s="2"/>
    </row>
    <row r="100" spans="2:31" ht="13.5" thickBot="1">
      <c r="B100" s="111"/>
      <c r="C100" s="3"/>
      <c r="D100" s="3"/>
      <c r="E100" s="3"/>
      <c r="F100" s="3"/>
      <c r="H100" s="114"/>
      <c r="AE100" s="2"/>
    </row>
    <row r="101" spans="2:30" ht="14.25" thickBot="1" thickTop="1">
      <c r="B101" s="16" t="s">
        <v>23</v>
      </c>
      <c r="C101" s="1" t="s">
        <v>62</v>
      </c>
      <c r="D101" s="3"/>
      <c r="E101" s="3"/>
      <c r="F101" s="3"/>
      <c r="G101" s="108"/>
      <c r="H101" s="115"/>
      <c r="AD101" s="3"/>
    </row>
    <row r="102" spans="2:31" ht="14.25" thickBot="1" thickTop="1">
      <c r="B102" s="16"/>
      <c r="C102" s="1" t="s">
        <v>73</v>
      </c>
      <c r="E102" s="3"/>
      <c r="F102" s="3"/>
      <c r="AD102" s="3"/>
      <c r="AE102" s="2"/>
    </row>
    <row r="103" spans="1:31" ht="14.25" thickBot="1" thickTop="1">
      <c r="A103" s="108"/>
      <c r="B103" s="110">
        <f ca="1">IF($B$102="",1,INT(RAND()*5)+INT(RAND()*3)*INT(RAND()*2))</f>
        <v>1</v>
      </c>
      <c r="C103" s="1" t="s">
        <v>61</v>
      </c>
      <c r="E103" s="3"/>
      <c r="F103" s="3"/>
      <c r="AD103" s="3"/>
      <c r="AE103" s="2"/>
    </row>
    <row r="104" spans="2:32" s="1" customFormat="1" ht="14.25" thickBot="1" thickTop="1">
      <c r="B104" s="109" t="s">
        <v>194</v>
      </c>
      <c r="C104" s="1" t="s">
        <v>72</v>
      </c>
      <c r="H104" s="14"/>
      <c r="I104" s="14"/>
      <c r="J104" s="14"/>
      <c r="K104" s="9"/>
      <c r="M104" s="11"/>
      <c r="AF104" s="2"/>
    </row>
    <row r="105" spans="2:3" ht="14.25" thickBot="1" thickTop="1">
      <c r="B105" s="109"/>
      <c r="C105" s="182" t="s">
        <v>195</v>
      </c>
    </row>
    <row r="106" ht="13.5" thickTop="1"/>
    <row r="108" spans="2:32" s="19" customFormat="1" ht="12.75">
      <c r="B108" s="17" t="s">
        <v>63</v>
      </c>
      <c r="C108" s="21" t="s">
        <v>8</v>
      </c>
      <c r="D108" s="22" t="s">
        <v>64</v>
      </c>
      <c r="E108" s="23"/>
      <c r="F108" s="21" t="s">
        <v>4</v>
      </c>
      <c r="G108" s="18"/>
      <c r="H108" s="18"/>
      <c r="I108" s="18"/>
      <c r="J108" s="18"/>
      <c r="K108" s="18"/>
      <c r="M108" s="76" t="s">
        <v>65</v>
      </c>
      <c r="P108" s="18"/>
      <c r="Q108" s="18"/>
      <c r="R108" s="18"/>
      <c r="S108" s="18"/>
      <c r="T108" s="20"/>
      <c r="U108" s="18"/>
      <c r="AD108" s="2"/>
      <c r="AE108" s="10"/>
      <c r="AF108" s="2"/>
    </row>
    <row r="109" spans="2:21" ht="12.75">
      <c r="B109" s="2" t="str">
        <f>VLOOKUP(1,C$109:D$114,2,FALSE)</f>
        <v>Frankreich</v>
      </c>
      <c r="C109" s="1">
        <f aca="true" t="shared" si="18" ref="C109:C114">RANK(F109,$F$109:$F$114)</f>
        <v>1</v>
      </c>
      <c r="D109" s="3" t="str">
        <f>IF(B$105="",M109,"T1M1")</f>
        <v>Frankreich</v>
      </c>
      <c r="E109" s="2">
        <v>6</v>
      </c>
      <c r="F109" s="8">
        <f>IF(B$104="",6,1000000)</f>
        <v>1000000</v>
      </c>
      <c r="H109" s="1"/>
      <c r="I109" s="1"/>
      <c r="J109" s="1"/>
      <c r="K109" s="1"/>
      <c r="M109" s="11" t="s">
        <v>67</v>
      </c>
      <c r="P109" s="1"/>
      <c r="Q109" s="1"/>
      <c r="R109" s="1"/>
      <c r="S109" s="6"/>
      <c r="T109" s="1"/>
      <c r="U109" s="1"/>
    </row>
    <row r="110" spans="2:21" ht="12.75">
      <c r="B110" s="2" t="str">
        <f>VLOOKUP(2,C$109:D$114,2,FALSE)</f>
        <v>England</v>
      </c>
      <c r="C110" s="1">
        <f t="shared" si="18"/>
        <v>3</v>
      </c>
      <c r="D110" s="3" t="str">
        <f>IF(B$105="",M110,"T1M2")</f>
        <v>Spanien</v>
      </c>
      <c r="E110" s="2">
        <v>5</v>
      </c>
      <c r="F110" s="8">
        <f ca="1">IF(B$104="",5,INT(RAND()*1000000))</f>
        <v>365025</v>
      </c>
      <c r="H110" s="1"/>
      <c r="I110" s="1"/>
      <c r="J110" s="1"/>
      <c r="K110" s="1"/>
      <c r="M110" s="11" t="s">
        <v>176</v>
      </c>
      <c r="P110" s="1"/>
      <c r="Q110" s="1"/>
      <c r="R110" s="1"/>
      <c r="S110" s="6"/>
      <c r="T110" s="1"/>
      <c r="U110" s="1"/>
    </row>
    <row r="111" spans="2:21" ht="12.75">
      <c r="B111" s="2" t="str">
        <f>VLOOKUP(3,C$109:D$114,2,FALSE)</f>
        <v>Spanien</v>
      </c>
      <c r="C111" s="1">
        <f t="shared" si="18"/>
        <v>4</v>
      </c>
      <c r="D111" s="3" t="str">
        <f>IF(B$105="",M111,"T1M3")</f>
        <v>Deutschland</v>
      </c>
      <c r="E111" s="2">
        <v>4</v>
      </c>
      <c r="F111" s="8">
        <f ca="1">IF(B$104="",4,INT(RAND()*1000000))</f>
        <v>246303</v>
      </c>
      <c r="H111" s="1"/>
      <c r="I111" s="1"/>
      <c r="J111" s="1"/>
      <c r="K111" s="1"/>
      <c r="M111" s="11" t="s">
        <v>175</v>
      </c>
      <c r="P111" s="1"/>
      <c r="Q111" s="1"/>
      <c r="R111" s="1"/>
      <c r="S111" s="6"/>
      <c r="T111" s="1"/>
      <c r="U111" s="1"/>
    </row>
    <row r="112" spans="2:21" ht="12.75">
      <c r="B112" s="2" t="str">
        <f>VLOOKUP(4,C$109:D$114,2,FALSE)</f>
        <v>Deutschland</v>
      </c>
      <c r="C112" s="1">
        <f t="shared" si="18"/>
        <v>2</v>
      </c>
      <c r="D112" s="3" t="str">
        <f>IF(B$105="",M112,"T1M4")</f>
        <v>England</v>
      </c>
      <c r="E112" s="2">
        <v>3</v>
      </c>
      <c r="F112" s="8">
        <f ca="1">IF(B$104="",3,INT(RAND()*1000000))</f>
        <v>572398</v>
      </c>
      <c r="H112" s="1"/>
      <c r="I112" s="1"/>
      <c r="J112" s="1"/>
      <c r="K112" s="1"/>
      <c r="M112" s="11" t="s">
        <v>177</v>
      </c>
      <c r="P112" s="1"/>
      <c r="Q112" s="1"/>
      <c r="R112" s="1"/>
      <c r="S112" s="6"/>
      <c r="T112" s="1"/>
      <c r="U112" s="1"/>
    </row>
    <row r="113" spans="2:21" ht="12.75">
      <c r="B113" s="2" t="str">
        <f>VLOOKUP(5,C$109:D$114,2,FALSE)</f>
        <v>Portugal</v>
      </c>
      <c r="C113" s="1">
        <f t="shared" si="18"/>
        <v>5</v>
      </c>
      <c r="D113" s="3" t="str">
        <f>IF(B$105="",M113,"T1M5")</f>
        <v>Portugal</v>
      </c>
      <c r="E113" s="2">
        <v>2</v>
      </c>
      <c r="F113" s="8">
        <f ca="1">IF(B$104="",2,INT(RAND()*1000000))</f>
        <v>208424</v>
      </c>
      <c r="H113" s="1"/>
      <c r="I113" s="1"/>
      <c r="J113" s="1"/>
      <c r="K113" s="1"/>
      <c r="M113" s="11" t="s">
        <v>178</v>
      </c>
      <c r="P113" s="1"/>
      <c r="Q113" s="1"/>
      <c r="R113" s="1"/>
      <c r="S113" s="6"/>
      <c r="T113" s="1"/>
      <c r="U113" s="1"/>
    </row>
    <row r="114" spans="2:21" ht="12.75">
      <c r="B114" s="2" t="str">
        <f>VLOOKUP(6,C$109:D$114,2,FALSE)</f>
        <v>Belgien</v>
      </c>
      <c r="C114" s="1">
        <f t="shared" si="18"/>
        <v>6</v>
      </c>
      <c r="D114" s="3" t="str">
        <f>IF(B$105="",M114,"T1M6")</f>
        <v>Belgien</v>
      </c>
      <c r="E114" s="2">
        <v>1</v>
      </c>
      <c r="F114" s="8">
        <f ca="1">IF(B$104="",1,INT(RAND()*1000000))</f>
        <v>103638</v>
      </c>
      <c r="H114" s="1"/>
      <c r="I114" s="1"/>
      <c r="J114" s="1"/>
      <c r="K114" s="1"/>
      <c r="M114" s="11" t="s">
        <v>179</v>
      </c>
      <c r="P114" s="1"/>
      <c r="Q114" s="1"/>
      <c r="R114" s="1"/>
      <c r="S114" s="6"/>
      <c r="T114" s="1"/>
      <c r="U114" s="1"/>
    </row>
    <row r="115" spans="3:21" ht="12.75">
      <c r="C115" s="1"/>
      <c r="D115" s="3"/>
      <c r="F115" s="8"/>
      <c r="H115" s="1"/>
      <c r="I115" s="1"/>
      <c r="J115" s="1"/>
      <c r="K115" s="1"/>
      <c r="P115" s="1"/>
      <c r="Q115" s="1"/>
      <c r="R115" s="1"/>
      <c r="S115" s="6"/>
      <c r="T115" s="1"/>
      <c r="U115" s="1"/>
    </row>
    <row r="116" spans="2:13" ht="12.75">
      <c r="B116" s="17" t="s">
        <v>66</v>
      </c>
      <c r="C116" s="21" t="s">
        <v>8</v>
      </c>
      <c r="D116" s="22" t="s">
        <v>64</v>
      </c>
      <c r="E116" s="23"/>
      <c r="F116" s="21" t="s">
        <v>4</v>
      </c>
      <c r="M116" s="76" t="s">
        <v>65</v>
      </c>
    </row>
    <row r="117" spans="2:32" s="19" customFormat="1" ht="12.75">
      <c r="B117" s="2" t="str">
        <f>VLOOKUP(1,C$117:D$122,2,FALSE)</f>
        <v>Russland</v>
      </c>
      <c r="C117" s="1">
        <f aca="true" t="shared" si="19" ref="C117:C122">RANK(F117,$F$117:$F$122)</f>
        <v>2</v>
      </c>
      <c r="D117" s="3" t="str">
        <f>IF(B$105="",M117,"T2M1")</f>
        <v>Italien</v>
      </c>
      <c r="E117" s="2">
        <v>6</v>
      </c>
      <c r="F117" s="8">
        <f ca="1">IF(B$104="",6,INT(RAND()*1000000))</f>
        <v>510540</v>
      </c>
      <c r="G117" s="18"/>
      <c r="H117" s="18"/>
      <c r="I117" s="18"/>
      <c r="J117" s="18"/>
      <c r="K117" s="18"/>
      <c r="M117" s="77" t="s">
        <v>180</v>
      </c>
      <c r="N117" s="2"/>
      <c r="P117" s="18"/>
      <c r="Q117" s="18"/>
      <c r="R117" s="18"/>
      <c r="S117" s="18"/>
      <c r="T117" s="20"/>
      <c r="U117" s="18"/>
      <c r="AD117" s="2"/>
      <c r="AE117" s="10"/>
      <c r="AF117" s="2"/>
    </row>
    <row r="118" spans="2:21" ht="12.75">
      <c r="B118" s="2" t="str">
        <f>VLOOKUP(2,C$117:D$122,2,FALSE)</f>
        <v>Italien</v>
      </c>
      <c r="C118" s="1">
        <f t="shared" si="19"/>
        <v>1</v>
      </c>
      <c r="D118" s="3" t="str">
        <f>IF(B$105="",M118,"T2M2")</f>
        <v>Russland</v>
      </c>
      <c r="E118" s="2">
        <v>5</v>
      </c>
      <c r="F118" s="8">
        <f ca="1">IF(B$104="",5,INT(RAND()*1000000))</f>
        <v>974722</v>
      </c>
      <c r="H118" s="1"/>
      <c r="I118" s="1"/>
      <c r="J118" s="1"/>
      <c r="K118" s="1"/>
      <c r="M118" s="77" t="s">
        <v>181</v>
      </c>
      <c r="P118" s="1"/>
      <c r="Q118" s="1"/>
      <c r="R118" s="1"/>
      <c r="S118" s="6"/>
      <c r="T118" s="1"/>
      <c r="U118" s="1"/>
    </row>
    <row r="119" spans="2:21" ht="12.75">
      <c r="B119" s="2" t="str">
        <f>VLOOKUP(3,C$117:D$122,2,FALSE)</f>
        <v>Ukraine</v>
      </c>
      <c r="C119" s="1">
        <f t="shared" si="19"/>
        <v>5</v>
      </c>
      <c r="D119" s="3" t="str">
        <f>IF(B$105="",M119,"T2M3")</f>
        <v>Schweiz</v>
      </c>
      <c r="E119" s="2">
        <v>4</v>
      </c>
      <c r="F119" s="8">
        <f ca="1">IF(B$104="",4,INT(RAND()*1000000))</f>
        <v>185019</v>
      </c>
      <c r="H119" s="1"/>
      <c r="I119" s="1"/>
      <c r="J119" s="1"/>
      <c r="K119" s="1"/>
      <c r="M119" s="77" t="s">
        <v>182</v>
      </c>
      <c r="P119" s="1"/>
      <c r="Q119" s="1"/>
      <c r="R119" s="1"/>
      <c r="S119" s="6"/>
      <c r="T119" s="1"/>
      <c r="U119" s="1"/>
    </row>
    <row r="120" spans="2:21" ht="12.75">
      <c r="B120" s="2" t="str">
        <f>VLOOKUP(4,C$117:D$122,2,FALSE)</f>
        <v>Kroatien</v>
      </c>
      <c r="C120" s="1">
        <f t="shared" si="19"/>
        <v>6</v>
      </c>
      <c r="D120" s="3" t="str">
        <f>IF(B$105="",M120,"T2M4")</f>
        <v>Österreich</v>
      </c>
      <c r="E120" s="2">
        <v>3</v>
      </c>
      <c r="F120" s="8">
        <f ca="1">IF(B$104="",3,INT(RAND()*1000000))</f>
        <v>114080</v>
      </c>
      <c r="H120" s="1"/>
      <c r="I120" s="1"/>
      <c r="J120" s="1"/>
      <c r="K120" s="1"/>
      <c r="M120" s="77" t="s">
        <v>183</v>
      </c>
      <c r="P120" s="1"/>
      <c r="Q120" s="1"/>
      <c r="R120" s="1"/>
      <c r="S120" s="6"/>
      <c r="T120" s="1"/>
      <c r="U120" s="1"/>
    </row>
    <row r="121" spans="2:21" ht="12.75">
      <c r="B121" s="2" t="str">
        <f>VLOOKUP(5,C$117:D$122,2,FALSE)</f>
        <v>Schweiz</v>
      </c>
      <c r="C121" s="1">
        <f t="shared" si="19"/>
        <v>4</v>
      </c>
      <c r="D121" s="3" t="str">
        <f>IF(B$105="",M121,"T2M5")</f>
        <v>Kroatien</v>
      </c>
      <c r="E121" s="2">
        <v>2</v>
      </c>
      <c r="F121" s="8">
        <f ca="1">IF(B$104="",2,INT(RAND()*1000000))</f>
        <v>283167</v>
      </c>
      <c r="H121" s="1"/>
      <c r="I121" s="1"/>
      <c r="J121" s="1"/>
      <c r="K121" s="1"/>
      <c r="M121" s="77" t="s">
        <v>184</v>
      </c>
      <c r="P121" s="1"/>
      <c r="Q121" s="1"/>
      <c r="R121" s="1"/>
      <c r="S121" s="6"/>
      <c r="T121" s="1"/>
      <c r="U121" s="1"/>
    </row>
    <row r="122" spans="2:13" ht="12.75">
      <c r="B122" s="2" t="str">
        <f>VLOOKUP(6,C$117:D$122,2,FALSE)</f>
        <v>Österreich</v>
      </c>
      <c r="C122" s="1">
        <f t="shared" si="19"/>
        <v>3</v>
      </c>
      <c r="D122" s="3" t="str">
        <f>IF(B$105="",M122,"T2M6")</f>
        <v>Ukraine</v>
      </c>
      <c r="E122" s="2">
        <v>1</v>
      </c>
      <c r="F122" s="8">
        <f ca="1">IF(B$104="",1,INT(RAND()*1000000))</f>
        <v>438814</v>
      </c>
      <c r="M122" s="77" t="s">
        <v>199</v>
      </c>
    </row>
    <row r="123" spans="3:21" ht="12.75">
      <c r="C123" s="1"/>
      <c r="D123" s="3"/>
      <c r="F123" s="8"/>
      <c r="H123" s="1"/>
      <c r="I123" s="1"/>
      <c r="J123" s="1"/>
      <c r="K123" s="1"/>
      <c r="P123" s="1"/>
      <c r="Q123" s="1"/>
      <c r="R123" s="1"/>
      <c r="S123" s="6"/>
      <c r="T123" s="1"/>
      <c r="U123" s="1"/>
    </row>
    <row r="124" spans="2:21" ht="12.75">
      <c r="B124" s="17" t="s">
        <v>68</v>
      </c>
      <c r="C124" s="21" t="s">
        <v>8</v>
      </c>
      <c r="D124" s="22" t="s">
        <v>64</v>
      </c>
      <c r="E124" s="23"/>
      <c r="F124" s="21" t="s">
        <v>4</v>
      </c>
      <c r="H124" s="1"/>
      <c r="I124" s="1"/>
      <c r="J124" s="1"/>
      <c r="K124" s="1"/>
      <c r="M124" s="76" t="s">
        <v>65</v>
      </c>
      <c r="P124" s="1"/>
      <c r="Q124" s="1"/>
      <c r="R124" s="1"/>
      <c r="S124" s="6"/>
      <c r="T124" s="1"/>
      <c r="U124" s="1"/>
    </row>
    <row r="125" spans="2:21" ht="12.75">
      <c r="B125" s="2" t="str">
        <f>VLOOKUP(1,C$125:D$130,2,FALSE)</f>
        <v>Polen</v>
      </c>
      <c r="C125" s="1">
        <f aca="true" t="shared" si="20" ref="C125:C130">RANK(F125,$F$125:$F$130)</f>
        <v>4</v>
      </c>
      <c r="D125" s="3" t="str">
        <f>IF(B$105="",M125,"T3M1")</f>
        <v>Tschechien</v>
      </c>
      <c r="E125" s="2">
        <v>6</v>
      </c>
      <c r="F125" s="8">
        <f ca="1">IF(B$104="",6,INT(RAND()*1000000))</f>
        <v>524813</v>
      </c>
      <c r="H125" s="1"/>
      <c r="I125" s="1"/>
      <c r="J125" s="1"/>
      <c r="K125" s="1"/>
      <c r="M125" s="77" t="s">
        <v>189</v>
      </c>
      <c r="P125" s="1"/>
      <c r="Q125" s="1"/>
      <c r="R125" s="1"/>
      <c r="S125" s="6"/>
      <c r="T125" s="1"/>
      <c r="U125" s="1"/>
    </row>
    <row r="126" spans="2:13" ht="12.75">
      <c r="B126" s="2" t="str">
        <f>VLOOKUP(2,C$125:D$130,2,FALSE)</f>
        <v>Rumänien</v>
      </c>
      <c r="C126" s="1">
        <f t="shared" si="20"/>
        <v>5</v>
      </c>
      <c r="D126" s="3" t="str">
        <f>IF(B$105="",M126,"T3M2")</f>
        <v>Schweden</v>
      </c>
      <c r="E126" s="2">
        <v>5</v>
      </c>
      <c r="F126" s="8">
        <f ca="1">IF(B$104="",5,INT(RAND()*1000000))</f>
        <v>207994</v>
      </c>
      <c r="M126" s="77" t="s">
        <v>197</v>
      </c>
    </row>
    <row r="127" spans="2:32" s="19" customFormat="1" ht="12.75">
      <c r="B127" s="2" t="str">
        <f>VLOOKUP(3,C$125:D$130,2,FALSE)</f>
        <v>Ungarn</v>
      </c>
      <c r="C127" s="1">
        <f t="shared" si="20"/>
        <v>1</v>
      </c>
      <c r="D127" s="3" t="str">
        <f>IF(B$105="",M127,"T3M3")</f>
        <v>Polen</v>
      </c>
      <c r="E127" s="2">
        <v>4</v>
      </c>
      <c r="F127" s="8">
        <f ca="1">IF(B$104="",4,INT(RAND()*1000000))</f>
        <v>965818</v>
      </c>
      <c r="G127" s="18"/>
      <c r="H127" s="18"/>
      <c r="I127" s="18"/>
      <c r="J127" s="18"/>
      <c r="K127" s="18"/>
      <c r="M127" s="77" t="s">
        <v>190</v>
      </c>
      <c r="N127" s="2"/>
      <c r="P127" s="18"/>
      <c r="Q127" s="18"/>
      <c r="R127" s="18"/>
      <c r="S127" s="18"/>
      <c r="T127" s="20"/>
      <c r="U127" s="18"/>
      <c r="AD127" s="2"/>
      <c r="AE127" s="10"/>
      <c r="AF127" s="2"/>
    </row>
    <row r="128" spans="2:21" ht="12.75">
      <c r="B128" s="2" t="str">
        <f>VLOOKUP(4,C$125:D$130,2,FALSE)</f>
        <v>Tschechien</v>
      </c>
      <c r="C128" s="1">
        <f t="shared" si="20"/>
        <v>2</v>
      </c>
      <c r="D128" s="3" t="str">
        <f>IF(B$105="",M128,"T3M4")</f>
        <v>Rumänien</v>
      </c>
      <c r="E128" s="2">
        <v>3</v>
      </c>
      <c r="F128" s="8">
        <f ca="1">IF(B$104="",3,INT(RAND()*1000000))</f>
        <v>897593</v>
      </c>
      <c r="H128" s="1"/>
      <c r="I128" s="1"/>
      <c r="J128" s="1"/>
      <c r="K128" s="1"/>
      <c r="M128" s="77" t="s">
        <v>191</v>
      </c>
      <c r="P128" s="1"/>
      <c r="Q128" s="1"/>
      <c r="R128" s="1"/>
      <c r="S128" s="6"/>
      <c r="T128" s="1"/>
      <c r="U128" s="1"/>
    </row>
    <row r="129" spans="2:21" ht="12.75">
      <c r="B129" s="2" t="str">
        <f>VLOOKUP(5,C$125:D$130,2,FALSE)</f>
        <v>Schweden</v>
      </c>
      <c r="C129" s="1">
        <f t="shared" si="20"/>
        <v>6</v>
      </c>
      <c r="D129" s="3" t="str">
        <f>IF(B$105="",M129,"T3M5")</f>
        <v>Slowakei</v>
      </c>
      <c r="E129" s="2">
        <v>2</v>
      </c>
      <c r="F129" s="8">
        <f ca="1">IF(B$104="",2,INT(RAND()*1000000))</f>
        <v>174289</v>
      </c>
      <c r="H129" s="1"/>
      <c r="I129" s="1"/>
      <c r="J129" s="1"/>
      <c r="K129" s="1"/>
      <c r="M129" s="77" t="s">
        <v>193</v>
      </c>
      <c r="P129" s="1"/>
      <c r="Q129" s="1"/>
      <c r="R129" s="1"/>
      <c r="S129" s="6"/>
      <c r="T129" s="1"/>
      <c r="U129" s="1"/>
    </row>
    <row r="130" spans="2:21" ht="12.75">
      <c r="B130" s="2" t="str">
        <f>VLOOKUP(6,C$125:D$130,2,FALSE)</f>
        <v>Slowakei</v>
      </c>
      <c r="C130" s="1">
        <f t="shared" si="20"/>
        <v>3</v>
      </c>
      <c r="D130" s="3" t="str">
        <f>IF(B$105="",M130,"T3M6")</f>
        <v>Ungarn</v>
      </c>
      <c r="E130" s="2">
        <v>1</v>
      </c>
      <c r="F130" s="8">
        <f ca="1">IF(B$104="",1,INT(RAND()*1000000))</f>
        <v>890017</v>
      </c>
      <c r="H130" s="1"/>
      <c r="I130" s="1"/>
      <c r="J130" s="1"/>
      <c r="K130" s="1"/>
      <c r="M130" s="77" t="s">
        <v>198</v>
      </c>
      <c r="P130" s="1"/>
      <c r="Q130" s="1"/>
      <c r="R130" s="1"/>
      <c r="S130" s="6"/>
      <c r="T130" s="1"/>
      <c r="U130" s="1"/>
    </row>
    <row r="131" spans="3:6" ht="12.75">
      <c r="C131" s="1"/>
      <c r="D131" s="3"/>
      <c r="F131" s="8"/>
    </row>
    <row r="132" spans="2:13" ht="12.75">
      <c r="B132" s="17" t="s">
        <v>69</v>
      </c>
      <c r="C132" s="21" t="s">
        <v>8</v>
      </c>
      <c r="D132" s="22" t="s">
        <v>64</v>
      </c>
      <c r="E132" s="23"/>
      <c r="F132" s="21" t="s">
        <v>4</v>
      </c>
      <c r="M132" s="76" t="s">
        <v>65</v>
      </c>
    </row>
    <row r="133" spans="2:13" ht="12.75">
      <c r="B133" s="2" t="str">
        <f>VLOOKUP(1,C$133:D$138,2,FALSE)</f>
        <v>Irland</v>
      </c>
      <c r="C133" s="1">
        <f aca="true" t="shared" si="21" ref="C133:C138">RANK(F133,$F$133:$F$138)</f>
        <v>4</v>
      </c>
      <c r="D133" s="3" t="str">
        <f>IF(B$105="",M133,"T4M1")</f>
        <v>Türkei</v>
      </c>
      <c r="E133" s="2">
        <v>6</v>
      </c>
      <c r="F133" s="8">
        <f ca="1">IF(B$104="",6,INT(RAND()*1000000))</f>
        <v>477753</v>
      </c>
      <c r="M133" s="77" t="s">
        <v>192</v>
      </c>
    </row>
    <row r="134" spans="2:13" ht="12.75">
      <c r="B134" s="2" t="str">
        <f>VLOOKUP(2,C$133:D$138,2,FALSE)</f>
        <v>Nordirland</v>
      </c>
      <c r="C134" s="1">
        <f t="shared" si="21"/>
        <v>1</v>
      </c>
      <c r="D134" s="3" t="str">
        <f>IF(B$105="",M134,"T4M2")</f>
        <v>Irland</v>
      </c>
      <c r="E134" s="2">
        <v>5</v>
      </c>
      <c r="F134" s="8">
        <f ca="1">IF(B$104="",5,INT(RAND()*1000000))</f>
        <v>774786</v>
      </c>
      <c r="M134" s="77" t="s">
        <v>196</v>
      </c>
    </row>
    <row r="135" spans="2:13" ht="12.75">
      <c r="B135" s="2" t="str">
        <f>VLOOKUP(3,C$133:D$138,2,FALSE)</f>
        <v>Albanien</v>
      </c>
      <c r="C135" s="1">
        <f t="shared" si="21"/>
        <v>6</v>
      </c>
      <c r="D135" s="3" t="str">
        <f>IF(B$105="",M135,"T4M3")</f>
        <v>Island</v>
      </c>
      <c r="E135" s="2">
        <v>4</v>
      </c>
      <c r="F135" s="8">
        <f ca="1">IF(B$104="",4,INT(RAND()*1000000))</f>
        <v>73541</v>
      </c>
      <c r="M135" s="77" t="s">
        <v>185</v>
      </c>
    </row>
    <row r="136" spans="2:13" ht="12.75">
      <c r="B136" s="2" t="str">
        <f>VLOOKUP(4,C$133:D$138,2,FALSE)</f>
        <v>Türkei</v>
      </c>
      <c r="C136" s="1">
        <f t="shared" si="21"/>
        <v>5</v>
      </c>
      <c r="D136" s="3" t="str">
        <f>IF(B$105="",M136,"T4M4")</f>
        <v>Wales</v>
      </c>
      <c r="E136" s="2">
        <v>3</v>
      </c>
      <c r="F136" s="8">
        <f ca="1">IF(B$104="",3,INT(RAND()*1000000))</f>
        <v>82719</v>
      </c>
      <c r="M136" s="77" t="s">
        <v>186</v>
      </c>
    </row>
    <row r="137" spans="2:13" ht="12.75">
      <c r="B137" s="2" t="str">
        <f>VLOOKUP(5,C$133:D$138,2,FALSE)</f>
        <v>Wales</v>
      </c>
      <c r="C137" s="1">
        <f t="shared" si="21"/>
        <v>3</v>
      </c>
      <c r="D137" s="3" t="str">
        <f>IF(B$105="",M137,"T4M5")</f>
        <v>Albanien</v>
      </c>
      <c r="E137" s="2">
        <v>2</v>
      </c>
      <c r="F137" s="8">
        <f ca="1">IF(B$104="",2,INT(RAND()*1000000))</f>
        <v>713365</v>
      </c>
      <c r="M137" s="77" t="s">
        <v>187</v>
      </c>
    </row>
    <row r="138" spans="2:13" ht="12.75">
      <c r="B138" s="2" t="str">
        <f>VLOOKUP(6,C$133:D$138,2,FALSE)</f>
        <v>Island</v>
      </c>
      <c r="C138" s="1">
        <f t="shared" si="21"/>
        <v>2</v>
      </c>
      <c r="D138" s="3" t="str">
        <f>IF(B$105="",M138,"T4M6")</f>
        <v>Nordirland</v>
      </c>
      <c r="E138" s="2">
        <v>1</v>
      </c>
      <c r="F138" s="8">
        <f ca="1">IF(B$104="",1,INT(RAND()*1000000))</f>
        <v>730459</v>
      </c>
      <c r="M138" s="77" t="s">
        <v>188</v>
      </c>
    </row>
    <row r="139" ht="12.75">
      <c r="D139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1"/>
  <sheetViews>
    <sheetView workbookViewId="0" topLeftCell="A19">
      <selection activeCell="H63" sqref="H63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123" hidden="1" customWidth="1"/>
    <col min="23" max="23" width="1.7109375" style="123" hidden="1" customWidth="1"/>
    <col min="24" max="24" width="3.00390625" style="123" hidden="1" customWidth="1"/>
    <col min="25" max="25" width="14.28125" style="123" hidden="1" customWidth="1"/>
    <col min="26" max="26" width="2.28125" style="123" hidden="1" customWidth="1"/>
    <col min="27" max="27" width="3.28125" style="123" hidden="1" customWidth="1"/>
    <col min="28" max="28" width="3.00390625" style="123" hidden="1" customWidth="1"/>
    <col min="29" max="29" width="4.421875" style="123" hidden="1" customWidth="1"/>
    <col min="30" max="30" width="19.28125" style="123" hidden="1" customWidth="1"/>
    <col min="31" max="31" width="3.140625" style="140" hidden="1" customWidth="1"/>
    <col min="32" max="32" width="3.57421875" style="123" hidden="1" customWidth="1"/>
    <col min="33" max="36" width="2.8515625" style="123" hidden="1" customWidth="1"/>
    <col min="37" max="37" width="3.140625" style="123" hidden="1" customWidth="1"/>
    <col min="38" max="38" width="6.421875" style="123" hidden="1" customWidth="1"/>
    <col min="39" max="42" width="2.8515625" style="123" hidden="1" customWidth="1"/>
    <col min="43" max="43" width="7.7109375" style="123" hidden="1" customWidth="1"/>
    <col min="44" max="47" width="3.00390625" style="123" hidden="1" customWidth="1"/>
    <col min="48" max="48" width="3.140625" style="123" hidden="1" customWidth="1"/>
    <col min="49" max="52" width="11.421875" style="123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5" customWidth="1"/>
    <col min="61" max="61" width="1.57421875" style="15" customWidth="1"/>
    <col min="62" max="62" width="3.57421875" style="15" customWidth="1"/>
    <col min="63" max="63" width="3.00390625" style="9" customWidth="1"/>
    <col min="64" max="64" width="2.00390625" style="2" customWidth="1"/>
    <col min="65" max="65" width="14.28125" style="11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123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10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2" customFormat="1" ht="14.25" thickBot="1" thickTop="1">
      <c r="A1" s="12" t="s">
        <v>70</v>
      </c>
      <c r="B1" s="50" t="s">
        <v>0</v>
      </c>
      <c r="C1" s="43" t="s">
        <v>1</v>
      </c>
      <c r="D1" s="24" t="s">
        <v>2</v>
      </c>
      <c r="E1" s="21"/>
      <c r="F1" s="24"/>
      <c r="G1" s="112"/>
      <c r="H1" s="113"/>
      <c r="I1" s="27"/>
      <c r="J1" s="28"/>
      <c r="K1" s="29"/>
      <c r="L1" s="24"/>
      <c r="M1" s="69" t="s">
        <v>3</v>
      </c>
      <c r="N1" s="24" t="s">
        <v>4</v>
      </c>
      <c r="O1" s="24" t="s">
        <v>5</v>
      </c>
      <c r="P1" s="24" t="s">
        <v>6</v>
      </c>
      <c r="Q1" s="24" t="s">
        <v>7</v>
      </c>
      <c r="R1" s="24"/>
      <c r="S1" s="123"/>
      <c r="T1" s="123"/>
      <c r="U1" s="123"/>
      <c r="V1" s="123"/>
      <c r="W1" s="124"/>
      <c r="X1" s="124" t="s">
        <v>8</v>
      </c>
      <c r="Y1" s="125" t="s">
        <v>9</v>
      </c>
      <c r="Z1" s="124" t="s">
        <v>4</v>
      </c>
      <c r="AA1" s="124" t="s">
        <v>5</v>
      </c>
      <c r="AB1" s="124" t="s">
        <v>6</v>
      </c>
      <c r="AC1" s="124" t="s">
        <v>7</v>
      </c>
      <c r="AD1" s="124"/>
      <c r="AE1" s="27" t="s">
        <v>10</v>
      </c>
      <c r="AF1" s="80" t="s">
        <v>11</v>
      </c>
      <c r="AG1" s="80"/>
      <c r="AH1" s="80"/>
      <c r="AI1" s="80"/>
      <c r="AJ1" s="80" t="s">
        <v>12</v>
      </c>
      <c r="AK1" s="125" t="s">
        <v>13</v>
      </c>
      <c r="AL1" s="80" t="s">
        <v>14</v>
      </c>
      <c r="AM1" s="80"/>
      <c r="AN1" s="80"/>
      <c r="AO1" s="80"/>
      <c r="AP1" s="80" t="s">
        <v>15</v>
      </c>
      <c r="AQ1" s="80" t="s">
        <v>16</v>
      </c>
      <c r="AR1" s="80"/>
      <c r="AS1" s="80"/>
      <c r="AT1" s="80"/>
      <c r="AU1" s="126" t="s">
        <v>17</v>
      </c>
      <c r="AV1" s="125" t="s">
        <v>18</v>
      </c>
      <c r="AW1" s="127"/>
      <c r="AX1" s="128"/>
      <c r="AY1" s="128"/>
      <c r="AZ1" s="128"/>
      <c r="BB1" s="156" t="s">
        <v>0</v>
      </c>
      <c r="BC1" s="155" t="s">
        <v>32</v>
      </c>
      <c r="BD1" s="24" t="s">
        <v>2</v>
      </c>
      <c r="BE1" s="21"/>
      <c r="BF1" s="24"/>
      <c r="BG1" s="112"/>
      <c r="BH1" s="113"/>
      <c r="BI1" s="27"/>
      <c r="BJ1" s="28"/>
      <c r="BK1" s="29"/>
      <c r="BL1" s="24"/>
      <c r="BM1" s="69" t="s">
        <v>3</v>
      </c>
      <c r="BN1" s="24" t="s">
        <v>4</v>
      </c>
      <c r="BO1" s="24" t="s">
        <v>5</v>
      </c>
      <c r="BP1" s="24" t="s">
        <v>6</v>
      </c>
      <c r="BQ1" s="24" t="s">
        <v>7</v>
      </c>
      <c r="BR1" s="24"/>
      <c r="BS1" s="2"/>
      <c r="BT1" s="2"/>
      <c r="BU1" s="2"/>
      <c r="BV1" s="2"/>
      <c r="BW1" s="24"/>
      <c r="BX1" s="24" t="s">
        <v>8</v>
      </c>
      <c r="BY1" s="125" t="s">
        <v>9</v>
      </c>
      <c r="BZ1" s="24" t="s">
        <v>4</v>
      </c>
      <c r="CA1" s="24" t="s">
        <v>5</v>
      </c>
      <c r="CB1" s="24" t="s">
        <v>6</v>
      </c>
      <c r="CC1" s="24" t="s">
        <v>7</v>
      </c>
      <c r="CD1" s="24"/>
      <c r="CE1" s="29" t="s">
        <v>10</v>
      </c>
      <c r="CF1" s="22" t="s">
        <v>11</v>
      </c>
      <c r="CG1" s="22"/>
      <c r="CH1" s="22"/>
      <c r="CI1" s="22"/>
      <c r="CJ1" s="22" t="s">
        <v>12</v>
      </c>
      <c r="CK1" s="30" t="s">
        <v>13</v>
      </c>
      <c r="CL1" s="22" t="s">
        <v>14</v>
      </c>
      <c r="CM1" s="22"/>
      <c r="CN1" s="22"/>
      <c r="CO1" s="22"/>
      <c r="CP1" s="22" t="s">
        <v>15</v>
      </c>
      <c r="CQ1" s="22" t="s">
        <v>16</v>
      </c>
      <c r="CR1" s="22"/>
      <c r="CS1" s="22"/>
      <c r="CT1" s="22"/>
      <c r="CU1" s="23" t="s">
        <v>17</v>
      </c>
      <c r="CV1" s="30" t="s">
        <v>18</v>
      </c>
    </row>
    <row r="2" spans="2:100" ht="13.5" thickTop="1">
      <c r="B2" s="3" t="s">
        <v>19</v>
      </c>
      <c r="C2" s="3" t="s">
        <v>20</v>
      </c>
      <c r="L2" s="1"/>
      <c r="M2" s="11" t="str">
        <f>VLOOKUP(1,$X$2:$AC$5,2,FALSE)</f>
        <v>Frankreich</v>
      </c>
      <c r="N2" s="2">
        <f>VLOOKUP(1,$X$2:$AC$5,3,FALSE)</f>
        <v>6</v>
      </c>
      <c r="O2" s="2">
        <f>VLOOKUP(1,$X$2:$AC$5,4,FALSE)</f>
        <v>2</v>
      </c>
      <c r="P2" s="2">
        <f>VLOOKUP(1,$X$2:$AC$5,5,FALSE)</f>
        <v>1</v>
      </c>
      <c r="Q2" s="2">
        <f>VLOOKUP(1,$X$2:$AC$5,6,FALSE)</f>
        <v>1</v>
      </c>
      <c r="S2" s="129"/>
      <c r="T2" s="130">
        <f>IF(H3="",0,IF(K3=$B$63,IF(H3&gt;J3,3,IF(H3=J3,1,0)),0))</f>
        <v>3</v>
      </c>
      <c r="U2" s="130">
        <f>IF(H5="",0,IF(K5=$B$63,IF(H5&gt;J5,3,IF(H5=J5,1,0)),0))</f>
        <v>3</v>
      </c>
      <c r="V2" s="130">
        <f>IF(J7="",0,IF(K7=$B$63,IF(H7&lt;J7,3,IF(H7=J7,1,0)),0))</f>
        <v>0</v>
      </c>
      <c r="W2" s="131"/>
      <c r="X2" s="185">
        <f>RANK(AD2,AD2:AD5)+COUNTIF(AD2:AD2,AD2)-1</f>
        <v>1</v>
      </c>
      <c r="Y2" s="132" t="str">
        <f>B71</f>
        <v>Frankreich</v>
      </c>
      <c r="Z2" s="131">
        <f>SUM(S2:V2)</f>
        <v>6</v>
      </c>
      <c r="AA2" s="131">
        <f>SUM(S6:V6)</f>
        <v>2</v>
      </c>
      <c r="AB2" s="131">
        <f>SUM(S6:S9)</f>
        <v>1</v>
      </c>
      <c r="AC2" s="131">
        <f>AA2-AB2</f>
        <v>1</v>
      </c>
      <c r="AD2" s="133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601020003010101</v>
      </c>
      <c r="AE2" s="134"/>
      <c r="AF2" s="135"/>
      <c r="AG2" s="135">
        <f>IF($Z2=$Z3,$T2-$S3,0)</f>
        <v>3</v>
      </c>
      <c r="AH2" s="135">
        <f>IF($Z2=$Z4,$U2-$S4,0)</f>
        <v>0</v>
      </c>
      <c r="AI2" s="135">
        <f>IF($Z2=$Z5,$V2-$S5,0)</f>
        <v>0</v>
      </c>
      <c r="AJ2" s="135">
        <f>SUM(AF2:AI2)</f>
        <v>3</v>
      </c>
      <c r="AK2" s="134"/>
      <c r="AL2" s="135"/>
      <c r="AM2" s="135">
        <f>IF($Z2=$Z3,$T6-$S7,0)</f>
        <v>1</v>
      </c>
      <c r="AN2" s="135">
        <f>IF($Z2=$Z4,$U6-$S8,0)</f>
        <v>0</v>
      </c>
      <c r="AO2" s="135">
        <f>IF($Z2=$Z5,$V6-$S9,0)</f>
        <v>0</v>
      </c>
      <c r="AP2" s="135">
        <f>SUM(AL2:AO2)</f>
        <v>1</v>
      </c>
      <c r="AQ2" s="135"/>
      <c r="AR2" s="135">
        <f>IF($Z2=$Z3,$T6,0)</f>
        <v>1</v>
      </c>
      <c r="AS2" s="135">
        <f>IF($Z2=$Z4,$U6,0)</f>
        <v>0</v>
      </c>
      <c r="AT2" s="135">
        <f>IF($Z2=$Z5,$V6,0)</f>
        <v>0</v>
      </c>
      <c r="AU2" s="135">
        <f>SUM(AQ2:AT2)</f>
        <v>1</v>
      </c>
      <c r="AV2" s="184">
        <f>IF(AND(COUNTIF(K3:K8,$B$63)=COUNTA(H3:H8),COUNTIF(K3:K8,$B$63)=COUNTA(J3:J8)),IF(AU2=AU3,T6-S7,IF(AU2=AU4,U6-S8,IF(AU2=AU5,V6-S9,4))),4)</f>
        <v>1</v>
      </c>
      <c r="AW2" s="133"/>
      <c r="BB2" s="3" t="s">
        <v>19</v>
      </c>
      <c r="BC2" s="3" t="s">
        <v>20</v>
      </c>
      <c r="BL2" s="1"/>
      <c r="BM2" s="11" t="str">
        <f>VLOOKUP(1,$BX$2:$CC$5,2,FALSE)</f>
        <v>Belgien</v>
      </c>
      <c r="BN2" s="2">
        <f>VLOOKUP(1,$BX$2:$CC$5,3,FALSE)</f>
        <v>6</v>
      </c>
      <c r="BO2" s="2">
        <f>VLOOKUP(1,$BX$2:$CC$5,4,FALSE)</f>
        <v>2</v>
      </c>
      <c r="BP2" s="2">
        <f>VLOOKUP(1,$BX$2:$CC$5,5,FALSE)</f>
        <v>1</v>
      </c>
      <c r="BQ2" s="2">
        <f>VLOOKUP(1,$BX$2:$CC$5,6,FALSE)</f>
        <v>1</v>
      </c>
      <c r="BS2" s="129"/>
      <c r="BT2" s="130">
        <f>IF(BH3="",0,IF(BK3=$B$63,IF(BH3&gt;BJ3,3,IF(BH3=BJ3,1,0)),0))</f>
        <v>3</v>
      </c>
      <c r="BU2" s="130">
        <f>IF(BH5="",0,IF(BK5=$B$63,IF(BH5&gt;BJ5,3,IF(BH5=BJ5,1,0)),0))</f>
        <v>3</v>
      </c>
      <c r="BV2" s="130">
        <f>IF(BJ7="",0,IF(BK7=$B$63,IF(BH7&lt;BJ7,3,IF(BH7=BJ7,1,0)),0))</f>
        <v>0</v>
      </c>
      <c r="BW2" s="1"/>
      <c r="BX2" s="185">
        <f>RANK(CD2,CD2:CD5)+COUNTIF(CD2:CD2,CD2)-1</f>
        <v>1</v>
      </c>
      <c r="BY2" s="132" t="str">
        <f>B74</f>
        <v>Belgien</v>
      </c>
      <c r="BZ2" s="1">
        <f>SUM(BS2:BV2)</f>
        <v>6</v>
      </c>
      <c r="CA2" s="1">
        <f>SUM(BS6:BV6)</f>
        <v>2</v>
      </c>
      <c r="CB2" s="1">
        <f>SUM(BS6:BS9)</f>
        <v>1</v>
      </c>
      <c r="CC2" s="1">
        <f>CA2-CB2</f>
        <v>1</v>
      </c>
      <c r="CD2" s="33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601020003010101</v>
      </c>
      <c r="CE2" s="5"/>
      <c r="CF2" s="34"/>
      <c r="CG2" s="34">
        <f>IF($BZ2=$BZ3,$BT2-$BS3,0)</f>
        <v>3</v>
      </c>
      <c r="CH2" s="34">
        <f>IF($BZ2=$BZ4,$BU2-$BS4,0)</f>
        <v>0</v>
      </c>
      <c r="CI2" s="34">
        <f>IF($BZ2=$BZ5,$BV2-$BS5,0)</f>
        <v>0</v>
      </c>
      <c r="CJ2" s="34">
        <f>SUM(CF2:CI2)</f>
        <v>3</v>
      </c>
      <c r="CK2" s="5"/>
      <c r="CL2" s="34"/>
      <c r="CM2" s="34">
        <f>IF($BZ2=$BZ3,$BT6-$BS7,0)</f>
        <v>1</v>
      </c>
      <c r="CN2" s="34">
        <f>IF($BZ2=$BZ4,$BU6-$BS8,0)</f>
        <v>0</v>
      </c>
      <c r="CO2" s="34">
        <f>IF($BZ2=$BZ5,$BV6-$BS9,0)</f>
        <v>0</v>
      </c>
      <c r="CP2" s="34">
        <f>SUM(CL2:CO2)</f>
        <v>1</v>
      </c>
      <c r="CQ2" s="34"/>
      <c r="CR2" s="34">
        <f>IF($BZ2=$BZ3,$BT6,0)</f>
        <v>1</v>
      </c>
      <c r="CS2" s="34">
        <f>IF($BZ2=$BZ4,$BU6,0)</f>
        <v>0</v>
      </c>
      <c r="CT2" s="34">
        <f>IF($BZ2=$BZ5,$BV6,0)</f>
        <v>0</v>
      </c>
      <c r="CU2" s="34">
        <f>SUM(CQ2:CT2)</f>
        <v>1</v>
      </c>
      <c r="CV2" s="184">
        <f>IF(AND(COUNTIF(BK3:BK8,$B$63)=COUNTA(BH3:BH8),COUNTIF(BK3:BK8,$B$63)=COUNTA(BJ3:BJ8)),IF(CU2=CU3,BT6-BS7,IF(CU2=CU4,BU6-BS8,IF(CU2=CU5,BV6-BS9,4))),4)</f>
        <v>1</v>
      </c>
    </row>
    <row r="3" spans="1:100" ht="12.75">
      <c r="A3" s="2">
        <v>1</v>
      </c>
      <c r="B3" s="7">
        <v>42531.875</v>
      </c>
      <c r="C3" s="4" t="s">
        <v>136</v>
      </c>
      <c r="D3" s="125" t="str">
        <f>Y2</f>
        <v>Frankreich</v>
      </c>
      <c r="E3" s="80" t="s">
        <v>21</v>
      </c>
      <c r="F3" s="125" t="str">
        <f>Y3</f>
        <v>Russland</v>
      </c>
      <c r="G3" s="124"/>
      <c r="H3" s="136">
        <f aca="true" ca="1" t="shared" si="0" ref="H3:H8">IF($B$64="",1,INT(RAND()*5)+INT(RAND()*3)*INT(RAND()*2))</f>
        <v>1</v>
      </c>
      <c r="I3" s="13" t="s">
        <v>22</v>
      </c>
      <c r="J3" s="136">
        <f aca="true" ca="1" t="shared" si="1" ref="J3:J8">IF($B$64="",0,INT(RAND()*5)+INT(RAND()*3)*INT(RAND()*2))</f>
        <v>0</v>
      </c>
      <c r="K3" s="9" t="s">
        <v>23</v>
      </c>
      <c r="L3" s="1"/>
      <c r="M3" s="11" t="str">
        <f>VLOOKUP(2,$X$2:$AC$5,2,FALSE)</f>
        <v>Russland</v>
      </c>
      <c r="N3" s="2">
        <f>VLOOKUP(2,$X$2:$AC$5,3,FALSE)</f>
        <v>6</v>
      </c>
      <c r="O3" s="2">
        <f>VLOOKUP(2,$X$2:$AC$5,4,FALSE)</f>
        <v>2</v>
      </c>
      <c r="P3" s="2">
        <f>VLOOKUP(2,$X$2:$AC$5,5,FALSE)</f>
        <v>1</v>
      </c>
      <c r="Q3" s="2">
        <f>VLOOKUP(2,$X$2:$AC$5,6,FALSE)</f>
        <v>1</v>
      </c>
      <c r="S3" s="130">
        <f>IF(J3="",0,IF(K3=$B$63,IF(H3&lt;J3,3,IF(H3=J3,1,0)),0))</f>
        <v>0</v>
      </c>
      <c r="T3" s="129"/>
      <c r="U3" s="130">
        <f>IF(H8="",0,IF(K8=$B$63,IF(H8&gt;J8,3,IF(H8=J8,1,0)),0))</f>
        <v>3</v>
      </c>
      <c r="V3" s="130">
        <f>IF(H6="",0,IF(K6=$B$63,IF(H6&gt;J6,3,IF(H6=J6,1,0)),0))</f>
        <v>3</v>
      </c>
      <c r="W3" s="131"/>
      <c r="X3" s="185">
        <f>RANK(AD3,AD2:AD5)+COUNTIF(AD2:AD3,AD3)-1</f>
        <v>2</v>
      </c>
      <c r="Y3" s="132" t="str">
        <f>B79</f>
        <v>Russland</v>
      </c>
      <c r="Z3" s="131">
        <f>SUM(S3:V3)</f>
        <v>6</v>
      </c>
      <c r="AA3" s="131">
        <f>SUM(S7:V7)</f>
        <v>2</v>
      </c>
      <c r="AB3" s="131">
        <f>SUM(T6:T9)</f>
        <v>1</v>
      </c>
      <c r="AC3" s="131">
        <f>AA3-AB3</f>
        <v>1</v>
      </c>
      <c r="AD3" s="133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601019996990001</v>
      </c>
      <c r="AE3" s="134"/>
      <c r="AF3" s="135">
        <f>IF($Z3=$Z2,$S3-$T2,0)</f>
        <v>-3</v>
      </c>
      <c r="AG3" s="135"/>
      <c r="AH3" s="135">
        <f>IF($Z3=$Z4,$U3-$T4,0)</f>
        <v>0</v>
      </c>
      <c r="AI3" s="135">
        <f>IF($Z3=$Z5,$V3-$T5,0)</f>
        <v>0</v>
      </c>
      <c r="AJ3" s="135">
        <f>SUM(AF3:AI3)</f>
        <v>-3</v>
      </c>
      <c r="AK3" s="134"/>
      <c r="AL3" s="135">
        <f>IF($Z3=$Z2,$S7-$T6,0)</f>
        <v>-1</v>
      </c>
      <c r="AM3" s="135"/>
      <c r="AN3" s="135">
        <f>IF($Z3=$Z4,$U7-$T8,0)</f>
        <v>0</v>
      </c>
      <c r="AO3" s="135">
        <f>IF($Z3=$Z5,$V7-$T9,0)</f>
        <v>0</v>
      </c>
      <c r="AP3" s="135">
        <f>SUM(AL3:AO3)</f>
        <v>-1</v>
      </c>
      <c r="AQ3" s="135">
        <f>IF($Z3=$Z2,$S7,0)</f>
        <v>0</v>
      </c>
      <c r="AR3" s="135"/>
      <c r="AS3" s="135">
        <f>IF($Z3=$Z4,$U7,0)</f>
        <v>0</v>
      </c>
      <c r="AT3" s="135">
        <f>IF($Z3=$Z5,$V7,0)</f>
        <v>0</v>
      </c>
      <c r="AU3" s="135">
        <f>SUM(AQ3:AT3)</f>
        <v>0</v>
      </c>
      <c r="AV3" s="184">
        <f>IF(AND(COUNTIF(K3:K8,$B$63)=COUNTA(H3:H8),COUNTIF(K3:K8,$B$63)=COUNTA(J3:J8)),IF(AU3=AU2,S7-T6,IF(AU3=AU4,U7-T8,IF(AU3=AU5,V7-T9,3))),3)</f>
        <v>1</v>
      </c>
      <c r="AW3" s="133"/>
      <c r="BA3" s="2">
        <v>7</v>
      </c>
      <c r="BB3" s="7">
        <v>42534.625</v>
      </c>
      <c r="BC3" s="4" t="s">
        <v>144</v>
      </c>
      <c r="BD3" s="125" t="str">
        <f>BY2</f>
        <v>Belgien</v>
      </c>
      <c r="BE3" s="80" t="s">
        <v>21</v>
      </c>
      <c r="BF3" s="125" t="str">
        <f>BY3</f>
        <v>Österreich</v>
      </c>
      <c r="BG3" s="124"/>
      <c r="BH3" s="136">
        <f aca="true" ca="1" t="shared" si="2" ref="BH3:BH8">IF($B$64="",1,INT(RAND()*5)+INT(RAND()*3)*INT(RAND()*2))</f>
        <v>1</v>
      </c>
      <c r="BI3" s="13" t="s">
        <v>22</v>
      </c>
      <c r="BJ3" s="136">
        <f aca="true" ca="1" t="shared" si="3" ref="BJ3:BJ8">IF($B$64="",0,INT(RAND()*5)+INT(RAND()*3)*INT(RAND()*2))</f>
        <v>0</v>
      </c>
      <c r="BK3" s="9" t="s">
        <v>23</v>
      </c>
      <c r="BL3" s="1"/>
      <c r="BM3" s="11" t="str">
        <f>VLOOKUP(2,$BX$2:$CC$5,2,FALSE)</f>
        <v>Österreich</v>
      </c>
      <c r="BN3" s="2">
        <f>VLOOKUP(2,$BX$2:$CC$5,3,FALSE)</f>
        <v>6</v>
      </c>
      <c r="BO3" s="2">
        <f>VLOOKUP(2,$BX$2:$CC$5,4,FALSE)</f>
        <v>2</v>
      </c>
      <c r="BP3" s="2">
        <f>VLOOKUP(2,$BX$2:$CC$5,5,FALSE)</f>
        <v>1</v>
      </c>
      <c r="BQ3" s="2">
        <f>VLOOKUP(2,$BX$2:$CC$5,6,FALSE)</f>
        <v>1</v>
      </c>
      <c r="BS3" s="130">
        <f>IF(BJ3="",0,IF(BK3=$B$63,IF(BH3&lt;BJ3,3,IF(BH3=BJ3,1,0)),0))</f>
        <v>0</v>
      </c>
      <c r="BT3" s="129"/>
      <c r="BU3" s="130">
        <f>IF(BH8="",0,IF(BK8=$B$63,IF(BH8&gt;BJ8,3,IF(BH8=BJ8,1,0)),0))</f>
        <v>3</v>
      </c>
      <c r="BV3" s="130">
        <f>IF(BH6="",0,IF(BK6=$B$63,IF(BH6&gt;BJ6,3,IF(BH6=BJ6,1,0)),0))</f>
        <v>3</v>
      </c>
      <c r="BW3" s="1"/>
      <c r="BX3" s="185">
        <f>RANK(CD3,CD2:CD5)+COUNTIF(CD2:CD3,CD3)-1</f>
        <v>2</v>
      </c>
      <c r="BY3" s="132" t="str">
        <f>B82</f>
        <v>Österreich</v>
      </c>
      <c r="BZ3" s="1">
        <f>SUM(BS3:BV3)</f>
        <v>6</v>
      </c>
      <c r="CA3" s="1">
        <f>SUM(BS7:BV7)</f>
        <v>2</v>
      </c>
      <c r="CB3" s="1">
        <f>SUM(BT6:BT9)</f>
        <v>1</v>
      </c>
      <c r="CC3" s="1">
        <f>CA3-CB3</f>
        <v>1</v>
      </c>
      <c r="CD3" s="33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601019996990001</v>
      </c>
      <c r="CE3" s="5"/>
      <c r="CF3" s="34">
        <f>IF($BZ3=$BZ2,$BS3-$BT2,0)</f>
        <v>-3</v>
      </c>
      <c r="CG3" s="34"/>
      <c r="CH3" s="34">
        <f>IF($BZ3=$BZ4,$BU3-$BT4,0)</f>
        <v>0</v>
      </c>
      <c r="CI3" s="34">
        <f>IF($BZ3=$BZ5,$BV3-$BT5,0)</f>
        <v>0</v>
      </c>
      <c r="CJ3" s="34">
        <f>SUM(CF3:CI3)</f>
        <v>-3</v>
      </c>
      <c r="CK3" s="5"/>
      <c r="CL3" s="34">
        <f>IF($BZ3=$BZ2,$BS7-$BT6,0)</f>
        <v>-1</v>
      </c>
      <c r="CM3" s="34"/>
      <c r="CN3" s="34">
        <f>IF($BZ3=$BZ4,$BU7-$BT8,0)</f>
        <v>0</v>
      </c>
      <c r="CO3" s="34">
        <f>IF($BZ3=$BZ5,$BV7-$BT9,0)</f>
        <v>0</v>
      </c>
      <c r="CP3" s="34">
        <f>SUM(CL3:CO3)</f>
        <v>-1</v>
      </c>
      <c r="CQ3" s="34">
        <f>IF($BZ3=$BZ2,$BS7,0)</f>
        <v>0</v>
      </c>
      <c r="CR3" s="34"/>
      <c r="CS3" s="34">
        <f>IF($BZ3=$BZ4,$BU7,0)</f>
        <v>0</v>
      </c>
      <c r="CT3" s="34">
        <f>IF($BZ3=$BZ5,$BV7,0)</f>
        <v>0</v>
      </c>
      <c r="CU3" s="34">
        <f>SUM(CQ3:CT3)</f>
        <v>0</v>
      </c>
      <c r="CV3" s="184">
        <f>IF(AND(COUNTIF(BK3:BK8,$B$63)=COUNTA(BH3:BH8),COUNTIF(BK3:BK8,$B$63)=COUNTA(BJ3:BJ8)),IF(CU3=CU2,BS7-BT6,IF(CU3=CU4,BU7-BT8,IF(CU3=CU5,BV7-BT9,3))),3)</f>
        <v>1</v>
      </c>
    </row>
    <row r="4" spans="1:100" ht="12.75">
      <c r="A4" s="2">
        <f>A3+1</f>
        <v>2</v>
      </c>
      <c r="B4" s="4">
        <v>42532.625</v>
      </c>
      <c r="C4" s="4" t="s">
        <v>137</v>
      </c>
      <c r="D4" s="125" t="str">
        <f>Y4</f>
        <v>Slowakei</v>
      </c>
      <c r="E4" s="80" t="s">
        <v>21</v>
      </c>
      <c r="F4" s="125" t="str">
        <f>Y5</f>
        <v>Nordirland</v>
      </c>
      <c r="G4" s="124"/>
      <c r="H4" s="137">
        <f ca="1" t="shared" si="0"/>
        <v>1</v>
      </c>
      <c r="I4" s="13" t="s">
        <v>22</v>
      </c>
      <c r="J4" s="136">
        <f ca="1" t="shared" si="1"/>
        <v>0</v>
      </c>
      <c r="K4" s="9" t="s">
        <v>23</v>
      </c>
      <c r="L4" s="1"/>
      <c r="M4" s="11" t="str">
        <f>VLOOKUP(3,$X$2:$AC$5,2,FALSE)</f>
        <v>Slowakei</v>
      </c>
      <c r="N4" s="2">
        <f>VLOOKUP(3,$X$2:$AC$5,3,FALSE)</f>
        <v>3</v>
      </c>
      <c r="O4" s="2">
        <f>VLOOKUP(3,$X$2:$AC$5,4,FALSE)</f>
        <v>1</v>
      </c>
      <c r="P4" s="2">
        <f>VLOOKUP(3,$X$2:$AC$5,5,FALSE)</f>
        <v>2</v>
      </c>
      <c r="Q4" s="2">
        <f>VLOOKUP(3,$X$2:$AC$5,6,FALSE)</f>
        <v>-1</v>
      </c>
      <c r="S4" s="130">
        <f>IF(J5="",0,IF(K5=$B$63,IF(H5&lt;J5,3,IF(H5=J5,1,0)),0))</f>
        <v>0</v>
      </c>
      <c r="T4" s="130">
        <f>IF(J8="",0,IF(K8=$B$63,IF(H8&lt;J8,3,IF(H8=J8,1,0)),0))</f>
        <v>0</v>
      </c>
      <c r="U4" s="129"/>
      <c r="V4" s="130">
        <f>IF(H4="",0,IF(K4=$B$63,IF(H4&gt;J4,3,IF(H4=J4,1,0)),0))</f>
        <v>3</v>
      </c>
      <c r="W4" s="131"/>
      <c r="X4" s="185">
        <f>RANK(AD4,AD2:AD5)+COUNTIF(AD2:AD4,AD4)-1</f>
        <v>3</v>
      </c>
      <c r="Y4" s="132" t="str">
        <f>B87</f>
        <v>Slowakei</v>
      </c>
      <c r="Z4" s="131">
        <f>SUM(S4:V4)</f>
        <v>3</v>
      </c>
      <c r="AA4" s="131">
        <f>SUM(S8:V8)</f>
        <v>1</v>
      </c>
      <c r="AB4" s="131">
        <f>SUM(U6:U9)</f>
        <v>2</v>
      </c>
      <c r="AC4" s="131">
        <f>AA4-AB4</f>
        <v>-1</v>
      </c>
      <c r="AD4" s="133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299010003010099</v>
      </c>
      <c r="AE4" s="134"/>
      <c r="AF4" s="135">
        <f>IF($Z4=$Z2,$S4-$U2,0)</f>
        <v>0</v>
      </c>
      <c r="AG4" s="135">
        <f>IF($Z4=$Z3,$T4-$U3,0)</f>
        <v>0</v>
      </c>
      <c r="AH4" s="135"/>
      <c r="AI4" s="135">
        <f>IF($Z4=$Z5,$V4-$U5,0)</f>
        <v>3</v>
      </c>
      <c r="AJ4" s="135">
        <f>SUM(AF4:AI4)</f>
        <v>3</v>
      </c>
      <c r="AK4" s="134"/>
      <c r="AL4" s="135">
        <f>IF($Z4=$Z2,$S8-$U6,0)</f>
        <v>0</v>
      </c>
      <c r="AM4" s="135">
        <f>IF($Z4=$Z3,$T8-$U7,0)</f>
        <v>0</v>
      </c>
      <c r="AN4" s="135"/>
      <c r="AO4" s="135">
        <f>IF($Z4=$Z5,$V8-$U9,0)</f>
        <v>1</v>
      </c>
      <c r="AP4" s="135">
        <f>SUM(AL4:AO4)</f>
        <v>1</v>
      </c>
      <c r="AQ4" s="135">
        <f>IF($Z4=$Z2,$S8,0)</f>
        <v>0</v>
      </c>
      <c r="AR4" s="135">
        <f>IF($Z4=$Z3,$T8,0)</f>
        <v>0</v>
      </c>
      <c r="AS4" s="135"/>
      <c r="AT4" s="135">
        <f>IF($Z4=$Z5,$V8,0)</f>
        <v>1</v>
      </c>
      <c r="AU4" s="135">
        <f>SUM(AQ4:AT4)</f>
        <v>1</v>
      </c>
      <c r="AV4" s="184">
        <f>IF(AND(COUNTIF(K3:K8,$B$63)=COUNTA(H3:H8),COUNTIF(K3:K8,$B$63)=COUNTA(J3:J8)),IF(AU4=AU2,S8-U6,IF(AU4=AU3,T8-U7,IF(AU4=AU5,V8-U9,2))),2)</f>
        <v>-1</v>
      </c>
      <c r="AW4" s="133"/>
      <c r="BA4" s="2">
        <v>8</v>
      </c>
      <c r="BB4" s="7">
        <v>42533.625</v>
      </c>
      <c r="BC4" s="4" t="s">
        <v>138</v>
      </c>
      <c r="BD4" s="125" t="str">
        <f>BY4</f>
        <v>Ungarn</v>
      </c>
      <c r="BE4" s="80" t="s">
        <v>21</v>
      </c>
      <c r="BF4" s="125" t="str">
        <f>BY5</f>
        <v>Albanien</v>
      </c>
      <c r="BG4" s="124"/>
      <c r="BH4" s="137">
        <f ca="1" t="shared" si="2"/>
        <v>1</v>
      </c>
      <c r="BI4" s="13" t="s">
        <v>22</v>
      </c>
      <c r="BJ4" s="136">
        <f ca="1" t="shared" si="3"/>
        <v>0</v>
      </c>
      <c r="BK4" s="9" t="s">
        <v>23</v>
      </c>
      <c r="BL4" s="1"/>
      <c r="BM4" s="11" t="str">
        <f>VLOOKUP(3,$BX$2:$CC$5,2,FALSE)</f>
        <v>Ungarn</v>
      </c>
      <c r="BN4" s="2">
        <f>VLOOKUP(3,$BX$2:$CC$5,3,FALSE)</f>
        <v>3</v>
      </c>
      <c r="BO4" s="2">
        <f>VLOOKUP(3,$BX$2:$CC$5,4,FALSE)</f>
        <v>1</v>
      </c>
      <c r="BP4" s="2">
        <f>VLOOKUP(3,$BX$2:$CC$5,5,FALSE)</f>
        <v>2</v>
      </c>
      <c r="BQ4" s="2">
        <f>VLOOKUP(3,$BX$2:$CC$5,6,FALSE)</f>
        <v>-1</v>
      </c>
      <c r="BS4" s="130">
        <f>IF(BJ5="",0,IF(BK5=$B$63,IF(BH5&lt;BJ5,3,IF(BH5=BJ5,1,0)),0))</f>
        <v>0</v>
      </c>
      <c r="BT4" s="130">
        <f>IF(BJ8="",0,IF(BK8=$B$63,IF(BH8&lt;BJ8,3,IF(BH8=BJ8,1,0)),0))</f>
        <v>0</v>
      </c>
      <c r="BU4" s="129"/>
      <c r="BV4" s="130">
        <f>IF(BH4="",0,IF(BK4=$B$63,IF(BH4&gt;BJ4,3,IF(BH4=BJ4,1,0)),0))</f>
        <v>3</v>
      </c>
      <c r="BW4" s="1"/>
      <c r="BX4" s="185">
        <f>RANK(CD4,CD2:CD5)+COUNTIF(CD2:CD4,CD4)-1</f>
        <v>3</v>
      </c>
      <c r="BY4" s="132" t="str">
        <f>B90</f>
        <v>Ungarn</v>
      </c>
      <c r="BZ4" s="1">
        <f>SUM(BS4:BV4)</f>
        <v>3</v>
      </c>
      <c r="CA4" s="1">
        <f>SUM(BS8:BV8)</f>
        <v>1</v>
      </c>
      <c r="CB4" s="1">
        <f>SUM(BU6:BU9)</f>
        <v>2</v>
      </c>
      <c r="CC4" s="1">
        <f>CA4-CB4</f>
        <v>-1</v>
      </c>
      <c r="CD4" s="33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299010003010099</v>
      </c>
      <c r="CE4" s="5"/>
      <c r="CF4" s="34">
        <f>IF($BZ4=$BZ2,$BS4-$BU2,0)</f>
        <v>0</v>
      </c>
      <c r="CG4" s="34">
        <f>IF($BZ4=$BZ3,$BT4-$BU3,0)</f>
        <v>0</v>
      </c>
      <c r="CH4" s="34"/>
      <c r="CI4" s="34">
        <f>IF($BZ4=$BZ5,$BV4-$BU5,0)</f>
        <v>3</v>
      </c>
      <c r="CJ4" s="34">
        <f>SUM(CF4:CI4)</f>
        <v>3</v>
      </c>
      <c r="CK4" s="5"/>
      <c r="CL4" s="34">
        <f>IF($BZ4=$BZ2,$BS8-$BU6,0)</f>
        <v>0</v>
      </c>
      <c r="CM4" s="34">
        <f>IF($BZ4=$BZ3,$BT8-$BU7,0)</f>
        <v>0</v>
      </c>
      <c r="CN4" s="34"/>
      <c r="CO4" s="34">
        <f>IF($BZ4=$BZ5,$BV8-$BU9,0)</f>
        <v>1</v>
      </c>
      <c r="CP4" s="34">
        <f>SUM(CL4:CO4)</f>
        <v>1</v>
      </c>
      <c r="CQ4" s="34">
        <f>IF($BZ4=$BZ2,$BS8,0)</f>
        <v>0</v>
      </c>
      <c r="CR4" s="34">
        <f>IF($BZ4=$BZ3,$BT8,0)</f>
        <v>0</v>
      </c>
      <c r="CS4" s="34"/>
      <c r="CT4" s="34">
        <f>IF($BZ4=$BZ5,$BV8,0)</f>
        <v>1</v>
      </c>
      <c r="CU4" s="34">
        <f>SUM(CQ4:CT4)</f>
        <v>1</v>
      </c>
      <c r="CV4" s="184">
        <f>IF(AND(COUNTIF(BK3:BK8,$B$63)=COUNTA(BH3:BH8),COUNTIF(BK3:BK8,$B$63)=COUNTA(BJ3:BJ8)),IF(CU4=CU2,BS8-BU6,IF(CU4=CU3,BT8-BU7,IF(CU4=CU5,BV8-BU9,2))),2)</f>
        <v>-1</v>
      </c>
    </row>
    <row r="5" spans="1:100" ht="12.75">
      <c r="A5" s="2">
        <f>A3+12</f>
        <v>13</v>
      </c>
      <c r="B5" s="7">
        <v>42536.875</v>
      </c>
      <c r="C5" s="4" t="s">
        <v>139</v>
      </c>
      <c r="D5" s="125" t="str">
        <f>Y2</f>
        <v>Frankreich</v>
      </c>
      <c r="E5" s="80" t="s">
        <v>21</v>
      </c>
      <c r="F5" s="125" t="str">
        <f>Y4</f>
        <v>Slowakei</v>
      </c>
      <c r="G5" s="124"/>
      <c r="H5" s="137">
        <f ca="1" t="shared" si="0"/>
        <v>1</v>
      </c>
      <c r="I5" s="13" t="s">
        <v>22</v>
      </c>
      <c r="J5" s="136">
        <f ca="1" t="shared" si="1"/>
        <v>0</v>
      </c>
      <c r="K5" s="9" t="s">
        <v>23</v>
      </c>
      <c r="L5" s="1"/>
      <c r="M5" s="11" t="str">
        <f>VLOOKUP(4,$X$2:$AC$5,2,FALSE)</f>
        <v>Nordirland</v>
      </c>
      <c r="N5" s="2">
        <f>VLOOKUP(4,$X$2:$AC$5,3,FALSE)</f>
        <v>3</v>
      </c>
      <c r="O5" s="2">
        <f>VLOOKUP(4,$X$2:$AC$5,4,FALSE)</f>
        <v>1</v>
      </c>
      <c r="P5" s="2">
        <f>VLOOKUP(4,$X$2:$AC$5,5,FALSE)</f>
        <v>2</v>
      </c>
      <c r="Q5" s="2">
        <f>VLOOKUP(4,$X$2:$AC$5,6,FALSE)</f>
        <v>-1</v>
      </c>
      <c r="S5" s="130">
        <f>IF(H7="",0,IF(K7=$B$63,IF(H7&gt;J7,3,IF(H7=J7,1,0)),0))</f>
        <v>3</v>
      </c>
      <c r="T5" s="130">
        <f>IF(J6="",0,IF(K6=$B$63,IF(H6&lt;J6,3,IF(H6=J6,1,0)),0))</f>
        <v>0</v>
      </c>
      <c r="U5" s="130">
        <f>IF(J4="",0,IF(K4=$B$63,IF(H4&lt;J4,3,IF(H4=J4,1,0)),0))</f>
        <v>0</v>
      </c>
      <c r="V5" s="129"/>
      <c r="W5" s="131"/>
      <c r="X5" s="185">
        <f>RANK(AD5,AD2:AD5)+COUNTIF(AD2:AD5,AD5)-1</f>
        <v>4</v>
      </c>
      <c r="Y5" s="132" t="str">
        <f>B95</f>
        <v>Nordirland</v>
      </c>
      <c r="Z5" s="131">
        <f>SUM(S5:V5)</f>
        <v>3</v>
      </c>
      <c r="AA5" s="131">
        <f>SUM(S9:V9)</f>
        <v>1</v>
      </c>
      <c r="AB5" s="131">
        <f>SUM(V6:V9)</f>
        <v>2</v>
      </c>
      <c r="AC5" s="131">
        <f>AA5-AB5</f>
        <v>-1</v>
      </c>
      <c r="AD5" s="133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299009996989999</v>
      </c>
      <c r="AE5" s="134"/>
      <c r="AF5" s="135">
        <f>IF($Z5=$Z2,$S5-$V2,0)</f>
        <v>0</v>
      </c>
      <c r="AG5" s="135">
        <f>IF($Z5=$Z3,$T5-$V3,0)</f>
        <v>0</v>
      </c>
      <c r="AH5" s="135">
        <f>IF($Z5=$Z4,$U5-$V4,0)</f>
        <v>-3</v>
      </c>
      <c r="AI5" s="135"/>
      <c r="AJ5" s="135">
        <f>SUM(AF5:AI5)</f>
        <v>-3</v>
      </c>
      <c r="AK5" s="134"/>
      <c r="AL5" s="135">
        <f>IF($Z5=$Z2,$S9-$V6,0)</f>
        <v>0</v>
      </c>
      <c r="AM5" s="135">
        <f>IF($Z5=$Z3,$T9-$V7,0)</f>
        <v>0</v>
      </c>
      <c r="AN5" s="135">
        <f>IF($Z5=$Z4,$U9-$V8,0)</f>
        <v>-1</v>
      </c>
      <c r="AO5" s="135"/>
      <c r="AP5" s="135">
        <f>SUM(AL5:AO5)</f>
        <v>-1</v>
      </c>
      <c r="AQ5" s="135">
        <f>IF($Z5=$Z2,$S9,0)</f>
        <v>0</v>
      </c>
      <c r="AR5" s="135">
        <f>IF($Z5=$Z3,$T9,0)</f>
        <v>0</v>
      </c>
      <c r="AS5" s="135">
        <f>IF($Z5=$Z4,$U9,0)</f>
        <v>0</v>
      </c>
      <c r="AT5" s="135"/>
      <c r="AU5" s="135">
        <f>SUM(AQ5:AT5)</f>
        <v>0</v>
      </c>
      <c r="AV5" s="184">
        <f>IF(AND(COUNTIF(K3:K8,$B$63)=COUNTA(H3:H8),COUNTIF(K3:K8,$B$63)=COUNTA(J3:J8)),IF(AU5=AU2,S9-V6,IF(AU5=AU3,T9-V7,IF(AU5=AU4,U9-V8,1))),1)</f>
        <v>-1</v>
      </c>
      <c r="AW5" s="133"/>
      <c r="BA5" s="2">
        <f>BA3+12</f>
        <v>19</v>
      </c>
      <c r="BB5" s="7">
        <v>42538.875</v>
      </c>
      <c r="BC5" s="4" t="s">
        <v>145</v>
      </c>
      <c r="BD5" s="125" t="str">
        <f>BY2</f>
        <v>Belgien</v>
      </c>
      <c r="BE5" s="80" t="s">
        <v>21</v>
      </c>
      <c r="BF5" s="125" t="str">
        <f>BY4</f>
        <v>Ungarn</v>
      </c>
      <c r="BG5" s="124"/>
      <c r="BH5" s="137">
        <f ca="1" t="shared" si="2"/>
        <v>1</v>
      </c>
      <c r="BI5" s="13" t="s">
        <v>22</v>
      </c>
      <c r="BJ5" s="136">
        <f ca="1" t="shared" si="3"/>
        <v>0</v>
      </c>
      <c r="BK5" s="9" t="s">
        <v>23</v>
      </c>
      <c r="BL5" s="1"/>
      <c r="BM5" s="11" t="str">
        <f>VLOOKUP(4,$BX$2:$CC$5,2,FALSE)</f>
        <v>Albanien</v>
      </c>
      <c r="BN5" s="2">
        <f>VLOOKUP(4,$BX$2:$CC$5,3,FALSE)</f>
        <v>3</v>
      </c>
      <c r="BO5" s="2">
        <f>VLOOKUP(4,$BX$2:$CC$5,4,FALSE)</f>
        <v>1</v>
      </c>
      <c r="BP5" s="2">
        <f>VLOOKUP(4,$BX$2:$CC$5,5,FALSE)</f>
        <v>2</v>
      </c>
      <c r="BQ5" s="2">
        <f>VLOOKUP(4,$BX$2:$CC$5,6,FALSE)</f>
        <v>-1</v>
      </c>
      <c r="BS5" s="130">
        <f>IF(BH7="",0,IF(BK7=$B$63,IF(BH7&gt;BJ7,3,IF(BH7=BJ7,1,0)),0))</f>
        <v>3</v>
      </c>
      <c r="BT5" s="130">
        <f>IF(BJ6="",0,IF(BK6=$B$63,IF(BH6&lt;BJ6,3,IF(BH6=BJ6,1,0)),0))</f>
        <v>0</v>
      </c>
      <c r="BU5" s="130">
        <f>IF(BJ4="",0,IF(BK4=$B$63,IF(BH4&lt;BJ4,3,IF(BH4=BJ4,1,0)),0))</f>
        <v>0</v>
      </c>
      <c r="BV5" s="129"/>
      <c r="BW5" s="1"/>
      <c r="BX5" s="185">
        <f>RANK(CD5,CD2:CD5)+COUNTIF(CD2:CD5,CD5)-1</f>
        <v>4</v>
      </c>
      <c r="BY5" s="132" t="str">
        <f>B98</f>
        <v>Albanien</v>
      </c>
      <c r="BZ5" s="1">
        <f>SUM(BS5:BV5)</f>
        <v>3</v>
      </c>
      <c r="CA5" s="1">
        <f>SUM(BS9:BV9)</f>
        <v>1</v>
      </c>
      <c r="CB5" s="1">
        <f>SUM(BV6:BV9)</f>
        <v>2</v>
      </c>
      <c r="CC5" s="1">
        <f>CA5-CB5</f>
        <v>-1</v>
      </c>
      <c r="CD5" s="33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299009996989999</v>
      </c>
      <c r="CE5" s="5"/>
      <c r="CF5" s="34">
        <f>IF($BZ5=$BZ2,$BS5-$BV2,0)</f>
        <v>0</v>
      </c>
      <c r="CG5" s="34">
        <f>IF($BZ5=$BZ3,$BT5-$BV3,0)</f>
        <v>0</v>
      </c>
      <c r="CH5" s="34">
        <f>IF($BZ5=$BZ4,$BU5-$BV4,0)</f>
        <v>-3</v>
      </c>
      <c r="CI5" s="34"/>
      <c r="CJ5" s="34">
        <f>SUM(CF5:CI5)</f>
        <v>-3</v>
      </c>
      <c r="CK5" s="5"/>
      <c r="CL5" s="34">
        <f>IF($BZ5=$BZ2,$BS9-$BV6,0)</f>
        <v>0</v>
      </c>
      <c r="CM5" s="34">
        <f>IF($BZ5=$BZ3,$BT9-$BV7,0)</f>
        <v>0</v>
      </c>
      <c r="CN5" s="34">
        <f>IF($BZ5=$BZ4,$BU9-$BV8,0)</f>
        <v>-1</v>
      </c>
      <c r="CO5" s="34"/>
      <c r="CP5" s="34">
        <f>SUM(CL5:CO5)</f>
        <v>-1</v>
      </c>
      <c r="CQ5" s="34">
        <f>IF($BZ5=$BZ2,$BS9,0)</f>
        <v>0</v>
      </c>
      <c r="CR5" s="34">
        <f>IF($BZ5=$BZ3,$BT9,0)</f>
        <v>0</v>
      </c>
      <c r="CS5" s="34">
        <f>IF($BZ5=$BZ4,$BU9,0)</f>
        <v>0</v>
      </c>
      <c r="CT5" s="34"/>
      <c r="CU5" s="34">
        <f>SUM(CQ5:CT5)</f>
        <v>0</v>
      </c>
      <c r="CV5" s="184">
        <f>IF(AND(COUNTIF(BK3:BK8,$B$63)=COUNTA(BH3:BH8),COUNTIF(BK3:BK8,$B$63)=COUNTA(BJ3:BJ8)),IF(CU5=CU2,BS9-BV6,IF(CU5=CU3,BT9-BV7,IF(CU5=CU4,BU9-BV8,1))),1)</f>
        <v>-1</v>
      </c>
    </row>
    <row r="6" spans="1:100" ht="12.75">
      <c r="A6" s="2">
        <f>A4+12</f>
        <v>14</v>
      </c>
      <c r="B6" s="4">
        <v>42536.875</v>
      </c>
      <c r="C6" s="4" t="s">
        <v>138</v>
      </c>
      <c r="D6" s="125" t="str">
        <f>Y3</f>
        <v>Russland</v>
      </c>
      <c r="E6" s="80" t="s">
        <v>21</v>
      </c>
      <c r="F6" s="125" t="str">
        <f>Y5</f>
        <v>Nordirland</v>
      </c>
      <c r="G6" s="124"/>
      <c r="H6" s="137">
        <f ca="1" t="shared" si="0"/>
        <v>1</v>
      </c>
      <c r="I6" s="13" t="s">
        <v>22</v>
      </c>
      <c r="J6" s="136">
        <f ca="1" t="shared" si="1"/>
        <v>0</v>
      </c>
      <c r="K6" s="9" t="s">
        <v>23</v>
      </c>
      <c r="L6" s="1"/>
      <c r="N6" s="1"/>
      <c r="O6" s="1"/>
      <c r="P6" s="1"/>
      <c r="S6" s="129"/>
      <c r="T6" s="130">
        <f>IF(K3=$B$63,H3,0)</f>
        <v>1</v>
      </c>
      <c r="U6" s="130">
        <f>IF(K5=$B$63,H5,0)</f>
        <v>1</v>
      </c>
      <c r="V6" s="130">
        <f>IF(K7=$B$63,J7,0)</f>
        <v>0</v>
      </c>
      <c r="W6" s="131"/>
      <c r="X6" s="131"/>
      <c r="Y6" s="131"/>
      <c r="Z6" s="131"/>
      <c r="AA6" s="131"/>
      <c r="AB6" s="131"/>
      <c r="AC6" s="131"/>
      <c r="AD6" s="138"/>
      <c r="AE6" s="139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V6" s="135"/>
      <c r="AW6" s="133"/>
      <c r="BA6" s="2">
        <f>BA4+12</f>
        <v>20</v>
      </c>
      <c r="BB6" s="7">
        <v>42538.75</v>
      </c>
      <c r="BC6" s="4" t="s">
        <v>143</v>
      </c>
      <c r="BD6" s="125" t="str">
        <f>BY3</f>
        <v>Österreich</v>
      </c>
      <c r="BE6" s="80" t="s">
        <v>21</v>
      </c>
      <c r="BF6" s="125" t="str">
        <f>BY5</f>
        <v>Albanien</v>
      </c>
      <c r="BG6" s="124"/>
      <c r="BH6" s="137">
        <f ca="1" t="shared" si="2"/>
        <v>1</v>
      </c>
      <c r="BI6" s="13" t="s">
        <v>22</v>
      </c>
      <c r="BJ6" s="136">
        <f ca="1" t="shared" si="3"/>
        <v>0</v>
      </c>
      <c r="BK6" s="9" t="s">
        <v>23</v>
      </c>
      <c r="BL6" s="1"/>
      <c r="BN6" s="1"/>
      <c r="BO6" s="1"/>
      <c r="BP6" s="1"/>
      <c r="BS6" s="129"/>
      <c r="BT6" s="130">
        <f>IF(BK3=$B$63,BH3,0)</f>
        <v>1</v>
      </c>
      <c r="BU6" s="130">
        <f>IF(BK5=$B$63,BH5,0)</f>
        <v>1</v>
      </c>
      <c r="BV6" s="130">
        <f>IF(BK7=$B$63,BJ7,0)</f>
        <v>0</v>
      </c>
      <c r="BW6" s="1"/>
      <c r="BX6" s="1"/>
      <c r="BY6" s="131"/>
      <c r="BZ6" s="1"/>
      <c r="CA6" s="1"/>
      <c r="CB6" s="1"/>
      <c r="CC6" s="1"/>
      <c r="CD6" s="6"/>
      <c r="CE6" s="9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V6" s="34"/>
    </row>
    <row r="7" spans="1:100" ht="12.75">
      <c r="A7" s="2">
        <f>A5+12</f>
        <v>25</v>
      </c>
      <c r="B7" s="7">
        <v>42540.875</v>
      </c>
      <c r="C7" s="4" t="s">
        <v>140</v>
      </c>
      <c r="D7" s="125" t="str">
        <f>Y5</f>
        <v>Nordirland</v>
      </c>
      <c r="E7" s="80" t="s">
        <v>21</v>
      </c>
      <c r="F7" s="125" t="str">
        <f>Y2</f>
        <v>Frankreich</v>
      </c>
      <c r="G7" s="123"/>
      <c r="H7" s="136">
        <f ca="1" t="shared" si="0"/>
        <v>1</v>
      </c>
      <c r="I7" s="15" t="s">
        <v>22</v>
      </c>
      <c r="J7" s="137">
        <f ca="1" t="shared" si="1"/>
        <v>0</v>
      </c>
      <c r="K7" s="9" t="s">
        <v>23</v>
      </c>
      <c r="M7" s="70" t="str">
        <f>IF(N2&gt;0,M2,"")</f>
        <v>Frankreich</v>
      </c>
      <c r="N7" s="2" t="s">
        <v>24</v>
      </c>
      <c r="P7" s="51"/>
      <c r="S7" s="130">
        <f>IF(K3=$B$63,J3,0)</f>
        <v>0</v>
      </c>
      <c r="T7" s="129"/>
      <c r="U7" s="130">
        <f>IF(K8=$B$63,H8,0)</f>
        <v>1</v>
      </c>
      <c r="V7" s="130">
        <f>IF(K6=$B$63,H6,0)</f>
        <v>1</v>
      </c>
      <c r="AD7" s="123" t="s">
        <v>119</v>
      </c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V7" s="141"/>
      <c r="AW7" s="133"/>
      <c r="BA7" s="2">
        <f>BA5+12</f>
        <v>31</v>
      </c>
      <c r="BB7" s="7">
        <v>42542.875</v>
      </c>
      <c r="BC7" s="4" t="s">
        <v>142</v>
      </c>
      <c r="BD7" s="125" t="str">
        <f>BY5</f>
        <v>Albanien</v>
      </c>
      <c r="BE7" s="80" t="s">
        <v>21</v>
      </c>
      <c r="BF7" s="125" t="str">
        <f>BY2</f>
        <v>Belgien</v>
      </c>
      <c r="BG7" s="123"/>
      <c r="BH7" s="136">
        <f ca="1" t="shared" si="2"/>
        <v>1</v>
      </c>
      <c r="BI7" s="15" t="s">
        <v>22</v>
      </c>
      <c r="BJ7" s="137">
        <f ca="1" t="shared" si="3"/>
        <v>0</v>
      </c>
      <c r="BK7" s="9" t="s">
        <v>23</v>
      </c>
      <c r="BM7" s="155" t="str">
        <f>IF(BN2&gt;0,BM2,"")</f>
        <v>Belgien</v>
      </c>
      <c r="BN7" s="2" t="s">
        <v>33</v>
      </c>
      <c r="BP7" s="51"/>
      <c r="BS7" s="130">
        <f>IF(BK3=$B$63,BJ3,0)</f>
        <v>0</v>
      </c>
      <c r="BT7" s="129"/>
      <c r="BU7" s="130">
        <f>IF(BK8=$B$63,BH8,0)</f>
        <v>1</v>
      </c>
      <c r="BV7" s="130">
        <f>IF(BK6=$B$63,BH6,0)</f>
        <v>1</v>
      </c>
      <c r="CD7" s="2" t="s">
        <v>119</v>
      </c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V7" s="35"/>
    </row>
    <row r="8" spans="1:100" ht="12.75">
      <c r="A8" s="2">
        <f>A6+12</f>
        <v>26</v>
      </c>
      <c r="B8" s="7">
        <v>42540.875</v>
      </c>
      <c r="C8" s="4" t="s">
        <v>141</v>
      </c>
      <c r="D8" s="125" t="str">
        <f>Y3</f>
        <v>Russland</v>
      </c>
      <c r="E8" s="80" t="s">
        <v>21</v>
      </c>
      <c r="F8" s="125" t="str">
        <f>Y4</f>
        <v>Slowakei</v>
      </c>
      <c r="G8" s="123"/>
      <c r="H8" s="137">
        <f ca="1" t="shared" si="0"/>
        <v>1</v>
      </c>
      <c r="I8" s="13" t="s">
        <v>22</v>
      </c>
      <c r="J8" s="137">
        <f ca="1" t="shared" si="1"/>
        <v>0</v>
      </c>
      <c r="K8" s="9" t="s">
        <v>23</v>
      </c>
      <c r="M8" s="70" t="str">
        <f>IF(N3&gt;0,M3,"")</f>
        <v>Russland</v>
      </c>
      <c r="N8" s="2" t="s">
        <v>25</v>
      </c>
      <c r="O8" s="52"/>
      <c r="P8" s="53"/>
      <c r="S8" s="130">
        <f>IF(K5=$B$63,J5,0)</f>
        <v>0</v>
      </c>
      <c r="T8" s="130">
        <f>IF(K8=$B$63,J8,0)</f>
        <v>0</v>
      </c>
      <c r="U8" s="129"/>
      <c r="V8" s="130">
        <f>IF(K4=$B$63,H4,0)</f>
        <v>1</v>
      </c>
      <c r="AD8" s="123" t="s">
        <v>120</v>
      </c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V8" s="141"/>
      <c r="AW8" s="133"/>
      <c r="BA8" s="2">
        <f>BA6+12</f>
        <v>32</v>
      </c>
      <c r="BB8" s="7">
        <v>42542.875</v>
      </c>
      <c r="BC8" s="4" t="s">
        <v>137</v>
      </c>
      <c r="BD8" s="125" t="str">
        <f>BY3</f>
        <v>Österreich</v>
      </c>
      <c r="BE8" s="80" t="s">
        <v>21</v>
      </c>
      <c r="BF8" s="125" t="str">
        <f>BY4</f>
        <v>Ungarn</v>
      </c>
      <c r="BG8" s="123"/>
      <c r="BH8" s="137">
        <f ca="1" t="shared" si="2"/>
        <v>1</v>
      </c>
      <c r="BI8" s="13" t="s">
        <v>22</v>
      </c>
      <c r="BJ8" s="137">
        <f ca="1" t="shared" si="3"/>
        <v>0</v>
      </c>
      <c r="BK8" s="9" t="s">
        <v>23</v>
      </c>
      <c r="BM8" s="155" t="str">
        <f>IF(BN3&gt;0,BM3,"")</f>
        <v>Österreich</v>
      </c>
      <c r="BN8" s="2" t="s">
        <v>34</v>
      </c>
      <c r="BO8" s="52"/>
      <c r="BP8" s="53"/>
      <c r="BS8" s="130">
        <f>IF(BK5=$B$63,BJ5,0)</f>
        <v>0</v>
      </c>
      <c r="BT8" s="130">
        <f>IF(BK8=$B$63,BJ8,0)</f>
        <v>0</v>
      </c>
      <c r="BU8" s="129"/>
      <c r="BV8" s="130">
        <f>IF(BK4=$B$63,BH4,0)</f>
        <v>1</v>
      </c>
      <c r="CD8" s="2" t="s">
        <v>120</v>
      </c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V8" s="35"/>
    </row>
    <row r="9" spans="4:100" ht="12.75">
      <c r="D9" s="123"/>
      <c r="E9" s="123"/>
      <c r="F9" s="123"/>
      <c r="G9" s="123"/>
      <c r="M9" s="70" t="str">
        <f>IF(N4&gt;0,M4,"")</f>
        <v>Slowakei</v>
      </c>
      <c r="N9" s="2" t="s">
        <v>116</v>
      </c>
      <c r="S9" s="130">
        <f>IF(K7=$B$63,H7,0)</f>
        <v>1</v>
      </c>
      <c r="T9" s="130">
        <f>IF(K6=$B$63,J6,0)</f>
        <v>0</v>
      </c>
      <c r="U9" s="130">
        <f>IF(K4=$B$63,J4,0)</f>
        <v>0</v>
      </c>
      <c r="V9" s="129"/>
      <c r="AD9" s="2" t="s">
        <v>200</v>
      </c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V9" s="141"/>
      <c r="AW9" s="133"/>
      <c r="BD9" s="123"/>
      <c r="BE9" s="123"/>
      <c r="BF9" s="123"/>
      <c r="BG9" s="123"/>
      <c r="BM9" s="155" t="str">
        <f>IF(BN4&gt;0,BM4,"")</f>
        <v>Ungarn</v>
      </c>
      <c r="BN9" s="2" t="s">
        <v>117</v>
      </c>
      <c r="BS9" s="130">
        <f>IF(BK7=$B$63,BH7,0)</f>
        <v>1</v>
      </c>
      <c r="BT9" s="130">
        <f>IF(BK6=$B$63,BJ6,0)</f>
        <v>0</v>
      </c>
      <c r="BU9" s="130">
        <f>IF(BK4=$B$63,BJ4,0)</f>
        <v>0</v>
      </c>
      <c r="BV9" s="129"/>
      <c r="CD9" s="2" t="s">
        <v>200</v>
      </c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V9" s="35"/>
    </row>
    <row r="10" spans="4:100" ht="6" customHeight="1">
      <c r="D10" s="123"/>
      <c r="E10" s="126"/>
      <c r="F10" s="128"/>
      <c r="G10" s="128"/>
      <c r="H10" s="123"/>
      <c r="I10" s="123"/>
      <c r="J10" s="123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V10" s="141"/>
      <c r="AW10" s="133"/>
      <c r="BD10" s="123"/>
      <c r="BE10" s="126"/>
      <c r="BF10" s="128"/>
      <c r="BG10" s="128"/>
      <c r="BH10" s="123"/>
      <c r="BI10" s="123"/>
      <c r="BJ10" s="123"/>
      <c r="BS10" s="123"/>
      <c r="BT10" s="123"/>
      <c r="BU10" s="123"/>
      <c r="BV10" s="123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V10" s="35"/>
    </row>
    <row r="11" spans="2:100" s="12" customFormat="1" ht="12.75">
      <c r="B11" s="62" t="s">
        <v>0</v>
      </c>
      <c r="C11" s="63" t="s">
        <v>26</v>
      </c>
      <c r="D11" s="124" t="s">
        <v>2</v>
      </c>
      <c r="E11" s="142"/>
      <c r="F11" s="124"/>
      <c r="G11" s="124"/>
      <c r="H11" s="28"/>
      <c r="I11" s="27"/>
      <c r="J11" s="28"/>
      <c r="K11" s="29"/>
      <c r="L11" s="24"/>
      <c r="M11" s="69" t="s">
        <v>3</v>
      </c>
      <c r="N11" s="24" t="s">
        <v>4</v>
      </c>
      <c r="O11" s="24" t="s">
        <v>5</v>
      </c>
      <c r="P11" s="24" t="s">
        <v>6</v>
      </c>
      <c r="Q11" s="24" t="s">
        <v>7</v>
      </c>
      <c r="R11" s="24"/>
      <c r="S11" s="123"/>
      <c r="T11" s="123"/>
      <c r="U11" s="123"/>
      <c r="V11" s="123"/>
      <c r="W11" s="124"/>
      <c r="X11" s="124" t="s">
        <v>8</v>
      </c>
      <c r="Y11" s="125" t="s">
        <v>9</v>
      </c>
      <c r="Z11" s="124" t="s">
        <v>4</v>
      </c>
      <c r="AA11" s="124" t="s">
        <v>5</v>
      </c>
      <c r="AB11" s="124" t="s">
        <v>6</v>
      </c>
      <c r="AC11" s="124" t="s">
        <v>7</v>
      </c>
      <c r="AD11" s="124"/>
      <c r="AE11" s="27" t="s">
        <v>10</v>
      </c>
      <c r="AF11" s="80" t="s">
        <v>11</v>
      </c>
      <c r="AG11" s="80"/>
      <c r="AH11" s="80"/>
      <c r="AI11" s="80"/>
      <c r="AJ11" s="80" t="s">
        <v>12</v>
      </c>
      <c r="AK11" s="125" t="s">
        <v>13</v>
      </c>
      <c r="AL11" s="80" t="s">
        <v>14</v>
      </c>
      <c r="AM11" s="80"/>
      <c r="AN11" s="80"/>
      <c r="AO11" s="80"/>
      <c r="AP11" s="80" t="s">
        <v>15</v>
      </c>
      <c r="AQ11" s="80" t="s">
        <v>16</v>
      </c>
      <c r="AR11" s="80"/>
      <c r="AS11" s="80"/>
      <c r="AT11" s="80"/>
      <c r="AU11" s="126" t="s">
        <v>17</v>
      </c>
      <c r="AV11" s="125" t="s">
        <v>18</v>
      </c>
      <c r="AW11" s="127"/>
      <c r="AX11" s="128"/>
      <c r="AY11" s="128"/>
      <c r="AZ11" s="128"/>
      <c r="BB11" s="25" t="s">
        <v>0</v>
      </c>
      <c r="BC11" s="74" t="s">
        <v>35</v>
      </c>
      <c r="BD11" s="124" t="s">
        <v>2</v>
      </c>
      <c r="BE11" s="142"/>
      <c r="BF11" s="124"/>
      <c r="BG11" s="124"/>
      <c r="BH11" s="28"/>
      <c r="BI11" s="27"/>
      <c r="BJ11" s="28"/>
      <c r="BK11" s="29"/>
      <c r="BL11" s="24"/>
      <c r="BM11" s="69" t="s">
        <v>3</v>
      </c>
      <c r="BN11" s="24" t="s">
        <v>4</v>
      </c>
      <c r="BO11" s="24" t="s">
        <v>5</v>
      </c>
      <c r="BP11" s="24" t="s">
        <v>6</v>
      </c>
      <c r="BQ11" s="24" t="s">
        <v>7</v>
      </c>
      <c r="BR11" s="24"/>
      <c r="BS11" s="123"/>
      <c r="BT11" s="123"/>
      <c r="BU11" s="123"/>
      <c r="BV11" s="123"/>
      <c r="BW11" s="24"/>
      <c r="BX11" s="24" t="s">
        <v>8</v>
      </c>
      <c r="BY11" s="125" t="s">
        <v>9</v>
      </c>
      <c r="BZ11" s="24" t="s">
        <v>4</v>
      </c>
      <c r="CA11" s="24" t="s">
        <v>5</v>
      </c>
      <c r="CB11" s="24" t="s">
        <v>6</v>
      </c>
      <c r="CC11" s="24" t="s">
        <v>7</v>
      </c>
      <c r="CD11" s="24"/>
      <c r="CE11" s="29" t="s">
        <v>10</v>
      </c>
      <c r="CF11" s="22" t="s">
        <v>11</v>
      </c>
      <c r="CG11" s="22"/>
      <c r="CH11" s="22"/>
      <c r="CI11" s="22"/>
      <c r="CJ11" s="22" t="s">
        <v>12</v>
      </c>
      <c r="CK11" s="30" t="s">
        <v>13</v>
      </c>
      <c r="CL11" s="22" t="s">
        <v>14</v>
      </c>
      <c r="CM11" s="22"/>
      <c r="CN11" s="22"/>
      <c r="CO11" s="22"/>
      <c r="CP11" s="22" t="s">
        <v>15</v>
      </c>
      <c r="CQ11" s="22" t="s">
        <v>16</v>
      </c>
      <c r="CR11" s="22"/>
      <c r="CS11" s="22"/>
      <c r="CT11" s="22"/>
      <c r="CU11" s="23" t="s">
        <v>17</v>
      </c>
      <c r="CV11" s="30" t="s">
        <v>18</v>
      </c>
    </row>
    <row r="12" spans="2:100" ht="12.75">
      <c r="B12" s="3" t="s">
        <v>19</v>
      </c>
      <c r="C12" s="3" t="s">
        <v>20</v>
      </c>
      <c r="D12" s="123"/>
      <c r="E12" s="123"/>
      <c r="F12" s="123"/>
      <c r="G12" s="123"/>
      <c r="L12" s="1"/>
      <c r="M12" s="11" t="str">
        <f>VLOOKUP(1,$X$12:$AC$15,2,FALSE)</f>
        <v>England</v>
      </c>
      <c r="N12" s="2">
        <f>VLOOKUP(1,$X$12:$AC$15,3,FALSE)</f>
        <v>6</v>
      </c>
      <c r="O12" s="2">
        <f>VLOOKUP(1,$X$12:$AC$15,4,FALSE)</f>
        <v>2</v>
      </c>
      <c r="P12" s="2">
        <f>VLOOKUP(1,$X$12:$AC$15,5,FALSE)</f>
        <v>1</v>
      </c>
      <c r="Q12" s="2">
        <f>VLOOKUP(1,$X$12:$AC$15,6,FALSE)</f>
        <v>1</v>
      </c>
      <c r="S12" s="129"/>
      <c r="T12" s="130">
        <f>IF(H13="",0,IF(K13=$B$63,IF(H13&gt;J13,3,IF(H13=J13,1,0)),0))</f>
        <v>3</v>
      </c>
      <c r="U12" s="130">
        <f>IF(H15="",0,IF(K15=$B$63,IF(H15&gt;J15,3,IF(H15=J15,1,0)),0))</f>
        <v>3</v>
      </c>
      <c r="V12" s="130">
        <f>IF(J17="",0,IF(K17=$B$63,IF(H17&lt;J17,3,IF(H17=J17,1,0)),0))</f>
        <v>0</v>
      </c>
      <c r="W12" s="131"/>
      <c r="X12" s="185">
        <f>RANK(AD12,AD12:AD15)+COUNTIF(AD12:AD12,AD12)-1</f>
        <v>1</v>
      </c>
      <c r="Y12" s="132" t="str">
        <f>B72</f>
        <v>England</v>
      </c>
      <c r="Z12" s="131">
        <f>SUM(S12:V12)</f>
        <v>6</v>
      </c>
      <c r="AA12" s="131">
        <f>SUM(S16:V16)</f>
        <v>2</v>
      </c>
      <c r="AB12" s="131">
        <f>SUM(S16:S19)</f>
        <v>1</v>
      </c>
      <c r="AC12" s="131">
        <f>AA12-AB12</f>
        <v>1</v>
      </c>
      <c r="AD12" s="133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601020003010101</v>
      </c>
      <c r="AE12" s="134"/>
      <c r="AF12" s="135"/>
      <c r="AG12" s="135">
        <f>IF($Z12=$Z13,$T12-$S13,0)</f>
        <v>3</v>
      </c>
      <c r="AH12" s="135">
        <f>IF($Z12=$Z14,$U12-$S14,0)</f>
        <v>0</v>
      </c>
      <c r="AI12" s="135">
        <f>IF($Z12=$Z15,$V12-$S15,0)</f>
        <v>0</v>
      </c>
      <c r="AJ12" s="135">
        <f>SUM(AF12:AI12)</f>
        <v>3</v>
      </c>
      <c r="AK12" s="134"/>
      <c r="AL12" s="135"/>
      <c r="AM12" s="135">
        <f>IF($Z12=$Z13,$T16-$S17,0)</f>
        <v>1</v>
      </c>
      <c r="AN12" s="135">
        <f>IF($Z12=$Z14,$U16-$S18,0)</f>
        <v>0</v>
      </c>
      <c r="AO12" s="135">
        <f>IF($Z12=$Z15,$V16-$S19,0)</f>
        <v>0</v>
      </c>
      <c r="AP12" s="135">
        <f>SUM(AL12:AO12)</f>
        <v>1</v>
      </c>
      <c r="AQ12" s="135"/>
      <c r="AR12" s="135">
        <f>IF($Z12=$Z13,$T16,0)</f>
        <v>1</v>
      </c>
      <c r="AS12" s="135">
        <f>IF($Z12=$Z14,$U16,0)</f>
        <v>0</v>
      </c>
      <c r="AT12" s="135">
        <f>IF($Z12=$Z15,$V16,0)</f>
        <v>0</v>
      </c>
      <c r="AU12" s="135">
        <f>SUM(AQ12:AT12)</f>
        <v>1</v>
      </c>
      <c r="AV12" s="184">
        <f>IF(AND(COUNTIF(K13:K18,$B$63)=COUNTA(H13:H18),COUNTIF(K13:K18,$B$63)=COUNTA(J13:J18)),IF(AU12=AU13,T16-S17,IF(AU12=AU14,U16-S18,IF(AU12=AU15,V16-S19,4))),4)</f>
        <v>1</v>
      </c>
      <c r="AW12" s="133"/>
      <c r="BB12" s="3" t="s">
        <v>19</v>
      </c>
      <c r="BC12" s="3" t="s">
        <v>20</v>
      </c>
      <c r="BD12" s="123"/>
      <c r="BE12" s="123"/>
      <c r="BF12" s="123"/>
      <c r="BG12" s="123"/>
      <c r="BL12" s="1"/>
      <c r="BM12" s="11" t="str">
        <f>VLOOKUP(1,$BX$12:$CC$15,2,FALSE)</f>
        <v>Spanien</v>
      </c>
      <c r="BN12" s="2">
        <f>VLOOKUP(1,$BX$12:$CC$15,3,FALSE)</f>
        <v>6</v>
      </c>
      <c r="BO12" s="2">
        <f>VLOOKUP(1,$BX$12:$CC$15,4,FALSE)</f>
        <v>2</v>
      </c>
      <c r="BP12" s="2">
        <f>VLOOKUP(1,$BX$12:$CC$15,5,FALSE)</f>
        <v>1</v>
      </c>
      <c r="BQ12" s="2">
        <f>VLOOKUP(1,$BX$12:$CC$15,6,FALSE)</f>
        <v>1</v>
      </c>
      <c r="BS12" s="129"/>
      <c r="BT12" s="130">
        <f>IF(BH13="",0,IF(BK13=$B$63,IF(BH13&gt;BJ13,3,IF(BH13=BJ13,1,0)),0))</f>
        <v>3</v>
      </c>
      <c r="BU12" s="130">
        <f>IF(BH15="",0,IF(BK15=$B$63,IF(BH15&gt;BJ15,3,IF(BH15=BJ15,1,0)),0))</f>
        <v>3</v>
      </c>
      <c r="BV12" s="130">
        <f>IF(BJ17="",0,IF(BK17=$B$63,IF(BH17&lt;BJ17,3,IF(BH17=BJ17,1,0)),0))</f>
        <v>0</v>
      </c>
      <c r="BW12" s="1"/>
      <c r="BX12" s="185">
        <f>RANK(CD12,CD12:CD15)+COUNTIF(CD12:CD12,CD12)-1</f>
        <v>1</v>
      </c>
      <c r="BY12" s="132" t="str">
        <f>B75</f>
        <v>Spanien</v>
      </c>
      <c r="BZ12" s="1">
        <f>SUM(BS12:BV12)</f>
        <v>6</v>
      </c>
      <c r="CA12" s="1">
        <f>SUM(BS16:BV16)</f>
        <v>2</v>
      </c>
      <c r="CB12" s="1">
        <f>SUM(BS16:BS19)</f>
        <v>1</v>
      </c>
      <c r="CC12" s="1">
        <f>CA12-CB12</f>
        <v>1</v>
      </c>
      <c r="CD12" s="33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601020003010101</v>
      </c>
      <c r="CE12" s="5"/>
      <c r="CF12" s="34"/>
      <c r="CG12" s="34">
        <f>IF($BZ12=$BZ13,$BT12-$BS13,0)</f>
        <v>3</v>
      </c>
      <c r="CH12" s="34">
        <f>IF($BZ12=$BZ14,$BU12-$BS14,0)</f>
        <v>0</v>
      </c>
      <c r="CI12" s="34">
        <f>IF($BZ12=$BZ15,$BV12-$BS15,0)</f>
        <v>0</v>
      </c>
      <c r="CJ12" s="34">
        <f>SUM(CF12:CI12)</f>
        <v>3</v>
      </c>
      <c r="CK12" s="5"/>
      <c r="CL12" s="34"/>
      <c r="CM12" s="34">
        <f>IF($BZ12=$BZ13,$BT16-$BS17,0)</f>
        <v>1</v>
      </c>
      <c r="CN12" s="34">
        <f>IF($BZ12=$BZ14,$BU16-$BS18,0)</f>
        <v>0</v>
      </c>
      <c r="CO12" s="34">
        <f>IF($BZ12=$BZ15,$BV16-$BS19,0)</f>
        <v>0</v>
      </c>
      <c r="CP12" s="34">
        <f>SUM(CL12:CO12)</f>
        <v>1</v>
      </c>
      <c r="CQ12" s="34"/>
      <c r="CR12" s="34">
        <f>IF($BZ12=$BZ13,$BT16,0)</f>
        <v>1</v>
      </c>
      <c r="CS12" s="34">
        <f>IF($BZ12=$BZ14,$BU16,0)</f>
        <v>0</v>
      </c>
      <c r="CT12" s="34">
        <f>IF($BZ12=$BZ15,$BV16,0)</f>
        <v>0</v>
      </c>
      <c r="CU12" s="34">
        <f>SUM(CQ12:CT12)</f>
        <v>1</v>
      </c>
      <c r="CV12" s="184">
        <f>IF(AND(COUNTIF(BK13:BK18,$B$63)=COUNTA(BH13:BH18),COUNTIF(BK13:BK18,$B$63)=COUNTA(BJ13:BJ18)),IF(CU12=CU13,BT16-BS17,IF(CU12=CU14,BU16-BS18,IF(CU12=CU15,BV16-BS19,4))),4)</f>
        <v>1</v>
      </c>
    </row>
    <row r="13" spans="1:100" ht="12.75">
      <c r="A13" s="2">
        <v>3</v>
      </c>
      <c r="B13" s="7">
        <v>42532.875</v>
      </c>
      <c r="C13" s="4" t="s">
        <v>139</v>
      </c>
      <c r="D13" s="125" t="str">
        <f>Y12</f>
        <v>England</v>
      </c>
      <c r="E13" s="80" t="s">
        <v>21</v>
      </c>
      <c r="F13" s="125" t="str">
        <f>Y13</f>
        <v>Kroatien</v>
      </c>
      <c r="G13" s="124"/>
      <c r="H13" s="136">
        <f aca="true" ca="1" t="shared" si="4" ref="H13:H18">IF($B$64="",1,INT(RAND()*5)+INT(RAND()*3)*INT(RAND()*2))</f>
        <v>1</v>
      </c>
      <c r="I13" s="13" t="s">
        <v>22</v>
      </c>
      <c r="J13" s="136">
        <f aca="true" ca="1" t="shared" si="5" ref="J13:J18">IF($B$64="",0,INT(RAND()*5)+INT(RAND()*3)*INT(RAND()*2))</f>
        <v>0</v>
      </c>
      <c r="K13" s="9" t="s">
        <v>23</v>
      </c>
      <c r="L13" s="1"/>
      <c r="M13" s="11" t="str">
        <f>VLOOKUP(2,$X$12:$AC$15,2,FALSE)</f>
        <v>Kroatien</v>
      </c>
      <c r="N13" s="2">
        <f>VLOOKUP(2,$X$12:$AC$15,3,FALSE)</f>
        <v>6</v>
      </c>
      <c r="O13" s="2">
        <f>VLOOKUP(2,$X$12:$AC$15,4,FALSE)</f>
        <v>2</v>
      </c>
      <c r="P13" s="2">
        <f>VLOOKUP(2,$X$12:$AC$15,5,FALSE)</f>
        <v>1</v>
      </c>
      <c r="Q13" s="2">
        <f>VLOOKUP(2,$X$12:$AC$15,6,FALSE)</f>
        <v>1</v>
      </c>
      <c r="S13" s="130">
        <f>IF(J13="",0,IF(K13=$B$63,IF(H13&lt;J13,3,IF(H13=J13,1,0)),0))</f>
        <v>0</v>
      </c>
      <c r="T13" s="129"/>
      <c r="U13" s="130">
        <f>IF(H18="",0,IF(K18=$B$63,IF(H18&gt;J18,3,IF(H18=J18,1,0)),0))</f>
        <v>3</v>
      </c>
      <c r="V13" s="130">
        <f>IF(H16="",0,IF(K16=$B$63,IF(H16&gt;J16,3,IF(H16=J16,1,0)),0))</f>
        <v>3</v>
      </c>
      <c r="W13" s="131"/>
      <c r="X13" s="185">
        <f>RANK(AD13,AD12:AD15)+COUNTIF(AD12:AD13,AD13)-1</f>
        <v>2</v>
      </c>
      <c r="Y13" s="132" t="str">
        <f>B80</f>
        <v>Kroatien</v>
      </c>
      <c r="Z13" s="131">
        <f>SUM(S13:V13)</f>
        <v>6</v>
      </c>
      <c r="AA13" s="131">
        <f>SUM(S17:V17)</f>
        <v>2</v>
      </c>
      <c r="AB13" s="131">
        <f>SUM(T16:T19)</f>
        <v>1</v>
      </c>
      <c r="AC13" s="131">
        <f>AA13-AB13</f>
        <v>1</v>
      </c>
      <c r="AD13" s="133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601019996990001</v>
      </c>
      <c r="AE13" s="134"/>
      <c r="AF13" s="135">
        <f>IF($Z13=$Z12,$S13-$T12,0)</f>
        <v>-3</v>
      </c>
      <c r="AG13" s="135"/>
      <c r="AH13" s="135">
        <f>IF($Z13=$Z14,$U13-$T14,0)</f>
        <v>0</v>
      </c>
      <c r="AI13" s="135">
        <f>IF($Z13=$Z15,$V13-$T15,0)</f>
        <v>0</v>
      </c>
      <c r="AJ13" s="135">
        <f>SUM(AF13:AI13)</f>
        <v>-3</v>
      </c>
      <c r="AK13" s="134"/>
      <c r="AL13" s="135">
        <f>IF($Z13=$Z12,$S17-$T16,0)</f>
        <v>-1</v>
      </c>
      <c r="AM13" s="135"/>
      <c r="AN13" s="135">
        <f>IF($Z13=$Z14,$U17-$T18,0)</f>
        <v>0</v>
      </c>
      <c r="AO13" s="135">
        <f>IF($Z13=$Z15,$V17-$T19,0)</f>
        <v>0</v>
      </c>
      <c r="AP13" s="135">
        <f>SUM(AL13:AO13)</f>
        <v>-1</v>
      </c>
      <c r="AQ13" s="135">
        <f>IF($Z13=$Z12,$S17,0)</f>
        <v>0</v>
      </c>
      <c r="AR13" s="135"/>
      <c r="AS13" s="135">
        <f>IF($Z13=$Z14,$U17,0)</f>
        <v>0</v>
      </c>
      <c r="AT13" s="135">
        <f>IF($Z13=$Z15,$V17,0)</f>
        <v>0</v>
      </c>
      <c r="AU13" s="135">
        <f>SUM(AQ13:AT13)</f>
        <v>0</v>
      </c>
      <c r="AV13" s="184">
        <f>IF(AND(COUNTIF(K13:K18,$B$63)=COUNTA(H13:H18),COUNTIF(K13:K18,$B$63)=COUNTA(J13:J18)),IF(AU13=AU12,S17-T16,IF(AU13=AU14,U17-T18,IF(AU13=AU15,V17-T19,3))),3)</f>
        <v>1</v>
      </c>
      <c r="AW13" s="133"/>
      <c r="BA13" s="2">
        <v>9</v>
      </c>
      <c r="BB13" s="7">
        <v>42534.875</v>
      </c>
      <c r="BC13" s="4" t="s">
        <v>141</v>
      </c>
      <c r="BD13" s="125" t="str">
        <f>BY12</f>
        <v>Spanien</v>
      </c>
      <c r="BE13" s="80" t="s">
        <v>21</v>
      </c>
      <c r="BF13" s="125" t="str">
        <f>BY13</f>
        <v>Ukraine</v>
      </c>
      <c r="BG13" s="124"/>
      <c r="BH13" s="136">
        <f aca="true" ca="1" t="shared" si="6" ref="BH13:BH18">IF($B$64="",1,INT(RAND()*5)+INT(RAND()*3)*INT(RAND()*2))</f>
        <v>1</v>
      </c>
      <c r="BI13" s="13" t="s">
        <v>22</v>
      </c>
      <c r="BJ13" s="136">
        <f aca="true" ca="1" t="shared" si="7" ref="BJ13:BJ18">IF($B$64="",0,INT(RAND()*5)+INT(RAND()*3)*INT(RAND()*2))</f>
        <v>0</v>
      </c>
      <c r="BK13" s="9" t="s">
        <v>23</v>
      </c>
      <c r="BL13" s="1"/>
      <c r="BM13" s="11" t="str">
        <f>VLOOKUP(2,$BX$12:$CC$15,2,FALSE)</f>
        <v>Ukraine</v>
      </c>
      <c r="BN13" s="2">
        <f>VLOOKUP(2,$BX$12:$CC$15,3,FALSE)</f>
        <v>6</v>
      </c>
      <c r="BO13" s="2">
        <f>VLOOKUP(2,$BX$12:$CC$15,4,FALSE)</f>
        <v>2</v>
      </c>
      <c r="BP13" s="2">
        <f>VLOOKUP(2,$BX$12:$CC$15,5,FALSE)</f>
        <v>1</v>
      </c>
      <c r="BQ13" s="2">
        <f>VLOOKUP(2,$BX$12:$CC$15,6,FALSE)</f>
        <v>1</v>
      </c>
      <c r="BS13" s="130">
        <f>IF(BJ13="",0,IF(BK13=$B$63,IF(BH13&lt;BJ13,3,IF(BH13=BJ13,1,0)),0))</f>
        <v>0</v>
      </c>
      <c r="BT13" s="129"/>
      <c r="BU13" s="130">
        <f>IF(BH18="",0,IF(BK18=$B$63,IF(BH18&gt;BJ18,3,IF(BH18=BJ18,1,0)),0))</f>
        <v>3</v>
      </c>
      <c r="BV13" s="130">
        <f>IF(BH16="",0,IF(BK16=$B$63,IF(BH16&gt;BJ16,3,IF(BH16=BJ16,1,0)),0))</f>
        <v>3</v>
      </c>
      <c r="BW13" s="1"/>
      <c r="BX13" s="185">
        <f>RANK(CD13,CD12:CD15)+COUNTIF(CD12:CD13,CD13)-1</f>
        <v>2</v>
      </c>
      <c r="BY13" s="132" t="str">
        <f>B83</f>
        <v>Ukraine</v>
      </c>
      <c r="BZ13" s="1">
        <f>SUM(BS13:BV13)</f>
        <v>6</v>
      </c>
      <c r="CA13" s="1">
        <f>SUM(BS17:BV17)</f>
        <v>2</v>
      </c>
      <c r="CB13" s="1">
        <f>SUM(BT16:BT19)</f>
        <v>1</v>
      </c>
      <c r="CC13" s="1">
        <f>CA13-CB13</f>
        <v>1</v>
      </c>
      <c r="CD13" s="33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601019996990001</v>
      </c>
      <c r="CE13" s="5"/>
      <c r="CF13" s="34">
        <f>IF($BZ13=$BZ12,$BS13-$BT12,0)</f>
        <v>-3</v>
      </c>
      <c r="CG13" s="34"/>
      <c r="CH13" s="34">
        <f>IF($BZ13=$BZ14,$BU13-$BT14,0)</f>
        <v>0</v>
      </c>
      <c r="CI13" s="34">
        <f>IF($BZ13=$BZ15,$BV13-$BT15,0)</f>
        <v>0</v>
      </c>
      <c r="CJ13" s="34">
        <f>SUM(CF13:CI13)</f>
        <v>-3</v>
      </c>
      <c r="CK13" s="5"/>
      <c r="CL13" s="34">
        <f>IF($BZ13=$BZ12,$BS17-$BT16,0)</f>
        <v>-1</v>
      </c>
      <c r="CM13" s="34"/>
      <c r="CN13" s="34">
        <f>IF($BZ13=$BZ14,$BU17-$BT18,0)</f>
        <v>0</v>
      </c>
      <c r="CO13" s="34">
        <f>IF($BZ13=$BZ15,$BV17-$BT19,0)</f>
        <v>0</v>
      </c>
      <c r="CP13" s="34">
        <f>SUM(CL13:CO13)</f>
        <v>-1</v>
      </c>
      <c r="CQ13" s="34">
        <f>IF($BZ13=$BZ12,$BS17,0)</f>
        <v>0</v>
      </c>
      <c r="CR13" s="34"/>
      <c r="CS13" s="34">
        <f>IF($BZ13=$BZ14,$BU17,0)</f>
        <v>0</v>
      </c>
      <c r="CT13" s="34">
        <f>IF($BZ13=$BZ15,$BV17,0)</f>
        <v>0</v>
      </c>
      <c r="CU13" s="34">
        <f>SUM(CQ13:CT13)</f>
        <v>0</v>
      </c>
      <c r="CV13" s="184">
        <f>IF(AND(COUNTIF(BK13:BK18,$B$63)=COUNTA(BH13:BH18),COUNTIF(BK13:BK18,$B$63)=COUNTA(BJ13:BJ18)),IF(CU13=CU12,BS17-BT16,IF(CU13=CU14,BU17-BT18,IF(CU13=CU15,BV17-BT19,3))),3)</f>
        <v>1</v>
      </c>
    </row>
    <row r="14" spans="1:100" ht="12.75">
      <c r="A14" s="2">
        <v>4</v>
      </c>
      <c r="B14" s="7">
        <v>42532.75</v>
      </c>
      <c r="C14" s="4" t="s">
        <v>142</v>
      </c>
      <c r="D14" s="125" t="str">
        <f>Y14</f>
        <v>Rumänien</v>
      </c>
      <c r="E14" s="80" t="s">
        <v>21</v>
      </c>
      <c r="F14" s="125" t="str">
        <f>Y15</f>
        <v>Irland</v>
      </c>
      <c r="G14" s="124"/>
      <c r="H14" s="137">
        <f ca="1" t="shared" si="4"/>
        <v>1</v>
      </c>
      <c r="I14" s="13" t="s">
        <v>22</v>
      </c>
      <c r="J14" s="136">
        <f ca="1" t="shared" si="5"/>
        <v>0</v>
      </c>
      <c r="K14" s="9" t="s">
        <v>23</v>
      </c>
      <c r="L14" s="1"/>
      <c r="M14" s="11" t="str">
        <f>VLOOKUP(3,$X$12:$AC$15,2,FALSE)</f>
        <v>Rumänien</v>
      </c>
      <c r="N14" s="2">
        <f>VLOOKUP(3,$X$12:$AC$15,3,FALSE)</f>
        <v>3</v>
      </c>
      <c r="O14" s="2">
        <f>VLOOKUP(3,$X$12:$AC$15,4,FALSE)</f>
        <v>1</v>
      </c>
      <c r="P14" s="2">
        <f>VLOOKUP(3,$X$12:$AC$15,5,FALSE)</f>
        <v>2</v>
      </c>
      <c r="Q14" s="2">
        <f>VLOOKUP(3,$X$12:$AC$15,6,FALSE)</f>
        <v>-1</v>
      </c>
      <c r="S14" s="130">
        <f>IF(J15="",0,IF(K15=$B$63,IF(H15&lt;J15,3,IF(H15=J15,1,0)),0))</f>
        <v>0</v>
      </c>
      <c r="T14" s="130">
        <f>IF(J18="",0,IF(K18=$B$63,IF(H18&lt;J18,3,IF(H18=J18,1,0)),0))</f>
        <v>0</v>
      </c>
      <c r="U14" s="129"/>
      <c r="V14" s="130">
        <f>IF(H14="",0,IF(K14=$B$63,IF(H14&gt;J14,3,IF(H14=J14,1,0)),0))</f>
        <v>3</v>
      </c>
      <c r="W14" s="131"/>
      <c r="X14" s="185">
        <f>RANK(AD14,AD12:AD15)+COUNTIF(AD12:AD14,AD14)-1</f>
        <v>3</v>
      </c>
      <c r="Y14" s="132" t="str">
        <f>B88</f>
        <v>Rumänien</v>
      </c>
      <c r="Z14" s="131">
        <f>SUM(S14:V14)</f>
        <v>3</v>
      </c>
      <c r="AA14" s="131">
        <f>SUM(S18:V18)</f>
        <v>1</v>
      </c>
      <c r="AB14" s="131">
        <f>SUM(U16:U19)</f>
        <v>2</v>
      </c>
      <c r="AC14" s="131">
        <f>AA14-AB14</f>
        <v>-1</v>
      </c>
      <c r="AD14" s="133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299010003010099</v>
      </c>
      <c r="AE14" s="134"/>
      <c r="AF14" s="135">
        <f>IF($Z14=$Z12,$S14-$U12,0)</f>
        <v>0</v>
      </c>
      <c r="AG14" s="135">
        <f>IF($Z14=$Z13,$T14-$U13,0)</f>
        <v>0</v>
      </c>
      <c r="AH14" s="135"/>
      <c r="AI14" s="135">
        <f>IF($Z14=$Z15,$V14-$U15,0)</f>
        <v>3</v>
      </c>
      <c r="AJ14" s="135">
        <f>SUM(AF14:AI14)</f>
        <v>3</v>
      </c>
      <c r="AK14" s="134"/>
      <c r="AL14" s="135">
        <f>IF($Z14=$Z12,$S18-$U16,0)</f>
        <v>0</v>
      </c>
      <c r="AM14" s="135">
        <f>IF($Z14=$Z13,$T18-$U17,0)</f>
        <v>0</v>
      </c>
      <c r="AN14" s="135"/>
      <c r="AO14" s="135">
        <f>IF($Z14=$Z15,$V18-$U19,0)</f>
        <v>1</v>
      </c>
      <c r="AP14" s="135">
        <f>SUM(AL14:AO14)</f>
        <v>1</v>
      </c>
      <c r="AQ14" s="135">
        <f>IF($Z14=$Z12,$S18,0)</f>
        <v>0</v>
      </c>
      <c r="AR14" s="135">
        <f>IF($Z14=$Z13,$T18,0)</f>
        <v>0</v>
      </c>
      <c r="AS14" s="135"/>
      <c r="AT14" s="135">
        <f>IF($Z14=$Z15,$V18,0)</f>
        <v>1</v>
      </c>
      <c r="AU14" s="135">
        <f>SUM(AQ14:AT14)</f>
        <v>1</v>
      </c>
      <c r="AV14" s="184">
        <f>IF(AND(COUNTIF(K13:K18,$B$63)=COUNTA(H13:H18),COUNTIF(K13:K18,$B$63)=COUNTA(J13:J18)),IF(AU14=AU12,S18-U16,IF(AU14=AU13,T18-U17,IF(AU14=AU15,V18-U19,2))),2)</f>
        <v>-1</v>
      </c>
      <c r="AW14" s="133"/>
      <c r="BA14" s="2">
        <v>10</v>
      </c>
      <c r="BB14" s="7">
        <v>42534.75</v>
      </c>
      <c r="BC14" s="4" t="s">
        <v>136</v>
      </c>
      <c r="BD14" s="125" t="str">
        <f>BY14</f>
        <v>Polen</v>
      </c>
      <c r="BE14" s="80" t="s">
        <v>21</v>
      </c>
      <c r="BF14" s="125" t="str">
        <f>BY15</f>
        <v>Wales</v>
      </c>
      <c r="BG14" s="124"/>
      <c r="BH14" s="137">
        <f ca="1" t="shared" si="6"/>
        <v>1</v>
      </c>
      <c r="BI14" s="13" t="s">
        <v>22</v>
      </c>
      <c r="BJ14" s="136">
        <f ca="1" t="shared" si="7"/>
        <v>0</v>
      </c>
      <c r="BK14" s="9" t="s">
        <v>23</v>
      </c>
      <c r="BL14" s="1"/>
      <c r="BM14" s="11" t="str">
        <f>VLOOKUP(3,$BX$12:$CC$15,2,FALSE)</f>
        <v>Polen</v>
      </c>
      <c r="BN14" s="2">
        <f>VLOOKUP(3,$BX$12:$CC$15,3,FALSE)</f>
        <v>3</v>
      </c>
      <c r="BO14" s="2">
        <f>VLOOKUP(3,$BX$12:$CC$15,4,FALSE)</f>
        <v>1</v>
      </c>
      <c r="BP14" s="2">
        <f>VLOOKUP(3,$BX$12:$CC$15,5,FALSE)</f>
        <v>2</v>
      </c>
      <c r="BQ14" s="2">
        <f>VLOOKUP(3,$BX$12:$CC$15,6,FALSE)</f>
        <v>-1</v>
      </c>
      <c r="BS14" s="130">
        <f>IF(BJ15="",0,IF(BK15=$B$63,IF(BH15&lt;BJ15,3,IF(BH15=BJ15,1,0)),0))</f>
        <v>0</v>
      </c>
      <c r="BT14" s="130">
        <f>IF(BJ18="",0,IF(BK18=$B$63,IF(BH18&lt;BJ18,3,IF(BH18=BJ18,1,0)),0))</f>
        <v>0</v>
      </c>
      <c r="BU14" s="129"/>
      <c r="BV14" s="130">
        <f>IF(BH14="",0,IF(BK14=$B$63,IF(BH14&gt;BJ14,3,IF(BH14=BJ14,1,0)),0))</f>
        <v>3</v>
      </c>
      <c r="BW14" s="1"/>
      <c r="BX14" s="185">
        <f>RANK(CD14,CD12:CD15)+COUNTIF(CD12:CD14,CD14)-1</f>
        <v>3</v>
      </c>
      <c r="BY14" s="132" t="str">
        <f>B91</f>
        <v>Polen</v>
      </c>
      <c r="BZ14" s="1">
        <f>SUM(BS14:BV14)</f>
        <v>3</v>
      </c>
      <c r="CA14" s="1">
        <f>SUM(BS18:BV18)</f>
        <v>1</v>
      </c>
      <c r="CB14" s="1">
        <f>SUM(BU16:BU19)</f>
        <v>2</v>
      </c>
      <c r="CC14" s="1">
        <f>CA14-CB14</f>
        <v>-1</v>
      </c>
      <c r="CD14" s="33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299010003010099</v>
      </c>
      <c r="CE14" s="5"/>
      <c r="CF14" s="34">
        <f>IF($BZ14=$BZ12,$BS14-$BU12,0)</f>
        <v>0</v>
      </c>
      <c r="CG14" s="34">
        <f>IF($BZ14=$BZ13,$BT14-$BU13,0)</f>
        <v>0</v>
      </c>
      <c r="CH14" s="34"/>
      <c r="CI14" s="34">
        <f>IF($BZ14=$BZ15,$BV14-$BU15,0)</f>
        <v>3</v>
      </c>
      <c r="CJ14" s="34">
        <f>SUM(CF14:CI14)</f>
        <v>3</v>
      </c>
      <c r="CK14" s="5"/>
      <c r="CL14" s="34">
        <f>IF($BZ14=$BZ12,$BS18-$BU16,0)</f>
        <v>0</v>
      </c>
      <c r="CM14" s="34">
        <f>IF($BZ14=$BZ13,$BT18-$BU17,0)</f>
        <v>0</v>
      </c>
      <c r="CN14" s="34"/>
      <c r="CO14" s="34">
        <f>IF($BZ14=$BZ15,$BV18-$BU19,0)</f>
        <v>1</v>
      </c>
      <c r="CP14" s="34">
        <f>SUM(CL14:CO14)</f>
        <v>1</v>
      </c>
      <c r="CQ14" s="34">
        <f>IF($BZ14=$BZ12,$BS18,0)</f>
        <v>0</v>
      </c>
      <c r="CR14" s="34">
        <f>IF($BZ14=$BZ13,$BT18,0)</f>
        <v>0</v>
      </c>
      <c r="CS14" s="34"/>
      <c r="CT14" s="34">
        <f>IF($BZ14=$BZ15,$BV18,0)</f>
        <v>1</v>
      </c>
      <c r="CU14" s="34">
        <f>SUM(CQ14:CT14)</f>
        <v>1</v>
      </c>
      <c r="CV14" s="184">
        <f>IF(AND(COUNTIF(BK13:BK18,$B$63)=COUNTA(BH13:BH18),COUNTIF(BK13:BK18,$B$63)=COUNTA(BJ13:BJ18)),IF(CU14=CU12,BS18-BU16,IF(CU14=CU13,BT18-BU17,IF(CU14=CU15,BV18-BU19,2))),2)</f>
        <v>-1</v>
      </c>
    </row>
    <row r="15" spans="1:100" ht="12.75">
      <c r="A15" s="2">
        <f>A13+12</f>
        <v>15</v>
      </c>
      <c r="B15" s="7">
        <v>42537.625</v>
      </c>
      <c r="C15" s="4" t="s">
        <v>137</v>
      </c>
      <c r="D15" s="125" t="str">
        <f>Y12</f>
        <v>England</v>
      </c>
      <c r="E15" s="80" t="s">
        <v>21</v>
      </c>
      <c r="F15" s="125" t="str">
        <f>Y14</f>
        <v>Rumänien</v>
      </c>
      <c r="G15" s="124"/>
      <c r="H15" s="137">
        <f ca="1" t="shared" si="4"/>
        <v>1</v>
      </c>
      <c r="I15" s="13" t="s">
        <v>22</v>
      </c>
      <c r="J15" s="136">
        <f ca="1" t="shared" si="5"/>
        <v>0</v>
      </c>
      <c r="K15" s="9" t="s">
        <v>23</v>
      </c>
      <c r="L15" s="1"/>
      <c r="M15" s="11" t="str">
        <f>VLOOKUP(4,$X$12:$AC$15,2,FALSE)</f>
        <v>Irland</v>
      </c>
      <c r="N15" s="2">
        <f>VLOOKUP(4,$X$12:$AC$15,3,FALSE)</f>
        <v>3</v>
      </c>
      <c r="O15" s="2">
        <f>VLOOKUP(4,$X$12:$AC$15,4,FALSE)</f>
        <v>1</v>
      </c>
      <c r="P15" s="2">
        <f>VLOOKUP(4,$X$12:$AC$15,5,FALSE)</f>
        <v>2</v>
      </c>
      <c r="Q15" s="2">
        <f>VLOOKUP(4,$X$12:$AC$15,6,FALSE)</f>
        <v>-1</v>
      </c>
      <c r="S15" s="130">
        <f>IF(H17="",0,IF(K17=$B$63,IF(H17&gt;J17,3,IF(H17=J17,1,0)),0))</f>
        <v>3</v>
      </c>
      <c r="T15" s="130">
        <f>IF(J16="",0,IF(K16=$B$63,IF(H16&lt;J16,3,IF(H16=J16,1,0)),0))</f>
        <v>0</v>
      </c>
      <c r="U15" s="130">
        <f>IF(J14="",0,IF(K14=$B$63,IF(H14&lt;J14,3,IF(H14=J14,1,0)),0))</f>
        <v>0</v>
      </c>
      <c r="V15" s="129"/>
      <c r="W15" s="131"/>
      <c r="X15" s="185">
        <f>RANK(AD15,AD12:AD15)+COUNTIF(AD12:AD15,AD15)-1</f>
        <v>4</v>
      </c>
      <c r="Y15" s="132" t="str">
        <f>B96</f>
        <v>Irland</v>
      </c>
      <c r="Z15" s="131">
        <f>SUM(S15:V15)</f>
        <v>3</v>
      </c>
      <c r="AA15" s="131">
        <f>SUM(S19:V19)</f>
        <v>1</v>
      </c>
      <c r="AB15" s="131">
        <f>SUM(V16:V19)</f>
        <v>2</v>
      </c>
      <c r="AC15" s="131">
        <f>AA15-AB15</f>
        <v>-1</v>
      </c>
      <c r="AD15" s="133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299009996989999</v>
      </c>
      <c r="AE15" s="134"/>
      <c r="AF15" s="135">
        <f>IF($Z15=$Z12,$S15-$V12,0)</f>
        <v>0</v>
      </c>
      <c r="AG15" s="135">
        <f>IF($Z15=$Z13,$T15-$V13,0)</f>
        <v>0</v>
      </c>
      <c r="AH15" s="135">
        <f>IF($Z15=$Z14,$U15-$V14,0)</f>
        <v>-3</v>
      </c>
      <c r="AI15" s="135"/>
      <c r="AJ15" s="135">
        <f>SUM(AF15:AI15)</f>
        <v>-3</v>
      </c>
      <c r="AK15" s="134"/>
      <c r="AL15" s="135">
        <f>IF($Z15=$Z12,$S19-$V16,0)</f>
        <v>0</v>
      </c>
      <c r="AM15" s="135">
        <f>IF($Z15=$Z13,$T19-$V17,0)</f>
        <v>0</v>
      </c>
      <c r="AN15" s="135">
        <f>IF($Z15=$Z14,$U19-$V18,0)</f>
        <v>-1</v>
      </c>
      <c r="AO15" s="135"/>
      <c r="AP15" s="135">
        <f>SUM(AL15:AO15)</f>
        <v>-1</v>
      </c>
      <c r="AQ15" s="135">
        <f>IF($Z15=$Z12,$S19,0)</f>
        <v>0</v>
      </c>
      <c r="AR15" s="135">
        <f>IF($Z15=$Z13,$T19,0)</f>
        <v>0</v>
      </c>
      <c r="AS15" s="135">
        <f>IF($Z15=$Z14,$U19,0)</f>
        <v>0</v>
      </c>
      <c r="AT15" s="135"/>
      <c r="AU15" s="135">
        <f>SUM(AQ15:AT15)</f>
        <v>0</v>
      </c>
      <c r="AV15" s="184">
        <f>IF(AND(COUNTIF(K13:K18,$B$63)=COUNTA(H13:H18),COUNTIF(K13:K18,$B$63)=COUNTA(J13:J18)),IF(AU15=AU12,S19-V16,IF(AU15=AU13,T19-V17,IF(AU15=AU14,U19-V18,1))),1)</f>
        <v>-1</v>
      </c>
      <c r="AW15" s="133"/>
      <c r="BA15" s="2">
        <f>BA13+12</f>
        <v>21</v>
      </c>
      <c r="BB15" s="7">
        <v>42539.625</v>
      </c>
      <c r="BC15" s="4" t="s">
        <v>142</v>
      </c>
      <c r="BD15" s="125" t="str">
        <f>BY12</f>
        <v>Spanien</v>
      </c>
      <c r="BE15" s="80" t="s">
        <v>21</v>
      </c>
      <c r="BF15" s="125" t="str">
        <f>BY14</f>
        <v>Polen</v>
      </c>
      <c r="BG15" s="124"/>
      <c r="BH15" s="137">
        <f ca="1" t="shared" si="6"/>
        <v>1</v>
      </c>
      <c r="BI15" s="13" t="s">
        <v>22</v>
      </c>
      <c r="BJ15" s="136">
        <f ca="1" t="shared" si="7"/>
        <v>0</v>
      </c>
      <c r="BK15" s="9" t="s">
        <v>23</v>
      </c>
      <c r="BL15" s="1"/>
      <c r="BM15" s="11" t="str">
        <f>VLOOKUP(4,$BX$12:CC$15,2,FALSE)</f>
        <v>Wales</v>
      </c>
      <c r="BN15" s="2">
        <f>VLOOKUP(4,$BX$12:$CC$15,3,FALSE)</f>
        <v>3</v>
      </c>
      <c r="BO15" s="2">
        <f>VLOOKUP(4,$BX$12:$CC$15,4,FALSE)</f>
        <v>1</v>
      </c>
      <c r="BP15" s="2">
        <f>VLOOKUP(4,$BX$12:$CC$15,5,FALSE)</f>
        <v>2</v>
      </c>
      <c r="BQ15" s="2">
        <f>VLOOKUP(4,$BX$12:$CC$15,6,FALSE)</f>
        <v>-1</v>
      </c>
      <c r="BS15" s="130">
        <f>IF(BH17="",0,IF(BK17=$B$63,IF(BH17&gt;BJ17,3,IF(BH17=BJ17,1,0)),0))</f>
        <v>3</v>
      </c>
      <c r="BT15" s="130">
        <f>IF(BJ16="",0,IF(BK16=$B$63,IF(BH16&lt;BJ16,3,IF(BH16=BJ16,1,0)),0))</f>
        <v>0</v>
      </c>
      <c r="BU15" s="130">
        <f>IF(BJ14="",0,IF(BK14=$B$63,IF(BH14&lt;BJ14,3,IF(BH14=BJ14,1,0)),0))</f>
        <v>0</v>
      </c>
      <c r="BV15" s="129"/>
      <c r="BW15" s="1"/>
      <c r="BX15" s="185">
        <f>RANK(CD15,CD12:CD15)+COUNTIF(CD12:CD15,CD15)-1</f>
        <v>4</v>
      </c>
      <c r="BY15" s="132" t="str">
        <f>B99</f>
        <v>Wales</v>
      </c>
      <c r="BZ15" s="1">
        <f>SUM(BS15:BV15)</f>
        <v>3</v>
      </c>
      <c r="CA15" s="1">
        <f>SUM(BS19:BV19)</f>
        <v>1</v>
      </c>
      <c r="CB15" s="1">
        <f>SUM(BV16:BV19)</f>
        <v>2</v>
      </c>
      <c r="CC15" s="1">
        <f>CA15-CB15</f>
        <v>-1</v>
      </c>
      <c r="CD15" s="33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299009996989999</v>
      </c>
      <c r="CE15" s="5"/>
      <c r="CF15" s="34">
        <f>IF($BZ15=$BZ12,$BS15-$BV12,0)</f>
        <v>0</v>
      </c>
      <c r="CG15" s="34">
        <f>IF($BZ15=$BZ13,$BT15-$BV13,0)</f>
        <v>0</v>
      </c>
      <c r="CH15" s="34">
        <f>IF($BZ15=$BZ14,$BU15-$BV14,0)</f>
        <v>-3</v>
      </c>
      <c r="CI15" s="34"/>
      <c r="CJ15" s="34">
        <f>SUM(CF15:CI15)</f>
        <v>-3</v>
      </c>
      <c r="CK15" s="5"/>
      <c r="CL15" s="34">
        <f>IF($BZ15=$BZ12,$BS19-$BV16,0)</f>
        <v>0</v>
      </c>
      <c r="CM15" s="34">
        <f>IF($BZ15=$BZ13,$BT19-$BV17,0)</f>
        <v>0</v>
      </c>
      <c r="CN15" s="34">
        <f>IF($BZ15=$BZ14,$BU19-$BV18,0)</f>
        <v>-1</v>
      </c>
      <c r="CO15" s="34"/>
      <c r="CP15" s="34">
        <f>SUM(CL15:CO15)</f>
        <v>-1</v>
      </c>
      <c r="CQ15" s="34">
        <f>IF($BZ15=$BZ12,$BS19,0)</f>
        <v>0</v>
      </c>
      <c r="CR15" s="34">
        <f>IF($BZ15=$BZ13,$BT19,0)</f>
        <v>0</v>
      </c>
      <c r="CS15" s="34">
        <f>IF($BZ15=$BZ14,$BU19,0)</f>
        <v>0</v>
      </c>
      <c r="CT15" s="34"/>
      <c r="CU15" s="34">
        <f>SUM(CQ15:CT15)</f>
        <v>0</v>
      </c>
      <c r="CV15" s="184">
        <f>IF(AND(COUNTIF(BK13:BK18,$B$63)=COUNTA(BH13:BH18),COUNTIF(BK13:BK18,$B$63)=COUNTA(BJ13:BJ18)),IF(CU15=CU12,BS19-BV16,IF(CU15=CU13,BT19-BV17,IF(CU15=CU14,BU19-BV18,1))),1)</f>
        <v>-1</v>
      </c>
    </row>
    <row r="16" spans="1:100" ht="12.75">
      <c r="A16" s="2">
        <f>A14+12</f>
        <v>16</v>
      </c>
      <c r="B16" s="4">
        <v>42536.625</v>
      </c>
      <c r="C16" s="4" t="s">
        <v>140</v>
      </c>
      <c r="D16" s="125" t="str">
        <f>Y13</f>
        <v>Kroatien</v>
      </c>
      <c r="E16" s="80" t="s">
        <v>21</v>
      </c>
      <c r="F16" s="125" t="str">
        <f>Y15</f>
        <v>Irland</v>
      </c>
      <c r="G16" s="124"/>
      <c r="H16" s="137">
        <f ca="1" t="shared" si="4"/>
        <v>1</v>
      </c>
      <c r="I16" s="13" t="s">
        <v>22</v>
      </c>
      <c r="J16" s="136">
        <f ca="1" t="shared" si="5"/>
        <v>0</v>
      </c>
      <c r="K16" s="9" t="s">
        <v>23</v>
      </c>
      <c r="L16" s="1"/>
      <c r="N16" s="1"/>
      <c r="O16" s="1"/>
      <c r="P16" s="1"/>
      <c r="S16" s="129"/>
      <c r="T16" s="130">
        <f>IF(K13=$B$63,H13,0)</f>
        <v>1</v>
      </c>
      <c r="U16" s="130">
        <f>IF(K15=$B$63,H15,0)</f>
        <v>1</v>
      </c>
      <c r="V16" s="130">
        <f>IF(K17=$B$63,J17,0)</f>
        <v>0</v>
      </c>
      <c r="W16" s="131"/>
      <c r="X16" s="131"/>
      <c r="Y16" s="131"/>
      <c r="Z16" s="131"/>
      <c r="AA16" s="131"/>
      <c r="AB16" s="131"/>
      <c r="AC16" s="131"/>
      <c r="AD16" s="138"/>
      <c r="AE16" s="139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V16" s="135"/>
      <c r="AW16" s="133"/>
      <c r="BA16" s="2">
        <f>BA14+12</f>
        <v>22</v>
      </c>
      <c r="BB16" s="7">
        <v>42538.625</v>
      </c>
      <c r="BC16" s="4" t="s">
        <v>144</v>
      </c>
      <c r="BD16" s="125" t="str">
        <f>BY13</f>
        <v>Ukraine</v>
      </c>
      <c r="BE16" s="80" t="s">
        <v>21</v>
      </c>
      <c r="BF16" s="125" t="str">
        <f>BY15</f>
        <v>Wales</v>
      </c>
      <c r="BG16" s="124"/>
      <c r="BH16" s="137">
        <f ca="1" t="shared" si="6"/>
        <v>1</v>
      </c>
      <c r="BI16" s="13" t="s">
        <v>22</v>
      </c>
      <c r="BJ16" s="136">
        <f ca="1" t="shared" si="7"/>
        <v>0</v>
      </c>
      <c r="BK16" s="9" t="s">
        <v>23</v>
      </c>
      <c r="BL16" s="1"/>
      <c r="BN16" s="1"/>
      <c r="BO16" s="1"/>
      <c r="BP16" s="1"/>
      <c r="BS16" s="129"/>
      <c r="BT16" s="130">
        <f>IF(BK13=$B$63,BH13,0)</f>
        <v>1</v>
      </c>
      <c r="BU16" s="130">
        <f>IF(BK15=$B$63,BH15,0)</f>
        <v>1</v>
      </c>
      <c r="BV16" s="130">
        <f>IF(BK17=$B$63,BJ17,0)</f>
        <v>0</v>
      </c>
      <c r="BW16" s="1"/>
      <c r="BX16" s="1"/>
      <c r="BY16" s="131"/>
      <c r="BZ16" s="1"/>
      <c r="CA16" s="1"/>
      <c r="CB16" s="1"/>
      <c r="CC16" s="1"/>
      <c r="CD16" s="6"/>
      <c r="CE16" s="9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V16" s="34"/>
    </row>
    <row r="17" spans="1:100" ht="12.75">
      <c r="A17" s="2">
        <f>A15+12</f>
        <v>27</v>
      </c>
      <c r="B17" s="7">
        <v>42541.875</v>
      </c>
      <c r="C17" s="4" t="s">
        <v>143</v>
      </c>
      <c r="D17" s="125" t="str">
        <f>Y15</f>
        <v>Irland</v>
      </c>
      <c r="E17" s="80" t="s">
        <v>21</v>
      </c>
      <c r="F17" s="125" t="str">
        <f>Y12</f>
        <v>England</v>
      </c>
      <c r="G17" s="123"/>
      <c r="H17" s="136">
        <f ca="1" t="shared" si="4"/>
        <v>1</v>
      </c>
      <c r="I17" s="13" t="s">
        <v>22</v>
      </c>
      <c r="J17" s="137">
        <f ca="1" t="shared" si="5"/>
        <v>0</v>
      </c>
      <c r="K17" s="9" t="s">
        <v>23</v>
      </c>
      <c r="M17" s="71" t="str">
        <f>IF(N12&gt;0,M12,"")</f>
        <v>England</v>
      </c>
      <c r="N17" s="2" t="s">
        <v>27</v>
      </c>
      <c r="P17" s="51"/>
      <c r="S17" s="130">
        <f>IF(K13=$B$63,J13,0)</f>
        <v>0</v>
      </c>
      <c r="T17" s="129"/>
      <c r="U17" s="130">
        <f>IF(K18=$B$63,H18,0)</f>
        <v>1</v>
      </c>
      <c r="V17" s="130">
        <f>IF(K16=$B$63,H16,0)</f>
        <v>1</v>
      </c>
      <c r="AD17" s="123" t="s">
        <v>119</v>
      </c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V17" s="141"/>
      <c r="AW17" s="133"/>
      <c r="BA17" s="2">
        <f>BA15+12</f>
        <v>33</v>
      </c>
      <c r="BB17" s="7">
        <v>42543.875</v>
      </c>
      <c r="BC17" s="4" t="s">
        <v>145</v>
      </c>
      <c r="BD17" s="125" t="str">
        <f>BY15</f>
        <v>Wales</v>
      </c>
      <c r="BE17" s="80" t="s">
        <v>21</v>
      </c>
      <c r="BF17" s="125" t="str">
        <f>BY12</f>
        <v>Spanien</v>
      </c>
      <c r="BG17" s="123"/>
      <c r="BH17" s="136">
        <f ca="1" t="shared" si="6"/>
        <v>1</v>
      </c>
      <c r="BI17" s="13" t="s">
        <v>22</v>
      </c>
      <c r="BJ17" s="137">
        <f ca="1" t="shared" si="7"/>
        <v>0</v>
      </c>
      <c r="BK17" s="9" t="s">
        <v>23</v>
      </c>
      <c r="BM17" s="74" t="str">
        <f>IF(BN12&gt;0,BM12,"")</f>
        <v>Spanien</v>
      </c>
      <c r="BN17" s="2" t="s">
        <v>36</v>
      </c>
      <c r="BP17" s="51"/>
      <c r="BS17" s="130">
        <f>IF(BK13=$B$63,BJ13,0)</f>
        <v>0</v>
      </c>
      <c r="BT17" s="129"/>
      <c r="BU17" s="130">
        <f>IF(BK18=$B$63,BH18,0)</f>
        <v>1</v>
      </c>
      <c r="BV17" s="130">
        <f>IF(BK16=$B$63,BH16,0)</f>
        <v>1</v>
      </c>
      <c r="CD17" s="2" t="s">
        <v>119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V17" s="35"/>
    </row>
    <row r="18" spans="1:100" ht="12.75">
      <c r="A18" s="2">
        <f>A16+12</f>
        <v>28</v>
      </c>
      <c r="B18" s="7">
        <v>42541.875</v>
      </c>
      <c r="C18" s="4" t="s">
        <v>144</v>
      </c>
      <c r="D18" s="125" t="str">
        <f>Y13</f>
        <v>Kroatien</v>
      </c>
      <c r="E18" s="80" t="s">
        <v>21</v>
      </c>
      <c r="F18" s="125" t="str">
        <f>Y14</f>
        <v>Rumänien</v>
      </c>
      <c r="G18" s="123"/>
      <c r="H18" s="137">
        <f ca="1" t="shared" si="4"/>
        <v>1</v>
      </c>
      <c r="I18" s="13" t="s">
        <v>22</v>
      </c>
      <c r="J18" s="137">
        <f ca="1" t="shared" si="5"/>
        <v>0</v>
      </c>
      <c r="K18" s="9" t="s">
        <v>23</v>
      </c>
      <c r="M18" s="71" t="str">
        <f>IF(N13&gt;0,M13,"")</f>
        <v>Kroatien</v>
      </c>
      <c r="N18" s="2" t="s">
        <v>28</v>
      </c>
      <c r="O18" s="52"/>
      <c r="P18" s="53"/>
      <c r="S18" s="130">
        <f>IF(K15=$B$63,J15,0)</f>
        <v>0</v>
      </c>
      <c r="T18" s="130">
        <f>IF(K18=$B$63,J18,0)</f>
        <v>0</v>
      </c>
      <c r="U18" s="129"/>
      <c r="V18" s="130">
        <f>IF(K14=$B$63,H14,0)</f>
        <v>1</v>
      </c>
      <c r="AD18" s="123" t="s">
        <v>120</v>
      </c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V18" s="141"/>
      <c r="AW18" s="133"/>
      <c r="BA18" s="2">
        <f>BA16+12</f>
        <v>34</v>
      </c>
      <c r="BB18" s="7">
        <v>42543.875</v>
      </c>
      <c r="BC18" s="4" t="s">
        <v>140</v>
      </c>
      <c r="BD18" s="125" t="str">
        <f>BY13</f>
        <v>Ukraine</v>
      </c>
      <c r="BE18" s="80" t="s">
        <v>21</v>
      </c>
      <c r="BF18" s="125" t="str">
        <f>BY14</f>
        <v>Polen</v>
      </c>
      <c r="BG18" s="123"/>
      <c r="BH18" s="137">
        <f ca="1" t="shared" si="6"/>
        <v>1</v>
      </c>
      <c r="BI18" s="13" t="s">
        <v>22</v>
      </c>
      <c r="BJ18" s="137">
        <f ca="1" t="shared" si="7"/>
        <v>0</v>
      </c>
      <c r="BK18" s="9" t="s">
        <v>23</v>
      </c>
      <c r="BM18" s="74" t="str">
        <f>IF(BN13&gt;0,BM13,"")</f>
        <v>Ukraine</v>
      </c>
      <c r="BN18" s="2" t="s">
        <v>37</v>
      </c>
      <c r="BO18" s="52"/>
      <c r="BP18" s="53"/>
      <c r="BS18" s="130">
        <f>IF(BK15=$B$63,BJ15,0)</f>
        <v>0</v>
      </c>
      <c r="BT18" s="130">
        <f>IF(BK18=$B$63,BJ18,0)</f>
        <v>0</v>
      </c>
      <c r="BU18" s="129"/>
      <c r="BV18" s="130">
        <f>IF(BK14=$B$63,BH14,0)</f>
        <v>1</v>
      </c>
      <c r="CD18" s="2" t="s">
        <v>120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V18" s="35"/>
    </row>
    <row r="19" spans="4:100" ht="12.75">
      <c r="D19" s="123"/>
      <c r="E19" s="123"/>
      <c r="F19" s="123"/>
      <c r="G19" s="123"/>
      <c r="M19" s="71" t="str">
        <f>IF(N14&gt;0,M14,"")</f>
        <v>Rumänien</v>
      </c>
      <c r="N19" s="2" t="s">
        <v>76</v>
      </c>
      <c r="S19" s="130">
        <f>IF(K17=$B$63,H17,0)</f>
        <v>1</v>
      </c>
      <c r="T19" s="130">
        <f>IF(K16=$B$63,J16,0)</f>
        <v>0</v>
      </c>
      <c r="U19" s="130">
        <f>IF(K14=$B$63,J14,0)</f>
        <v>0</v>
      </c>
      <c r="V19" s="129"/>
      <c r="AD19" s="2" t="s">
        <v>200</v>
      </c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V19" s="141"/>
      <c r="AW19" s="133"/>
      <c r="BB19" s="2" t="s">
        <v>2</v>
      </c>
      <c r="BD19" s="123"/>
      <c r="BE19" s="123"/>
      <c r="BF19" s="123"/>
      <c r="BG19" s="123"/>
      <c r="BM19" s="74" t="str">
        <f>IF(BN14&gt;0,BM14,"")</f>
        <v>Polen</v>
      </c>
      <c r="BN19" s="2" t="s">
        <v>77</v>
      </c>
      <c r="BS19" s="130">
        <f>IF(BK17=$B$63,BH17,0)</f>
        <v>1</v>
      </c>
      <c r="BT19" s="130">
        <f>IF(BK16=$B$63,BJ16,0)</f>
        <v>0</v>
      </c>
      <c r="BU19" s="130">
        <f>IF(BK14=$B$63,BJ14,0)</f>
        <v>0</v>
      </c>
      <c r="BV19" s="129"/>
      <c r="CD19" s="2" t="s">
        <v>200</v>
      </c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V19" s="35"/>
    </row>
    <row r="20" spans="4:100" ht="6" customHeight="1">
      <c r="D20" s="123"/>
      <c r="E20" s="126"/>
      <c r="F20" s="128"/>
      <c r="G20" s="128"/>
      <c r="H20" s="123"/>
      <c r="I20" s="123"/>
      <c r="J20" s="123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V20" s="141"/>
      <c r="AW20" s="133"/>
      <c r="BD20" s="123"/>
      <c r="BE20" s="126"/>
      <c r="BF20" s="128"/>
      <c r="BG20" s="128"/>
      <c r="BH20" s="123"/>
      <c r="BI20" s="123"/>
      <c r="BJ20" s="123"/>
      <c r="BS20" s="123"/>
      <c r="BT20" s="123"/>
      <c r="BU20" s="123"/>
      <c r="BV20" s="123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V20" s="35"/>
    </row>
    <row r="21" spans="2:100" s="12" customFormat="1" ht="12.75">
      <c r="B21" s="49" t="s">
        <v>0</v>
      </c>
      <c r="C21" s="40" t="s">
        <v>29</v>
      </c>
      <c r="D21" s="124" t="s">
        <v>2</v>
      </c>
      <c r="E21" s="142"/>
      <c r="F21" s="124"/>
      <c r="G21" s="124"/>
      <c r="H21" s="28"/>
      <c r="I21" s="27"/>
      <c r="J21" s="28"/>
      <c r="K21" s="29"/>
      <c r="L21" s="24"/>
      <c r="M21" s="69" t="s">
        <v>3</v>
      </c>
      <c r="N21" s="24" t="s">
        <v>4</v>
      </c>
      <c r="O21" s="24" t="s">
        <v>5</v>
      </c>
      <c r="P21" s="24" t="s">
        <v>6</v>
      </c>
      <c r="Q21" s="24" t="s">
        <v>7</v>
      </c>
      <c r="R21" s="24"/>
      <c r="S21" s="123"/>
      <c r="T21" s="123"/>
      <c r="U21" s="123"/>
      <c r="V21" s="123"/>
      <c r="W21" s="124"/>
      <c r="X21" s="124" t="s">
        <v>8</v>
      </c>
      <c r="Y21" s="125" t="s">
        <v>9</v>
      </c>
      <c r="Z21" s="124" t="s">
        <v>4</v>
      </c>
      <c r="AA21" s="124" t="s">
        <v>5</v>
      </c>
      <c r="AB21" s="124" t="s">
        <v>6</v>
      </c>
      <c r="AC21" s="124" t="s">
        <v>7</v>
      </c>
      <c r="AD21" s="124"/>
      <c r="AE21" s="27" t="s">
        <v>10</v>
      </c>
      <c r="AF21" s="80" t="s">
        <v>11</v>
      </c>
      <c r="AG21" s="80"/>
      <c r="AH21" s="80"/>
      <c r="AI21" s="80"/>
      <c r="AJ21" s="80" t="s">
        <v>12</v>
      </c>
      <c r="AK21" s="125" t="s">
        <v>13</v>
      </c>
      <c r="AL21" s="80" t="s">
        <v>14</v>
      </c>
      <c r="AM21" s="80"/>
      <c r="AN21" s="80"/>
      <c r="AO21" s="80"/>
      <c r="AP21" s="80" t="s">
        <v>15</v>
      </c>
      <c r="AQ21" s="80" t="s">
        <v>16</v>
      </c>
      <c r="AR21" s="80"/>
      <c r="AS21" s="80"/>
      <c r="AT21" s="80"/>
      <c r="AU21" s="126" t="s">
        <v>17</v>
      </c>
      <c r="AV21" s="125" t="s">
        <v>18</v>
      </c>
      <c r="AW21" s="127"/>
      <c r="AX21" s="128"/>
      <c r="AY21" s="128"/>
      <c r="AZ21" s="128"/>
      <c r="BB21" s="64" t="s">
        <v>0</v>
      </c>
      <c r="BC21" s="65" t="s">
        <v>38</v>
      </c>
      <c r="BD21" s="124" t="s">
        <v>2</v>
      </c>
      <c r="BE21" s="142"/>
      <c r="BF21" s="124"/>
      <c r="BG21" s="124"/>
      <c r="BH21" s="28"/>
      <c r="BI21" s="27"/>
      <c r="BJ21" s="28"/>
      <c r="BK21" s="29"/>
      <c r="BL21" s="24"/>
      <c r="BM21" s="69" t="s">
        <v>3</v>
      </c>
      <c r="BN21" s="24" t="s">
        <v>4</v>
      </c>
      <c r="BO21" s="24" t="s">
        <v>5</v>
      </c>
      <c r="BP21" s="24" t="s">
        <v>6</v>
      </c>
      <c r="BQ21" s="24" t="s">
        <v>7</v>
      </c>
      <c r="BR21" s="24"/>
      <c r="BS21" s="123"/>
      <c r="BT21" s="123"/>
      <c r="BU21" s="123"/>
      <c r="BV21" s="123"/>
      <c r="BW21" s="24"/>
      <c r="BX21" s="24" t="s">
        <v>8</v>
      </c>
      <c r="BY21" s="125" t="s">
        <v>9</v>
      </c>
      <c r="BZ21" s="24" t="s">
        <v>4</v>
      </c>
      <c r="CA21" s="24" t="s">
        <v>5</v>
      </c>
      <c r="CB21" s="24" t="s">
        <v>6</v>
      </c>
      <c r="CC21" s="24" t="s">
        <v>7</v>
      </c>
      <c r="CD21" s="24"/>
      <c r="CE21" s="29" t="s">
        <v>10</v>
      </c>
      <c r="CF21" s="22" t="s">
        <v>11</v>
      </c>
      <c r="CG21" s="22"/>
      <c r="CH21" s="22"/>
      <c r="CI21" s="22"/>
      <c r="CJ21" s="22" t="s">
        <v>12</v>
      </c>
      <c r="CK21" s="30" t="s">
        <v>13</v>
      </c>
      <c r="CL21" s="22" t="s">
        <v>14</v>
      </c>
      <c r="CM21" s="22"/>
      <c r="CN21" s="22"/>
      <c r="CO21" s="22"/>
      <c r="CP21" s="22" t="s">
        <v>15</v>
      </c>
      <c r="CQ21" s="22" t="s">
        <v>16</v>
      </c>
      <c r="CR21" s="22"/>
      <c r="CS21" s="22"/>
      <c r="CT21" s="22"/>
      <c r="CU21" s="23" t="s">
        <v>17</v>
      </c>
      <c r="CV21" s="30" t="s">
        <v>18</v>
      </c>
    </row>
    <row r="22" spans="2:100" ht="12.75">
      <c r="B22" s="3" t="s">
        <v>19</v>
      </c>
      <c r="C22" s="3" t="s">
        <v>20</v>
      </c>
      <c r="D22" s="123"/>
      <c r="E22" s="123"/>
      <c r="F22" s="123"/>
      <c r="G22" s="123"/>
      <c r="L22" s="1"/>
      <c r="M22" s="11" t="str">
        <f>VLOOKUP(1,$X$22:$AC$25,2,FALSE)</f>
        <v>Portugal</v>
      </c>
      <c r="N22" s="2">
        <f>VLOOKUP(1,$X$22:$AC$25,3,FALSE)</f>
        <v>6</v>
      </c>
      <c r="O22" s="2">
        <f>VLOOKUP(1,$X$22:$AC$25,4,FALSE)</f>
        <v>2</v>
      </c>
      <c r="P22" s="2">
        <f>VLOOKUP(1,$X$22:$AC$25,5,FALSE)</f>
        <v>1</v>
      </c>
      <c r="Q22" s="2">
        <f>VLOOKUP(1,$X$22:$AC$25,6,FALSE)</f>
        <v>1</v>
      </c>
      <c r="S22" s="129"/>
      <c r="T22" s="130">
        <f>IF(H23="",0,IF(K23=$B$63,IF(H23&gt;J23,3,IF(H23=J23,1,0)),0))</f>
        <v>3</v>
      </c>
      <c r="U22" s="130">
        <f>IF(H25="",0,IF(K25=$B$63,IF(H25&gt;J25,3,IF(H25=J25,1,0)),0))</f>
        <v>3</v>
      </c>
      <c r="V22" s="130">
        <f>IF(J27="",0,IF(K27=$B$63,IF(H27&lt;J27,3,IF(H27=J27,1,0)),0))</f>
        <v>0</v>
      </c>
      <c r="W22" s="131"/>
      <c r="X22" s="185">
        <f>RANK(AD22,AD22:AD25)+COUNTIF(AD22:AD22,AD22)-1</f>
        <v>1</v>
      </c>
      <c r="Y22" s="132" t="str">
        <f>B73</f>
        <v>Portugal</v>
      </c>
      <c r="Z22" s="131">
        <f>SUM(S22:V22)</f>
        <v>6</v>
      </c>
      <c r="AA22" s="131">
        <f>SUM(S26:V26)</f>
        <v>2</v>
      </c>
      <c r="AB22" s="131">
        <f>SUM(S26:S29)</f>
        <v>1</v>
      </c>
      <c r="AC22" s="131">
        <f>AA22-AB22</f>
        <v>1</v>
      </c>
      <c r="AD22" s="133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601020003010101</v>
      </c>
      <c r="AE22" s="134"/>
      <c r="AF22" s="135"/>
      <c r="AG22" s="135">
        <f>IF($Z22=$Z23,$T22-$S23,0)</f>
        <v>3</v>
      </c>
      <c r="AH22" s="135">
        <f>IF($Z22=$Z24,$U22-$S24,0)</f>
        <v>0</v>
      </c>
      <c r="AI22" s="135">
        <f>IF($Z22=$Z25,$V22-$S25,0)</f>
        <v>0</v>
      </c>
      <c r="AJ22" s="135">
        <f>SUM(AF22:AI22)</f>
        <v>3</v>
      </c>
      <c r="AK22" s="134"/>
      <c r="AL22" s="135"/>
      <c r="AM22" s="135">
        <f>IF($Z22=$Z23,$T26-$S27,0)</f>
        <v>1</v>
      </c>
      <c r="AN22" s="135">
        <f>IF($Z22=$Z24,$U26-$S28,0)</f>
        <v>0</v>
      </c>
      <c r="AO22" s="135">
        <f>IF($Z22=$Z25,$V26-$S29,0)</f>
        <v>0</v>
      </c>
      <c r="AP22" s="135">
        <f>SUM(AL22:AO22)</f>
        <v>1</v>
      </c>
      <c r="AQ22" s="135"/>
      <c r="AR22" s="135">
        <f>IF($Z22=$Z23,$T26,0)</f>
        <v>1</v>
      </c>
      <c r="AS22" s="135">
        <f>IF($Z22=$Z24,$U26,0)</f>
        <v>0</v>
      </c>
      <c r="AT22" s="135">
        <f>IF($Z22=$Z25,$V26,0)</f>
        <v>0</v>
      </c>
      <c r="AU22" s="135">
        <f>SUM(AQ22:AT22)</f>
        <v>1</v>
      </c>
      <c r="AV22" s="184">
        <f>IF(AND(COUNTIF(K23:K28,$B$63)=COUNTA(H23:H28),COUNTIF(K23:K28,$B$63)=COUNTA(J23:J28)),IF(AU22=AU23,T26-S27,IF(AU22=AU24,U26-S28,IF(AU22=AU25,V26-S29,4))),4)</f>
        <v>1</v>
      </c>
      <c r="AW22" s="133"/>
      <c r="BB22" s="3" t="s">
        <v>19</v>
      </c>
      <c r="BC22" s="3" t="s">
        <v>20</v>
      </c>
      <c r="BD22" s="123"/>
      <c r="BE22" s="123"/>
      <c r="BF22" s="123"/>
      <c r="BG22" s="123"/>
      <c r="BL22" s="1"/>
      <c r="BM22" s="11" t="str">
        <f>VLOOKUP(1,$BX$22:$CC$25,2,FALSE)</f>
        <v>Deutschland</v>
      </c>
      <c r="BN22" s="2">
        <f>VLOOKUP(1,$BX$22:$CC$25,3,FALSE)</f>
        <v>6</v>
      </c>
      <c r="BO22" s="2">
        <f>VLOOKUP(1,$BX$22:$CC$25,4,FALSE)</f>
        <v>2</v>
      </c>
      <c r="BP22" s="2">
        <f>VLOOKUP(1,$BX$22:$CC$25,5,FALSE)</f>
        <v>1</v>
      </c>
      <c r="BQ22" s="2">
        <f>VLOOKUP(1,$BX$22:$CC$25,6,FALSE)</f>
        <v>1</v>
      </c>
      <c r="BS22" s="129"/>
      <c r="BT22" s="130">
        <f>IF(BH23="",0,IF(BK23=$B$63,IF(BH23&gt;BJ23,3,IF(BH23=BJ23,1,0)),0))</f>
        <v>3</v>
      </c>
      <c r="BU22" s="130">
        <f>IF(BH25="",0,IF(BK25=$B$63,IF(BH25&gt;BJ25,3,IF(BH25=BJ25,1,0)),0))</f>
        <v>3</v>
      </c>
      <c r="BV22" s="130">
        <f>IF(BJ27="",0,IF(BK27=$B$63,IF(BH27&lt;BJ27,3,IF(BH27=BJ27,1,0)),0))</f>
        <v>0</v>
      </c>
      <c r="BW22" s="1"/>
      <c r="BX22" s="185">
        <f>RANK(CD22,CD22:CD25)+COUNTIF(CD22:CD22,CD22)-1</f>
        <v>1</v>
      </c>
      <c r="BY22" s="132" t="str">
        <f>B76</f>
        <v>Deutschland</v>
      </c>
      <c r="BZ22" s="1">
        <f>SUM(BS22:BV22)</f>
        <v>6</v>
      </c>
      <c r="CA22" s="1">
        <f>SUM(BS26:BV26)</f>
        <v>2</v>
      </c>
      <c r="CB22" s="1">
        <f>SUM(BS26:BS29)</f>
        <v>1</v>
      </c>
      <c r="CC22" s="1">
        <f>CA22-CB22</f>
        <v>1</v>
      </c>
      <c r="CD22" s="33">
        <f>IF(BP$28="",CE22*10000000000000000+BZ22*100000000000000+CC22*1000000000000+CA22*10000000000+CK22*100000000+CJ22*1000000+CP22*10000+CU22*100+CV22,CE22*10000000000000000+BZ22*100000000000000+CK22*1000000000000+CJ22*10000000000+CP22*100000000+CU22*1000000+CC22*10000+CA22*100+CV22)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601020003010101</v>
      </c>
      <c r="CE22" s="5"/>
      <c r="CF22" s="34"/>
      <c r="CG22" s="34">
        <f>IF($BZ22=$BZ23,$BT22-$BS23,0)</f>
        <v>3</v>
      </c>
      <c r="CH22" s="34">
        <f>IF($BZ22=$BZ24,$BU22-$BS24,0)</f>
        <v>0</v>
      </c>
      <c r="CI22" s="34">
        <f>IF($BZ22=$BZ25,$BV22-$BS25,0)</f>
        <v>0</v>
      </c>
      <c r="CJ22" s="34">
        <f>SUM(CF22:CI22)</f>
        <v>3</v>
      </c>
      <c r="CK22" s="5"/>
      <c r="CL22" s="34"/>
      <c r="CM22" s="34">
        <f>IF($BZ22=$BZ23,$BT26-$BS27,0)</f>
        <v>1</v>
      </c>
      <c r="CN22" s="34">
        <f>IF($BZ22=$BZ24,$BU26-$BS28,0)</f>
        <v>0</v>
      </c>
      <c r="CO22" s="34">
        <f>IF($BZ22=$BZ25,$BV26-$BS29,0)</f>
        <v>0</v>
      </c>
      <c r="CP22" s="34">
        <f>SUM(CL22:CO22)</f>
        <v>1</v>
      </c>
      <c r="CQ22" s="34"/>
      <c r="CR22" s="34">
        <f>IF($BZ22=$BZ23,$BT26,0)</f>
        <v>1</v>
      </c>
      <c r="CS22" s="34">
        <f>IF($BZ22=$BZ24,$BU26,0)</f>
        <v>0</v>
      </c>
      <c r="CT22" s="34">
        <f>IF($BZ22=$BZ25,$BV26,0)</f>
        <v>0</v>
      </c>
      <c r="CU22" s="34">
        <f>SUM(CQ22:CT22)</f>
        <v>1</v>
      </c>
      <c r="CV22" s="184">
        <f>IF(AND(COUNTIF(BK23:BK28,$B$63)=COUNTA(BH23:BH28),COUNTIF(BK23:BK28,$B$63)=COUNTA(BJ23:BJ28)),IF(CU22=CU23,BT26-BS27,IF(CU22=CU24,BU26-BS28,IF(CU22=CU25,BV26-BS29,4))),4)</f>
        <v>1</v>
      </c>
    </row>
    <row r="23" spans="1:100" ht="12.75">
      <c r="A23" s="2">
        <v>5</v>
      </c>
      <c r="B23" s="7">
        <v>42533.875</v>
      </c>
      <c r="C23" s="4" t="s">
        <v>140</v>
      </c>
      <c r="D23" s="125" t="str">
        <f>Y22</f>
        <v>Portugal</v>
      </c>
      <c r="E23" s="80" t="s">
        <v>21</v>
      </c>
      <c r="F23" s="125" t="str">
        <f>Y23</f>
        <v>Italien</v>
      </c>
      <c r="G23" s="124"/>
      <c r="H23" s="136">
        <f aca="true" ca="1" t="shared" si="8" ref="H23:H28">IF($B$64="",1,INT(RAND()*5)+INT(RAND()*3)*INT(RAND()*2))</f>
        <v>1</v>
      </c>
      <c r="I23" s="13" t="s">
        <v>22</v>
      </c>
      <c r="J23" s="136">
        <f aca="true" ca="1" t="shared" si="9" ref="J23:J28">IF($B$64="",0,INT(RAND()*5)+INT(RAND()*3)*INT(RAND()*2))</f>
        <v>0</v>
      </c>
      <c r="K23" s="9" t="s">
        <v>23</v>
      </c>
      <c r="L23" s="1"/>
      <c r="M23" s="11" t="str">
        <f>VLOOKUP(2,$X$22:$AC$25,2,FALSE)</f>
        <v>Italien</v>
      </c>
      <c r="N23" s="2">
        <f>VLOOKUP(2,$X$22:$AC$25,3,FALSE)</f>
        <v>6</v>
      </c>
      <c r="O23" s="2">
        <f>VLOOKUP(2,$X$22:$AC$25,4,FALSE)</f>
        <v>2</v>
      </c>
      <c r="P23" s="2">
        <f>VLOOKUP(2,$X$22:$AC$25,5,FALSE)</f>
        <v>1</v>
      </c>
      <c r="Q23" s="2">
        <f>VLOOKUP(2,$X$22:$AC$25,6,FALSE)</f>
        <v>1</v>
      </c>
      <c r="S23" s="130">
        <f>IF(J23="",0,IF(K23=$B$63,IF(H23&lt;J23,3,IF(H23=J23,1,0)),0))</f>
        <v>0</v>
      </c>
      <c r="T23" s="129"/>
      <c r="U23" s="130">
        <f>IF(H28="",0,IF(K28=$B$63,IF(H28&gt;J28,3,IF(H28=J28,1,0)),0))</f>
        <v>3</v>
      </c>
      <c r="V23" s="130">
        <f>IF(H26="",0,IF(K26=$B$63,IF(H26&gt;J26,3,IF(H26=J26,1,0)),0))</f>
        <v>3</v>
      </c>
      <c r="W23" s="131"/>
      <c r="X23" s="185">
        <f>RANK(AD23,AD22:AD25)+COUNTIF(AD22:AD23,AD23)-1</f>
        <v>2</v>
      </c>
      <c r="Y23" s="132" t="str">
        <f>B81</f>
        <v>Italien</v>
      </c>
      <c r="Z23" s="131">
        <f>SUM(S23:V23)</f>
        <v>6</v>
      </c>
      <c r="AA23" s="131">
        <f>SUM(S27:V27)</f>
        <v>2</v>
      </c>
      <c r="AB23" s="131">
        <f>SUM(T26:T29)</f>
        <v>1</v>
      </c>
      <c r="AC23" s="131">
        <f>AA23-AB23</f>
        <v>1</v>
      </c>
      <c r="AD23" s="133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601019996990001</v>
      </c>
      <c r="AE23" s="134"/>
      <c r="AF23" s="135">
        <f>IF($Z23=$Z22,$S23-$T22,0)</f>
        <v>-3</v>
      </c>
      <c r="AG23" s="135"/>
      <c r="AH23" s="135">
        <f>IF($Z23=$Z24,$U23-$T24,0)</f>
        <v>0</v>
      </c>
      <c r="AI23" s="135">
        <f>IF($Z23=$Z25,$V23-$T25,0)</f>
        <v>0</v>
      </c>
      <c r="AJ23" s="135">
        <f>SUM(AF23:AI23)</f>
        <v>-3</v>
      </c>
      <c r="AK23" s="134"/>
      <c r="AL23" s="135">
        <f>IF($Z23=$Z22,$S27-$T26,0)</f>
        <v>-1</v>
      </c>
      <c r="AM23" s="135"/>
      <c r="AN23" s="135">
        <f>IF($Z23=$Z24,$U27-$T28,0)</f>
        <v>0</v>
      </c>
      <c r="AO23" s="135">
        <f>IF($Z23=$Z25,$V27-$T29,0)</f>
        <v>0</v>
      </c>
      <c r="AP23" s="135">
        <f>SUM(AL23:AO23)</f>
        <v>-1</v>
      </c>
      <c r="AQ23" s="135">
        <f>IF($Z23=$Z22,$S27,0)</f>
        <v>0</v>
      </c>
      <c r="AR23" s="135"/>
      <c r="AS23" s="135">
        <f>IF($Z23=$Z24,$U27,0)</f>
        <v>0</v>
      </c>
      <c r="AT23" s="135">
        <f>IF($Z23=$Z25,$V27,0)</f>
        <v>0</v>
      </c>
      <c r="AU23" s="135">
        <f>SUM(AQ23:AT23)</f>
        <v>0</v>
      </c>
      <c r="AV23" s="184">
        <f>IF(AND(COUNTIF(K23:K28,$B$63)=COUNTA(H23:H28),COUNTIF(K23:K28,$B$63)=COUNTA(J23:J28)),IF(AU23=AU22,S27-T26,IF(AU23=AU24,U27-T28,IF(AU23=AU25,V27-T29,3))),3)</f>
        <v>1</v>
      </c>
      <c r="AW23" s="133"/>
      <c r="BA23" s="2">
        <v>11</v>
      </c>
      <c r="BB23" s="7">
        <v>42535.875</v>
      </c>
      <c r="BC23" s="4" t="s">
        <v>143</v>
      </c>
      <c r="BD23" s="125" t="str">
        <f>BY22</f>
        <v>Deutschland</v>
      </c>
      <c r="BE23" s="80" t="s">
        <v>21</v>
      </c>
      <c r="BF23" s="125" t="str">
        <f>BY23</f>
        <v>Schweiz</v>
      </c>
      <c r="BG23" s="124"/>
      <c r="BH23" s="136">
        <f aca="true" ca="1" t="shared" si="10" ref="BH23:BH28">IF($B$64="",1,INT(RAND()*5)+INT(RAND()*3)*INT(RAND()*2))</f>
        <v>1</v>
      </c>
      <c r="BI23" s="13" t="s">
        <v>22</v>
      </c>
      <c r="BJ23" s="136">
        <f aca="true" ca="1" t="shared" si="11" ref="BJ23:BJ28">IF($B$64="",0,INT(RAND()*5)+INT(RAND()*3)*INT(RAND()*2))</f>
        <v>0</v>
      </c>
      <c r="BK23" s="9" t="s">
        <v>23</v>
      </c>
      <c r="BL23" s="1"/>
      <c r="BM23" s="11" t="str">
        <f>VLOOKUP(2,$BX$22:$CC$25,2,FALSE)</f>
        <v>Schweiz</v>
      </c>
      <c r="BN23" s="2">
        <f>VLOOKUP(2,$BX$22:$CC$25,3,FALSE)</f>
        <v>6</v>
      </c>
      <c r="BO23" s="2">
        <f>VLOOKUP(2,$BX$22:$CC$25,4,FALSE)</f>
        <v>2</v>
      </c>
      <c r="BP23" s="2">
        <f>VLOOKUP(2,$BX$22:$CC$25,5,FALSE)</f>
        <v>1</v>
      </c>
      <c r="BQ23" s="2">
        <f>VLOOKUP(2,$BX$22:$CC$25,6,FALSE)</f>
        <v>1</v>
      </c>
      <c r="BS23" s="130">
        <f>IF(BJ23="",0,IF(BK23=$B$63,IF(BH23&lt;BJ23,3,IF(BH23=BJ23,1,0)),0))</f>
        <v>0</v>
      </c>
      <c r="BT23" s="129"/>
      <c r="BU23" s="130">
        <f>IF(BH28="",0,IF(BK28=$B$63,IF(BH28&gt;BJ28,3,IF(BH28=BJ28,1,0)),0))</f>
        <v>3</v>
      </c>
      <c r="BV23" s="130">
        <f>IF(BH26="",0,IF(BK26=$B$63,IF(BH26&gt;BJ26,3,IF(BH26=BJ26,1,0)),0))</f>
        <v>3</v>
      </c>
      <c r="BW23" s="1"/>
      <c r="BX23" s="185">
        <f>RANK(CD23,CD22:CD25)+COUNTIF(CD22:CD23,CD23)-1</f>
        <v>2</v>
      </c>
      <c r="BY23" s="132" t="str">
        <f>B84</f>
        <v>Schweiz</v>
      </c>
      <c r="BZ23" s="1">
        <f>SUM(BS23:BV23)</f>
        <v>6</v>
      </c>
      <c r="CA23" s="1">
        <f>SUM(BS27:BV27)</f>
        <v>2</v>
      </c>
      <c r="CB23" s="1">
        <f>SUM(BT26:BT29)</f>
        <v>1</v>
      </c>
      <c r="CC23" s="1">
        <f>CA23-CB23</f>
        <v>1</v>
      </c>
      <c r="CD23" s="33">
        <f>IF(BP$28="",CE23*10000000000000000+BZ23*100000000000000+CC23*1000000000000+CA23*10000000000+CK23*100000000+CJ23*1000000+CP23*10000+CU23*100+CV23,CE23*10000000000000000+BZ23*100000000000000+CK23*1000000000000+CJ23*10000000000+CP23*100000000+CU23*1000000+CC23*10000+CA23*100+CV23)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601019996990001</v>
      </c>
      <c r="CE23" s="5"/>
      <c r="CF23" s="34">
        <f>IF($BZ23=$BZ22,$BS23-$BT22,0)</f>
        <v>-3</v>
      </c>
      <c r="CG23" s="34"/>
      <c r="CH23" s="34">
        <f>IF($BZ23=$BZ24,$BU23-$BT24,0)</f>
        <v>0</v>
      </c>
      <c r="CI23" s="34">
        <f>IF($BZ23=$BZ25,$BV23-$BT25,0)</f>
        <v>0</v>
      </c>
      <c r="CJ23" s="34">
        <f>SUM(CF23:CI23)</f>
        <v>-3</v>
      </c>
      <c r="CK23" s="5"/>
      <c r="CL23" s="34">
        <f>IF($BZ23=$BZ22,$BS27-$BT26,0)</f>
        <v>-1</v>
      </c>
      <c r="CM23" s="34"/>
      <c r="CN23" s="34">
        <f>IF($BZ23=$BZ24,$BU27-$BT28,0)</f>
        <v>0</v>
      </c>
      <c r="CO23" s="34">
        <f>IF($BZ23=$BZ25,$BV27-$BT29,0)</f>
        <v>0</v>
      </c>
      <c r="CP23" s="34">
        <f>SUM(CL23:CO23)</f>
        <v>-1</v>
      </c>
      <c r="CQ23" s="34">
        <f>IF($BZ23=$BZ22,$BS27,0)</f>
        <v>0</v>
      </c>
      <c r="CR23" s="34"/>
      <c r="CS23" s="34">
        <f>IF($BZ23=$BZ24,$BU27,0)</f>
        <v>0</v>
      </c>
      <c r="CT23" s="34">
        <f>IF($BZ23=$BZ25,$BV27,0)</f>
        <v>0</v>
      </c>
      <c r="CU23" s="34">
        <f>SUM(CQ23:CT23)</f>
        <v>0</v>
      </c>
      <c r="CV23" s="184">
        <f>IF(AND(COUNTIF(BK23:BK28,$B$63)=COUNTA(BH23:BH28),COUNTIF(BK23:BK28,$B$63)=COUNTA(BJ23:BJ28)),IF(CU23=CU22,BS27-BT26,IF(CU23=CU24,BU27-BT28,IF(CU23=CU25,BV27-BT29,3))),3)</f>
        <v>1</v>
      </c>
    </row>
    <row r="24" spans="1:100" ht="12.75">
      <c r="A24" s="2">
        <v>6</v>
      </c>
      <c r="B24" s="7">
        <v>42533.75</v>
      </c>
      <c r="C24" s="4" t="s">
        <v>145</v>
      </c>
      <c r="D24" s="125" t="str">
        <f>Y24</f>
        <v>Schweden</v>
      </c>
      <c r="E24" s="80" t="s">
        <v>21</v>
      </c>
      <c r="F24" s="125" t="str">
        <f>Y25</f>
        <v>Island</v>
      </c>
      <c r="G24" s="124"/>
      <c r="H24" s="137">
        <f ca="1" t="shared" si="8"/>
        <v>1</v>
      </c>
      <c r="I24" s="13" t="s">
        <v>22</v>
      </c>
      <c r="J24" s="136">
        <f ca="1" t="shared" si="9"/>
        <v>0</v>
      </c>
      <c r="K24" s="9" t="s">
        <v>23</v>
      </c>
      <c r="L24" s="1"/>
      <c r="M24" s="11" t="str">
        <f>VLOOKUP(3,$X$22:$AC$25,2,FALSE)</f>
        <v>Schweden</v>
      </c>
      <c r="N24" s="2">
        <f>VLOOKUP(3,$X$22:$AC$25,3,FALSE)</f>
        <v>3</v>
      </c>
      <c r="O24" s="2">
        <f>VLOOKUP(3,$X$22:$AC$25,4,FALSE)</f>
        <v>1</v>
      </c>
      <c r="P24" s="2">
        <f>VLOOKUP(3,$X$22:$AC$25,5,FALSE)</f>
        <v>2</v>
      </c>
      <c r="Q24" s="2">
        <f>VLOOKUP(3,$X$22:$AC$25,6,FALSE)</f>
        <v>-1</v>
      </c>
      <c r="S24" s="130">
        <f>IF(J25="",0,IF(K25=$B$63,IF(H25&lt;J25,3,IF(H25=J25,1,0)),0))</f>
        <v>0</v>
      </c>
      <c r="T24" s="130">
        <f>IF(J28="",0,IF(K28=$B$63,IF(H28&lt;J28,3,IF(H28=J28,1,0)),0))</f>
        <v>0</v>
      </c>
      <c r="U24" s="129"/>
      <c r="V24" s="130">
        <f>IF(H24="",0,IF(K24=$B$63,IF(H24&gt;J24,3,IF(H24=J24,1,0)),0))</f>
        <v>3</v>
      </c>
      <c r="W24" s="131"/>
      <c r="X24" s="185">
        <f>RANK(AD24,AD22:AD25)+COUNTIF(AD22:AD24,AD24)-1</f>
        <v>3</v>
      </c>
      <c r="Y24" s="132" t="str">
        <f>B89</f>
        <v>Schweden</v>
      </c>
      <c r="Z24" s="131">
        <f>SUM(S24:V24)</f>
        <v>3</v>
      </c>
      <c r="AA24" s="131">
        <f>SUM(S28:V28)</f>
        <v>1</v>
      </c>
      <c r="AB24" s="131">
        <f>SUM(U26:U29)</f>
        <v>2</v>
      </c>
      <c r="AC24" s="131">
        <f>AA24-AB24</f>
        <v>-1</v>
      </c>
      <c r="AD24" s="133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299010003010099</v>
      </c>
      <c r="AE24" s="134"/>
      <c r="AF24" s="135">
        <f>IF($Z24=$Z22,$S24-$U22,0)</f>
        <v>0</v>
      </c>
      <c r="AG24" s="135">
        <f>IF($Z24=$Z23,$T24-$U23,0)</f>
        <v>0</v>
      </c>
      <c r="AH24" s="135"/>
      <c r="AI24" s="135">
        <f>IF($Z24=$Z25,$V24-$U25,0)</f>
        <v>3</v>
      </c>
      <c r="AJ24" s="135">
        <f>SUM(AF24:AI24)</f>
        <v>3</v>
      </c>
      <c r="AK24" s="134"/>
      <c r="AL24" s="135">
        <f>IF($Z24=$Z22,$S28-$U26,0)</f>
        <v>0</v>
      </c>
      <c r="AM24" s="135">
        <f>IF($Z24=$Z23,$T28-$U27,0)</f>
        <v>0</v>
      </c>
      <c r="AN24" s="135"/>
      <c r="AO24" s="135">
        <f>IF($Z24=$Z25,$V28-$U29,0)</f>
        <v>1</v>
      </c>
      <c r="AP24" s="135">
        <f>SUM(AL24:AO24)</f>
        <v>1</v>
      </c>
      <c r="AQ24" s="135">
        <f>IF($Z24=$Z22,$S28,0)</f>
        <v>0</v>
      </c>
      <c r="AR24" s="135">
        <f>IF($Z24=$Z23,$T28,0)</f>
        <v>0</v>
      </c>
      <c r="AS24" s="135"/>
      <c r="AT24" s="135">
        <f>IF($Z24=$Z25,$V28,0)</f>
        <v>1</v>
      </c>
      <c r="AU24" s="135">
        <f>SUM(AQ24:AT24)</f>
        <v>1</v>
      </c>
      <c r="AV24" s="184">
        <f>IF(AND(COUNTIF(K23:K28,$B$63)=COUNTA(H23:H28),COUNTIF(K23:K28,$B$63)=COUNTA(J23:J28)),IF(AU24=AU22,S28-U26,IF(AU24=AU23,T28-U27,IF(AU24=AU25,V28-U29,2))),2)</f>
        <v>-1</v>
      </c>
      <c r="AW24" s="133"/>
      <c r="BA24" s="2">
        <v>12</v>
      </c>
      <c r="BB24" s="4">
        <v>42535.75</v>
      </c>
      <c r="BC24" s="4" t="s">
        <v>142</v>
      </c>
      <c r="BD24" s="125" t="str">
        <f>BY24</f>
        <v>Tschechien</v>
      </c>
      <c r="BE24" s="80" t="s">
        <v>21</v>
      </c>
      <c r="BF24" s="125" t="str">
        <f>BY25</f>
        <v>Türkei</v>
      </c>
      <c r="BG24" s="124"/>
      <c r="BH24" s="137">
        <f ca="1" t="shared" si="10"/>
        <v>1</v>
      </c>
      <c r="BI24" s="13" t="s">
        <v>22</v>
      </c>
      <c r="BJ24" s="136">
        <f ca="1" t="shared" si="11"/>
        <v>0</v>
      </c>
      <c r="BK24" s="9" t="s">
        <v>23</v>
      </c>
      <c r="BL24" s="1"/>
      <c r="BM24" s="11" t="str">
        <f>VLOOKUP(3,$BX$22:$CC$25,2,FALSE)</f>
        <v>Tschechien</v>
      </c>
      <c r="BN24" s="2">
        <f>VLOOKUP(3,$BX$22:$CC$25,3,FALSE)</f>
        <v>3</v>
      </c>
      <c r="BO24" s="2">
        <f>VLOOKUP(3,$BX$22:$CC$25,4,FALSE)</f>
        <v>1</v>
      </c>
      <c r="BP24" s="2">
        <f>VLOOKUP(3,$BX$22:$CC$25,5,FALSE)</f>
        <v>2</v>
      </c>
      <c r="BQ24" s="2">
        <f>VLOOKUP(3,$BX$22:$CC$25,6,FALSE)</f>
        <v>-1</v>
      </c>
      <c r="BS24" s="130">
        <f>IF(BJ25="",0,IF(BK25=$B$63,IF(BH25&lt;BJ25,3,IF(BH25=BJ25,1,0)),0))</f>
        <v>0</v>
      </c>
      <c r="BT24" s="130">
        <f>IF(BJ28="",0,IF(BK28=$B$63,IF(BH28&lt;BJ28,3,IF(BH28=BJ28,1,0)),0))</f>
        <v>0</v>
      </c>
      <c r="BU24" s="129"/>
      <c r="BV24" s="130">
        <f>IF(BH24="",0,IF(BK24=$B$63,IF(BH24&gt;BJ24,3,IF(BH24=BJ24,1,0)),0))</f>
        <v>3</v>
      </c>
      <c r="BW24" s="1"/>
      <c r="BX24" s="185">
        <f>RANK(CD24,CD22:CD25)+COUNTIF(CD22:CD24,CD24)-1</f>
        <v>3</v>
      </c>
      <c r="BY24" s="132" t="str">
        <f>B92</f>
        <v>Tschechien</v>
      </c>
      <c r="BZ24" s="1">
        <f>SUM(BS24:BV24)</f>
        <v>3</v>
      </c>
      <c r="CA24" s="1">
        <f>SUM(BS28:BV28)</f>
        <v>1</v>
      </c>
      <c r="CB24" s="1">
        <f>SUM(BU26:BU29)</f>
        <v>2</v>
      </c>
      <c r="CC24" s="1">
        <f>CA24-CB24</f>
        <v>-1</v>
      </c>
      <c r="CD24" s="33">
        <f>IF(BP$28="",CE24*10000000000000000+BZ24*100000000000000+CC24*1000000000000+CA24*10000000000+CK24*100000000+CJ24*1000000+CP24*10000+CU24*100+CV24,CE24*10000000000000000+BZ24*100000000000000+CK24*1000000000000+CJ24*10000000000+CP24*100000000+CU24*1000000+CC24*10000+CA24*100+CV24)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299010003010099</v>
      </c>
      <c r="CE24" s="5"/>
      <c r="CF24" s="34">
        <f>IF($BZ24=$BZ22,$BS24-$BU22,0)</f>
        <v>0</v>
      </c>
      <c r="CG24" s="34">
        <f>IF($BZ24=$BZ23,$BT24-$BU23,0)</f>
        <v>0</v>
      </c>
      <c r="CH24" s="34"/>
      <c r="CI24" s="34">
        <f>IF($BZ24=$BZ25,$BV24-$BU25,0)</f>
        <v>3</v>
      </c>
      <c r="CJ24" s="34">
        <f>SUM(CF24:CI24)</f>
        <v>3</v>
      </c>
      <c r="CK24" s="5"/>
      <c r="CL24" s="34">
        <f>IF($BZ24=$BZ22,$BS28-$BU26,0)</f>
        <v>0</v>
      </c>
      <c r="CM24" s="34">
        <f>IF($BZ24=$BZ23,$BT28-$BU27,0)</f>
        <v>0</v>
      </c>
      <c r="CN24" s="34"/>
      <c r="CO24" s="34">
        <f>IF($BZ24=$BZ25,$BV28-$BU29,0)</f>
        <v>1</v>
      </c>
      <c r="CP24" s="34">
        <f>SUM(CL24:CO24)</f>
        <v>1</v>
      </c>
      <c r="CQ24" s="34">
        <f>IF($BZ24=$BZ22,$BS28,0)</f>
        <v>0</v>
      </c>
      <c r="CR24" s="34">
        <f>IF($BZ24=$BZ23,$BT28,0)</f>
        <v>0</v>
      </c>
      <c r="CS24" s="34"/>
      <c r="CT24" s="34">
        <f>IF($BZ24=$BZ25,$BV28,0)</f>
        <v>1</v>
      </c>
      <c r="CU24" s="34">
        <f>SUM(CQ24:CT24)</f>
        <v>1</v>
      </c>
      <c r="CV24" s="184">
        <f>IF(AND(COUNTIF(BK23:BK28,$B$63)=COUNTA(BH23:BH28),COUNTIF(BK23:BK28,$B$63)=COUNTA(BJ23:BJ28)),IF(CU24=CU22,BS28-BU26,IF(CU24=CU23,BT28-BU27,IF(CU24=CU25,BV28-BU29,2))),2)</f>
        <v>-1</v>
      </c>
    </row>
    <row r="25" spans="1:100" ht="12.75">
      <c r="A25" s="2">
        <f>A23+12</f>
        <v>17</v>
      </c>
      <c r="B25" s="7">
        <v>42537.875</v>
      </c>
      <c r="C25" s="4" t="s">
        <v>136</v>
      </c>
      <c r="D25" s="125" t="str">
        <f>Y22</f>
        <v>Portugal</v>
      </c>
      <c r="E25" s="80" t="s">
        <v>21</v>
      </c>
      <c r="F25" s="125" t="str">
        <f>Y24</f>
        <v>Schweden</v>
      </c>
      <c r="G25" s="124"/>
      <c r="H25" s="137">
        <f ca="1" t="shared" si="8"/>
        <v>1</v>
      </c>
      <c r="I25" s="13" t="s">
        <v>22</v>
      </c>
      <c r="J25" s="136">
        <f ca="1" t="shared" si="9"/>
        <v>0</v>
      </c>
      <c r="K25" s="9" t="s">
        <v>23</v>
      </c>
      <c r="L25" s="1"/>
      <c r="M25" s="11" t="str">
        <f>VLOOKUP(4,$X$22:$AC$25,2,FALSE)</f>
        <v>Island</v>
      </c>
      <c r="N25" s="2">
        <f>VLOOKUP(4,$X$22:$AC$25,3,FALSE)</f>
        <v>3</v>
      </c>
      <c r="O25" s="2">
        <f>VLOOKUP(4,$X$22:$AC$25,4,FALSE)</f>
        <v>1</v>
      </c>
      <c r="P25" s="2">
        <f>VLOOKUP(4,$X$22:$AC$25,5,FALSE)</f>
        <v>2</v>
      </c>
      <c r="Q25" s="2">
        <f>VLOOKUP(4,$X$22:$AC$25,6,FALSE)</f>
        <v>-1</v>
      </c>
      <c r="S25" s="130">
        <f>IF(H27="",0,IF(K27=$B$63,IF(H27&gt;J27,3,IF(H27=J27,1,0)),0))</f>
        <v>3</v>
      </c>
      <c r="T25" s="130">
        <f>IF(J26="",0,IF(K26=$B$63,IF(H26&lt;J26,3,IF(H26=J26,1,0)),0))</f>
        <v>0</v>
      </c>
      <c r="U25" s="130">
        <f>IF(J24="",0,IF(K24=$B$63,IF(H24&lt;J24,3,IF(H24=J24,1,0)),0))</f>
        <v>0</v>
      </c>
      <c r="V25" s="129"/>
      <c r="W25" s="131"/>
      <c r="X25" s="185">
        <f>RANK(AD25,AD22:AD25)+COUNTIF(AD22:AD25,AD25)-1</f>
        <v>4</v>
      </c>
      <c r="Y25" s="132" t="str">
        <f>B97</f>
        <v>Island</v>
      </c>
      <c r="Z25" s="131">
        <f>SUM(S25:V25)</f>
        <v>3</v>
      </c>
      <c r="AA25" s="131">
        <f>SUM(S29:V29)</f>
        <v>1</v>
      </c>
      <c r="AB25" s="131">
        <f>SUM(V26:V29)</f>
        <v>2</v>
      </c>
      <c r="AC25" s="131">
        <f>AA25-AB25</f>
        <v>-1</v>
      </c>
      <c r="AD25" s="133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299009996989999</v>
      </c>
      <c r="AE25" s="134"/>
      <c r="AF25" s="135">
        <f>IF($Z25=$Z22,$S25-$V22,0)</f>
        <v>0</v>
      </c>
      <c r="AG25" s="135">
        <f>IF($Z25=$Z23,$T25-$V23,0)</f>
        <v>0</v>
      </c>
      <c r="AH25" s="135">
        <f>IF($Z25=$Z24,$U25-$V24,0)</f>
        <v>-3</v>
      </c>
      <c r="AI25" s="135"/>
      <c r="AJ25" s="135">
        <f>SUM(AF25:AI25)</f>
        <v>-3</v>
      </c>
      <c r="AK25" s="134"/>
      <c r="AL25" s="135">
        <f>IF($Z25=$Z22,$S29-$V26,0)</f>
        <v>0</v>
      </c>
      <c r="AM25" s="135">
        <f>IF($Z25=$Z23,$T29-$V27,0)</f>
        <v>0</v>
      </c>
      <c r="AN25" s="135">
        <f>IF($Z25=$Z24,$U29-$V28,0)</f>
        <v>-1</v>
      </c>
      <c r="AO25" s="135"/>
      <c r="AP25" s="135">
        <f>SUM(AL25:AO25)</f>
        <v>-1</v>
      </c>
      <c r="AQ25" s="135">
        <f>IF($Z25=$Z22,$S29,0)</f>
        <v>0</v>
      </c>
      <c r="AR25" s="135">
        <f>IF($Z25=$Z23,$T29,0)</f>
        <v>0</v>
      </c>
      <c r="AS25" s="135">
        <f>IF($Z25=$Z24,$U29,0)</f>
        <v>0</v>
      </c>
      <c r="AT25" s="135"/>
      <c r="AU25" s="135">
        <f>SUM(AQ25:AT25)</f>
        <v>0</v>
      </c>
      <c r="AV25" s="184">
        <f>IF(AND(COUNTIF(K23:K28,$B$63)=COUNTA(H23:H28),COUNTIF(K23:K28,$B$63)=COUNTA(J23:J28)),IF(AU25=AU22,S29-V26,IF(AU25=AU23,T29-V27,IF(AU25=AU24,U29-V28,1))),1)</f>
        <v>-1</v>
      </c>
      <c r="AW25" s="133"/>
      <c r="BA25" s="2">
        <f>BA23+12</f>
        <v>23</v>
      </c>
      <c r="BB25" s="7">
        <v>42539.875</v>
      </c>
      <c r="BC25" s="4" t="s">
        <v>138</v>
      </c>
      <c r="BD25" s="125" t="str">
        <f>BY22</f>
        <v>Deutschland</v>
      </c>
      <c r="BE25" s="80" t="s">
        <v>21</v>
      </c>
      <c r="BF25" s="125" t="str">
        <f>BY24</f>
        <v>Tschechien</v>
      </c>
      <c r="BG25" s="124"/>
      <c r="BH25" s="137">
        <f ca="1" t="shared" si="10"/>
        <v>1</v>
      </c>
      <c r="BI25" s="13" t="s">
        <v>22</v>
      </c>
      <c r="BJ25" s="136">
        <f ca="1" t="shared" si="11"/>
        <v>0</v>
      </c>
      <c r="BK25" s="9" t="s">
        <v>23</v>
      </c>
      <c r="BL25" s="1"/>
      <c r="BM25" s="11" t="str">
        <f>VLOOKUP(4,$BX$22:$CC$25,2,FALSE)</f>
        <v>Türkei</v>
      </c>
      <c r="BN25" s="2">
        <f>VLOOKUP(4,$BX$22:$CC$25,3,FALSE)</f>
        <v>3</v>
      </c>
      <c r="BO25" s="2">
        <f>VLOOKUP(4,$BX$22:$CC$25,4,FALSE)</f>
        <v>1</v>
      </c>
      <c r="BP25" s="2">
        <f>VLOOKUP(4,$BX$22:$CC$25,5,FALSE)</f>
        <v>2</v>
      </c>
      <c r="BQ25" s="2">
        <f>VLOOKUP(4,$BX$22:$CC$25,6,FALSE)</f>
        <v>-1</v>
      </c>
      <c r="BS25" s="130">
        <f>IF(BH27="",0,IF(BK27=$B$63,IF(BH27&gt;BJ27,3,IF(BH27=BJ27,1,0)),0))</f>
        <v>3</v>
      </c>
      <c r="BT25" s="130">
        <f>IF(BJ26="",0,IF(BK26=$B$63,IF(BH26&lt;BJ26,3,IF(BH26=BJ26,1,0)),0))</f>
        <v>0</v>
      </c>
      <c r="BU25" s="130">
        <f>IF(BJ24="",0,IF(BK24=$B$63,IF(BH24&lt;BJ24,3,IF(BH24=BJ24,1,0)),0))</f>
        <v>0</v>
      </c>
      <c r="BV25" s="129"/>
      <c r="BW25" s="1"/>
      <c r="BX25" s="185">
        <f>RANK(CD25,CD22:CD25)+COUNTIF(CD22:CD25,CD25)-1</f>
        <v>4</v>
      </c>
      <c r="BY25" s="132" t="str">
        <f>B100</f>
        <v>Türkei</v>
      </c>
      <c r="BZ25" s="1">
        <f>SUM(BS25:BV25)</f>
        <v>3</v>
      </c>
      <c r="CA25" s="1">
        <f>SUM(BS29:BV29)</f>
        <v>1</v>
      </c>
      <c r="CB25" s="1">
        <f>SUM(BV26:BV29)</f>
        <v>2</v>
      </c>
      <c r="CC25" s="1">
        <f>CA25-CB25</f>
        <v>-1</v>
      </c>
      <c r="CD25" s="33">
        <f>IF(BP$28="",CE25*10000000000000000+BZ25*100000000000000+CC25*1000000000000+CA25*10000000000+CK25*100000000+CJ25*1000000+CP25*10000+CU25*100+CV25,CE25*10000000000000000+BZ25*100000000000000+CK25*1000000000000+CJ25*10000000000+CP25*100000000+CU25*1000000+CC25*10000+CA25*100+CV25)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299009996989999</v>
      </c>
      <c r="CE25" s="5"/>
      <c r="CF25" s="34">
        <f>IF($BZ25=$BZ22,$BS25-$BV22,0)</f>
        <v>0</v>
      </c>
      <c r="CG25" s="34">
        <f>IF($BZ25=$BZ23,$BT25-$BV23,0)</f>
        <v>0</v>
      </c>
      <c r="CH25" s="34">
        <f>IF($BZ25=$BZ24,$BU25-$BV24,0)</f>
        <v>-3</v>
      </c>
      <c r="CI25" s="34"/>
      <c r="CJ25" s="34">
        <f>SUM(CF25:CI25)</f>
        <v>-3</v>
      </c>
      <c r="CK25" s="5"/>
      <c r="CL25" s="34">
        <f>IF($BZ25=$BZ22,$BS29-$BV26,0)</f>
        <v>0</v>
      </c>
      <c r="CM25" s="34">
        <f>IF($BZ25=$BZ23,$BT29-$BV27,0)</f>
        <v>0</v>
      </c>
      <c r="CN25" s="34">
        <f>IF($BZ25=$BZ24,$BU29-$BV28,0)</f>
        <v>-1</v>
      </c>
      <c r="CO25" s="34"/>
      <c r="CP25" s="34">
        <f>SUM(CL25:CO25)</f>
        <v>-1</v>
      </c>
      <c r="CQ25" s="34">
        <f>IF($BZ25=$BZ22,$BS29,0)</f>
        <v>0</v>
      </c>
      <c r="CR25" s="34">
        <f>IF($BZ25=$BZ23,$BT29,0)</f>
        <v>0</v>
      </c>
      <c r="CS25" s="34">
        <f>IF($BZ25=$BZ24,$BU29,0)</f>
        <v>0</v>
      </c>
      <c r="CT25" s="34"/>
      <c r="CU25" s="34">
        <f>SUM(CQ25:CT25)</f>
        <v>0</v>
      </c>
      <c r="CV25" s="184">
        <f>IF(AND(COUNTIF(BK23:BK28,$B$63)=COUNTA(BH23:BH28),COUNTIF(BK23:BK28,$B$63)=COUNTA(BJ23:BJ28)),IF(CU25=CU22,BS29-BV26,IF(CU25=CU23,BT29-BV27,IF(CU25=CU24,BU29-BV28,1))),1)</f>
        <v>-1</v>
      </c>
    </row>
    <row r="26" spans="1:100" ht="12.75">
      <c r="A26" s="2">
        <f>A24+12</f>
        <v>18</v>
      </c>
      <c r="B26" s="7">
        <v>42537.75</v>
      </c>
      <c r="C26" s="4" t="s">
        <v>141</v>
      </c>
      <c r="D26" s="125" t="str">
        <f>Y23</f>
        <v>Italien</v>
      </c>
      <c r="E26" s="80" t="s">
        <v>21</v>
      </c>
      <c r="F26" s="125" t="str">
        <f>Y25</f>
        <v>Island</v>
      </c>
      <c r="G26" s="124"/>
      <c r="H26" s="137">
        <f ca="1" t="shared" si="8"/>
        <v>1</v>
      </c>
      <c r="I26" s="13" t="s">
        <v>22</v>
      </c>
      <c r="J26" s="136">
        <f ca="1" t="shared" si="9"/>
        <v>0</v>
      </c>
      <c r="K26" s="9" t="s">
        <v>23</v>
      </c>
      <c r="L26" s="1"/>
      <c r="N26" s="1"/>
      <c r="O26" s="1"/>
      <c r="P26" s="1"/>
      <c r="S26" s="129"/>
      <c r="T26" s="130">
        <f>IF(K23=$B$63,H23,0)</f>
        <v>1</v>
      </c>
      <c r="U26" s="130">
        <f>IF(K25=$B$63,H25,0)</f>
        <v>1</v>
      </c>
      <c r="V26" s="130">
        <f>IF(K27=$B$63,J27,0)</f>
        <v>0</v>
      </c>
      <c r="W26" s="131"/>
      <c r="X26" s="131"/>
      <c r="Y26" s="131"/>
      <c r="Z26" s="131"/>
      <c r="AA26" s="131"/>
      <c r="AB26" s="131"/>
      <c r="AC26" s="131"/>
      <c r="AD26" s="138"/>
      <c r="AE26" s="139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V26" s="135"/>
      <c r="AW26" s="133"/>
      <c r="BA26" s="2">
        <f>BA24+12</f>
        <v>24</v>
      </c>
      <c r="BB26" s="7">
        <v>42539.75</v>
      </c>
      <c r="BC26" s="4" t="s">
        <v>139</v>
      </c>
      <c r="BD26" s="125" t="str">
        <f>BY23</f>
        <v>Schweiz</v>
      </c>
      <c r="BE26" s="80" t="s">
        <v>21</v>
      </c>
      <c r="BF26" s="125" t="str">
        <f>BY25</f>
        <v>Türkei</v>
      </c>
      <c r="BG26" s="124"/>
      <c r="BH26" s="137">
        <f ca="1" t="shared" si="10"/>
        <v>1</v>
      </c>
      <c r="BI26" s="13" t="s">
        <v>22</v>
      </c>
      <c r="BJ26" s="136">
        <f ca="1" t="shared" si="11"/>
        <v>0</v>
      </c>
      <c r="BK26" s="9" t="s">
        <v>23</v>
      </c>
      <c r="BL26" s="1"/>
      <c r="BN26" s="1"/>
      <c r="BO26" s="1"/>
      <c r="BP26" s="1"/>
      <c r="BS26" s="129"/>
      <c r="BT26" s="130">
        <f>IF(BK23=$B$63,BH23,0)</f>
        <v>1</v>
      </c>
      <c r="BU26" s="130">
        <f>IF(BK25=$B$63,BH25,0)</f>
        <v>1</v>
      </c>
      <c r="BV26" s="130">
        <f>IF(BK27=$B$63,BJ27,0)</f>
        <v>0</v>
      </c>
      <c r="BW26" s="1"/>
      <c r="BX26" s="1"/>
      <c r="BY26" s="131"/>
      <c r="BZ26" s="1"/>
      <c r="CA26" s="1"/>
      <c r="CB26" s="1"/>
      <c r="CC26" s="1"/>
      <c r="CD26" s="6"/>
      <c r="CE26" s="9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V26" s="34"/>
    </row>
    <row r="27" spans="1:100" ht="12.75">
      <c r="A27" s="2">
        <f>A25+12</f>
        <v>29</v>
      </c>
      <c r="B27" s="7">
        <v>42542.75</v>
      </c>
      <c r="C27" s="4" t="s">
        <v>138</v>
      </c>
      <c r="D27" s="125" t="str">
        <f>Y25</f>
        <v>Island</v>
      </c>
      <c r="E27" s="80" t="s">
        <v>21</v>
      </c>
      <c r="F27" s="125" t="str">
        <f>Y22</f>
        <v>Portugal</v>
      </c>
      <c r="G27" s="123"/>
      <c r="H27" s="136">
        <f ca="1" t="shared" si="8"/>
        <v>1</v>
      </c>
      <c r="I27" s="13" t="s">
        <v>22</v>
      </c>
      <c r="J27" s="137">
        <f ca="1" t="shared" si="9"/>
        <v>0</v>
      </c>
      <c r="K27" s="9" t="s">
        <v>23</v>
      </c>
      <c r="M27" s="72" t="str">
        <f>IF(N22&gt;0,M22,"")</f>
        <v>Portugal</v>
      </c>
      <c r="N27" s="2" t="s">
        <v>30</v>
      </c>
      <c r="P27" s="51"/>
      <c r="S27" s="130">
        <f>IF(K23=$B$63,J23,0)</f>
        <v>0</v>
      </c>
      <c r="T27" s="129"/>
      <c r="U27" s="130">
        <f>IF(K28=$B$63,H28,0)</f>
        <v>1</v>
      </c>
      <c r="V27" s="130">
        <f>IF(K26=$B$63,H26,0)</f>
        <v>1</v>
      </c>
      <c r="AD27" s="123" t="s">
        <v>119</v>
      </c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V27" s="141"/>
      <c r="AW27" s="133"/>
      <c r="BA27" s="2">
        <f>BA25+12</f>
        <v>35</v>
      </c>
      <c r="BB27" s="7">
        <v>42543.75</v>
      </c>
      <c r="BC27" s="4" t="s">
        <v>141</v>
      </c>
      <c r="BD27" s="125" t="str">
        <f>BY25</f>
        <v>Türkei</v>
      </c>
      <c r="BE27" s="80" t="s">
        <v>21</v>
      </c>
      <c r="BF27" s="125" t="str">
        <f>BY22</f>
        <v>Deutschland</v>
      </c>
      <c r="BG27" s="123"/>
      <c r="BH27" s="136">
        <f ca="1" t="shared" si="10"/>
        <v>1</v>
      </c>
      <c r="BI27" s="13" t="s">
        <v>22</v>
      </c>
      <c r="BJ27" s="137">
        <f ca="1" t="shared" si="11"/>
        <v>0</v>
      </c>
      <c r="BK27" s="9" t="s">
        <v>23</v>
      </c>
      <c r="BM27" s="75" t="str">
        <f>IF(BN22&gt;0,BM22,"")</f>
        <v>Deutschland</v>
      </c>
      <c r="BN27" s="2" t="s">
        <v>39</v>
      </c>
      <c r="BP27" s="51"/>
      <c r="BS27" s="130">
        <f>IF(BK23=$B$63,BJ23,0)</f>
        <v>0</v>
      </c>
      <c r="BT27" s="129"/>
      <c r="BU27" s="130">
        <f>IF(BK28=$B$63,BH28,0)</f>
        <v>1</v>
      </c>
      <c r="BV27" s="130">
        <f>IF(BK26=$B$63,BH26,0)</f>
        <v>1</v>
      </c>
      <c r="CD27" s="2" t="s">
        <v>119</v>
      </c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V27" s="35"/>
    </row>
    <row r="28" spans="1:100" ht="12.75">
      <c r="A28" s="2">
        <f>A26+12</f>
        <v>30</v>
      </c>
      <c r="B28" s="7">
        <v>42542.75</v>
      </c>
      <c r="C28" s="4" t="s">
        <v>139</v>
      </c>
      <c r="D28" s="125" t="str">
        <f>Y23</f>
        <v>Italien</v>
      </c>
      <c r="E28" s="80" t="s">
        <v>21</v>
      </c>
      <c r="F28" s="125" t="str">
        <f>Y24</f>
        <v>Schweden</v>
      </c>
      <c r="G28" s="123"/>
      <c r="H28" s="137">
        <f ca="1" t="shared" si="8"/>
        <v>1</v>
      </c>
      <c r="I28" s="13" t="s">
        <v>22</v>
      </c>
      <c r="J28" s="137">
        <f ca="1" t="shared" si="9"/>
        <v>0</v>
      </c>
      <c r="K28" s="9" t="s">
        <v>23</v>
      </c>
      <c r="M28" s="72" t="str">
        <f>IF(N23&gt;0,M23,"")</f>
        <v>Italien</v>
      </c>
      <c r="N28" s="2" t="s">
        <v>31</v>
      </c>
      <c r="O28" s="52"/>
      <c r="P28" s="53"/>
      <c r="S28" s="130">
        <f>IF(K25=$B$63,J25,0)</f>
        <v>0</v>
      </c>
      <c r="T28" s="130">
        <f>IF(K28=$B$63,J28,0)</f>
        <v>0</v>
      </c>
      <c r="U28" s="129"/>
      <c r="V28" s="130">
        <f>IF(K24=$B$63,H24,0)</f>
        <v>1</v>
      </c>
      <c r="AD28" s="123" t="s">
        <v>120</v>
      </c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V28" s="141"/>
      <c r="AW28" s="133"/>
      <c r="BA28" s="2">
        <f>BA26+12</f>
        <v>36</v>
      </c>
      <c r="BB28" s="7">
        <v>42543.75</v>
      </c>
      <c r="BC28" s="4" t="s">
        <v>136</v>
      </c>
      <c r="BD28" s="125" t="str">
        <f>BY23</f>
        <v>Schweiz</v>
      </c>
      <c r="BE28" s="80" t="s">
        <v>21</v>
      </c>
      <c r="BF28" s="125" t="str">
        <f>BY24</f>
        <v>Tschechien</v>
      </c>
      <c r="BG28" s="123"/>
      <c r="BH28" s="137">
        <f ca="1" t="shared" si="10"/>
        <v>1</v>
      </c>
      <c r="BI28" s="13" t="s">
        <v>22</v>
      </c>
      <c r="BJ28" s="137">
        <f ca="1" t="shared" si="11"/>
        <v>0</v>
      </c>
      <c r="BK28" s="9" t="s">
        <v>23</v>
      </c>
      <c r="BM28" s="75" t="str">
        <f>IF(BN23&gt;0,BM23,"")</f>
        <v>Schweiz</v>
      </c>
      <c r="BN28" s="2" t="s">
        <v>40</v>
      </c>
      <c r="BO28" s="52"/>
      <c r="BP28" s="53"/>
      <c r="BS28" s="130">
        <f>IF(BK25=$B$63,BJ25,0)</f>
        <v>0</v>
      </c>
      <c r="BT28" s="130">
        <f>IF(BK28=$B$63,BJ28,0)</f>
        <v>0</v>
      </c>
      <c r="BU28" s="129"/>
      <c r="BV28" s="130">
        <f>IF(BK24=$B$63,BH24,0)</f>
        <v>1</v>
      </c>
      <c r="CD28" s="2" t="s">
        <v>120</v>
      </c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V28" s="35"/>
    </row>
    <row r="29" spans="4:100" ht="12.75">
      <c r="D29" s="123"/>
      <c r="E29" s="123"/>
      <c r="F29" s="123"/>
      <c r="G29" s="123"/>
      <c r="M29" s="72" t="str">
        <f>IF(N24&gt;0,M24,"")</f>
        <v>Schweden</v>
      </c>
      <c r="N29" s="2" t="s">
        <v>74</v>
      </c>
      <c r="S29" s="130">
        <f>IF(K27=$B$63,H27,0)</f>
        <v>1</v>
      </c>
      <c r="T29" s="130">
        <f>IF(K26=$B$63,J26,0)</f>
        <v>0</v>
      </c>
      <c r="U29" s="130">
        <f>IF(K24=$B$63,J24,0)</f>
        <v>0</v>
      </c>
      <c r="V29" s="129"/>
      <c r="AD29" s="2" t="s">
        <v>200</v>
      </c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V29" s="141"/>
      <c r="AW29" s="133"/>
      <c r="BD29" s="123"/>
      <c r="BE29" s="123"/>
      <c r="BF29" s="123"/>
      <c r="BG29" s="123"/>
      <c r="BM29" s="75" t="str">
        <f>IF(BN24&gt;0,BM24,"")</f>
        <v>Tschechien</v>
      </c>
      <c r="BN29" s="2" t="s">
        <v>75</v>
      </c>
      <c r="BS29" s="130">
        <f>IF(BK27=$B$63,BH27,0)</f>
        <v>1</v>
      </c>
      <c r="BT29" s="130">
        <f>IF(BK26=$B$63,BJ26,0)</f>
        <v>0</v>
      </c>
      <c r="BU29" s="130">
        <f>IF(BK24=$B$63,BJ24,0)</f>
        <v>0</v>
      </c>
      <c r="BV29" s="129"/>
      <c r="CD29" s="2" t="s">
        <v>200</v>
      </c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V29" s="35"/>
    </row>
    <row r="30" spans="4:100" ht="6" customHeight="1">
      <c r="D30" s="123"/>
      <c r="E30" s="126"/>
      <c r="F30" s="128"/>
      <c r="G30" s="128"/>
      <c r="H30" s="123"/>
      <c r="I30" s="123"/>
      <c r="J30" s="123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V30" s="141"/>
      <c r="AW30" s="133"/>
      <c r="BD30" s="123"/>
      <c r="BE30" s="126"/>
      <c r="BF30" s="128"/>
      <c r="BG30" s="128"/>
      <c r="BH30" s="123"/>
      <c r="BI30" s="123"/>
      <c r="BJ30" s="123"/>
      <c r="BS30" s="123"/>
      <c r="BT30" s="123"/>
      <c r="BU30" s="123"/>
      <c r="BV30" s="123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V30" s="35"/>
    </row>
    <row r="31" spans="2:95" ht="12.75">
      <c r="B31" s="67" t="s">
        <v>118</v>
      </c>
      <c r="C31" s="122" t="str">
        <f>CONCATENATE(D35,D36,D37,D38)</f>
        <v>ABCD</v>
      </c>
      <c r="AW31" s="133"/>
      <c r="BJ31"/>
      <c r="BK31"/>
      <c r="BL31"/>
      <c r="BM31"/>
      <c r="BN31"/>
      <c r="BO31"/>
      <c r="BP31"/>
      <c r="BQ31"/>
      <c r="BR31"/>
      <c r="BS31" s="116"/>
      <c r="BT31" s="116"/>
      <c r="BU31" s="116"/>
      <c r="CE31"/>
      <c r="CF31" s="116" t="s">
        <v>27</v>
      </c>
      <c r="CG31" s="116"/>
      <c r="CH31" s="116"/>
      <c r="CI31" t="s">
        <v>24</v>
      </c>
      <c r="CJ31"/>
      <c r="CK31"/>
      <c r="CL31" t="s">
        <v>33</v>
      </c>
      <c r="CM31"/>
      <c r="CN31"/>
      <c r="CO31" t="s">
        <v>30</v>
      </c>
      <c r="CP31"/>
      <c r="CQ31"/>
    </row>
    <row r="32" spans="13:95" ht="12.75">
      <c r="M32" s="69" t="s">
        <v>128</v>
      </c>
      <c r="AW32" s="133"/>
      <c r="BJ32"/>
      <c r="BK32"/>
      <c r="BL32"/>
      <c r="BM32"/>
      <c r="BN32"/>
      <c r="BO32"/>
      <c r="BP32"/>
      <c r="BQ32"/>
      <c r="BR32"/>
      <c r="BS32" s="143"/>
      <c r="BT32" s="143"/>
      <c r="BU32" s="143"/>
      <c r="CE32"/>
      <c r="CF32" s="116" t="s">
        <v>97</v>
      </c>
      <c r="CG32" s="116" t="s">
        <v>98</v>
      </c>
      <c r="CH32" s="116" t="s">
        <v>99</v>
      </c>
      <c r="CI32" t="s">
        <v>98</v>
      </c>
      <c r="CJ32" t="s">
        <v>99</v>
      </c>
      <c r="CK32" t="s">
        <v>100</v>
      </c>
      <c r="CL32" t="s">
        <v>101</v>
      </c>
      <c r="CM32" t="s">
        <v>100</v>
      </c>
      <c r="CN32" t="s">
        <v>102</v>
      </c>
      <c r="CO32" t="s">
        <v>97</v>
      </c>
      <c r="CP32" t="s">
        <v>101</v>
      </c>
      <c r="CQ32" t="s">
        <v>102</v>
      </c>
    </row>
    <row r="33" spans="4:98" ht="12.75">
      <c r="D33" s="31" t="s">
        <v>129</v>
      </c>
      <c r="F33" s="31" t="s">
        <v>130</v>
      </c>
      <c r="M33" s="69"/>
      <c r="AW33" s="133"/>
      <c r="BJ33"/>
      <c r="BK33"/>
      <c r="BL33"/>
      <c r="BM33"/>
      <c r="BN33"/>
      <c r="BO33"/>
      <c r="BP33"/>
      <c r="BQ33"/>
      <c r="BR33"/>
      <c r="BS33" s="143"/>
      <c r="BT33" s="143"/>
      <c r="BU33" s="143"/>
      <c r="CE33"/>
      <c r="CF33" s="144" t="s">
        <v>83</v>
      </c>
      <c r="CG33" s="144" t="s">
        <v>94</v>
      </c>
      <c r="CH33" s="144" t="s">
        <v>82</v>
      </c>
      <c r="CI33" s="145" t="s">
        <v>82</v>
      </c>
      <c r="CJ33" s="145" t="s">
        <v>85</v>
      </c>
      <c r="CK33" s="145" t="s">
        <v>87</v>
      </c>
      <c r="CL33" s="145" t="s">
        <v>82</v>
      </c>
      <c r="CM33" s="145" t="s">
        <v>83</v>
      </c>
      <c r="CN33" s="145" t="s">
        <v>84</v>
      </c>
      <c r="CO33" s="145" t="s">
        <v>82</v>
      </c>
      <c r="CP33" s="145" t="s">
        <v>83</v>
      </c>
      <c r="CQ33" s="145" t="s">
        <v>90</v>
      </c>
      <c r="CR33" s="144"/>
      <c r="CS33" s="144"/>
      <c r="CT33" s="144"/>
    </row>
    <row r="34" spans="1:100" s="12" customFormat="1" ht="12.75">
      <c r="A34" s="32"/>
      <c r="D34" s="24" t="s">
        <v>131</v>
      </c>
      <c r="F34" s="24" t="s">
        <v>97</v>
      </c>
      <c r="L34" s="24"/>
      <c r="M34" s="69" t="s">
        <v>3</v>
      </c>
      <c r="N34" s="24" t="s">
        <v>4</v>
      </c>
      <c r="O34" s="24" t="s">
        <v>5</v>
      </c>
      <c r="P34" s="24" t="s">
        <v>6</v>
      </c>
      <c r="Q34" s="24" t="s">
        <v>7</v>
      </c>
      <c r="R34" s="24" t="s">
        <v>8</v>
      </c>
      <c r="S34" s="128"/>
      <c r="T34" s="128" t="s">
        <v>98</v>
      </c>
      <c r="U34" s="128"/>
      <c r="V34" s="128"/>
      <c r="W34" s="128"/>
      <c r="X34" s="124" t="s">
        <v>122</v>
      </c>
      <c r="Y34" s="128" t="s">
        <v>118</v>
      </c>
      <c r="Z34" s="128"/>
      <c r="AA34" s="128"/>
      <c r="AB34" s="128"/>
      <c r="AC34" s="128"/>
      <c r="AD34" s="128"/>
      <c r="AE34" s="27" t="s">
        <v>10</v>
      </c>
      <c r="AF34" s="124" t="s">
        <v>8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5" t="s">
        <v>18</v>
      </c>
      <c r="AW34" s="128"/>
      <c r="BJ34"/>
      <c r="BK34"/>
      <c r="BL34"/>
      <c r="BM34"/>
      <c r="BN34"/>
      <c r="BO34"/>
      <c r="BP34"/>
      <c r="BQ34"/>
      <c r="BR34"/>
      <c r="BS34" s="143"/>
      <c r="BT34" s="143"/>
      <c r="BU34" s="143"/>
      <c r="CE34"/>
      <c r="CF34" s="144" t="s">
        <v>84</v>
      </c>
      <c r="CG34" s="144"/>
      <c r="CH34" s="144" t="s">
        <v>88</v>
      </c>
      <c r="CI34" s="145" t="s">
        <v>83</v>
      </c>
      <c r="CJ34" s="145" t="s">
        <v>86</v>
      </c>
      <c r="CK34" s="145" t="s">
        <v>94</v>
      </c>
      <c r="CL34" s="145"/>
      <c r="CM34" s="145" t="s">
        <v>85</v>
      </c>
      <c r="CN34" s="145" t="s">
        <v>86</v>
      </c>
      <c r="CO34" s="145" t="s">
        <v>88</v>
      </c>
      <c r="CP34" s="145" t="s">
        <v>84</v>
      </c>
      <c r="CQ34" s="145" t="s">
        <v>91</v>
      </c>
      <c r="CV34" s="2"/>
    </row>
    <row r="35" spans="1:95" ht="12.75">
      <c r="A35" s="33"/>
      <c r="B35" s="67" t="str">
        <f>CONCATENATE("3",D35)</f>
        <v>3A</v>
      </c>
      <c r="C35" s="68" t="str">
        <f>IF(AND(N$35=0,N$36=0,N$37=0,N$38=0),"",VLOOKUP(1,$F$35:$M$43,8,FALSE))</f>
        <v>Slowakei</v>
      </c>
      <c r="D35" s="1" t="str">
        <f>IF(AND(N$35=0,N$36=0,N$37=0,N$38=0),"",VLOOKUP(1,$F$35:$M$38,7,FALSE))</f>
        <v>A</v>
      </c>
      <c r="F35" s="1">
        <f>RANK(T35,$T$35:$T$38)</f>
        <v>1</v>
      </c>
      <c r="I35" s="2"/>
      <c r="K35" s="11"/>
      <c r="L35" s="158" t="str">
        <f aca="true" t="shared" si="12" ref="L35:L40">MID(R35,2,1)</f>
        <v>A</v>
      </c>
      <c r="M35" s="158" t="str">
        <f>VLOOKUP(1,$X$35:$AC$40,2,FALSE)</f>
        <v>Slowakei</v>
      </c>
      <c r="N35" s="2">
        <f>VLOOKUP(1,$X$35:$AC$40,3,FALSE)</f>
        <v>3</v>
      </c>
      <c r="O35" s="2">
        <f>VLOOKUP(1,$X$35:$AC$40,4,FALSE)</f>
        <v>1</v>
      </c>
      <c r="P35" s="2">
        <f>VLOOKUP(1,$X$35:$AC$40,5,FALSE)</f>
        <v>2</v>
      </c>
      <c r="Q35" s="2">
        <f>VLOOKUP(1,$X$35:$AC$40,6,FALSE)</f>
        <v>-1</v>
      </c>
      <c r="R35" s="21" t="str">
        <f>VLOOKUP(1,$X$35:$AF$40,9,FALSE)</f>
        <v>3A</v>
      </c>
      <c r="T35" s="123">
        <f>71-CODE(L35)</f>
        <v>6</v>
      </c>
      <c r="X35" s="131">
        <f aca="true" t="shared" si="13" ref="X35:X40">RANK(AD35,$AD$35:$AD$40)</f>
        <v>1</v>
      </c>
      <c r="Y35" s="146" t="str">
        <f>M4</f>
        <v>Slowakei</v>
      </c>
      <c r="Z35" s="123">
        <f>N4</f>
        <v>3</v>
      </c>
      <c r="AA35" s="123">
        <f>O4</f>
        <v>1</v>
      </c>
      <c r="AB35" s="123">
        <f>P4</f>
        <v>2</v>
      </c>
      <c r="AC35" s="123">
        <f>Q4</f>
        <v>-1</v>
      </c>
      <c r="AD35" s="133">
        <f aca="true" t="shared" si="14" ref="AD35:AD40">AE35*10000000000000000+Z35*100000000000000+AC35*1000000000000+AA35*10000000000+AV35</f>
        <v>299010000000006</v>
      </c>
      <c r="AE35" s="134"/>
      <c r="AF35" s="123" t="str">
        <f>N9</f>
        <v>3A</v>
      </c>
      <c r="AV35" s="134">
        <v>6</v>
      </c>
      <c r="BJ35"/>
      <c r="BK35"/>
      <c r="BL35"/>
      <c r="BM35"/>
      <c r="BN35"/>
      <c r="BO35"/>
      <c r="BP35"/>
      <c r="BQ35"/>
      <c r="BR35"/>
      <c r="BS35" s="143"/>
      <c r="BT35" s="143"/>
      <c r="BU35" s="143"/>
      <c r="CE35"/>
      <c r="CF35" s="144" t="s">
        <v>85</v>
      </c>
      <c r="CG35" s="144"/>
      <c r="CH35" s="144" t="s">
        <v>89</v>
      </c>
      <c r="CI35" s="145" t="s">
        <v>84</v>
      </c>
      <c r="CJ35" s="145" t="s">
        <v>91</v>
      </c>
      <c r="CK35" s="145" t="s">
        <v>95</v>
      </c>
      <c r="CL35" s="145"/>
      <c r="CM35" s="145" t="s">
        <v>88</v>
      </c>
      <c r="CN35" s="145" t="s">
        <v>87</v>
      </c>
      <c r="CO35" s="145" t="s">
        <v>89</v>
      </c>
      <c r="CP35" s="145" t="s">
        <v>85</v>
      </c>
      <c r="CQ35" s="145" t="s">
        <v>96</v>
      </c>
    </row>
    <row r="36" spans="1:95" ht="12.75">
      <c r="A36" s="33"/>
      <c r="B36" s="67" t="str">
        <f>CONCATENATE("3",D36)</f>
        <v>3B</v>
      </c>
      <c r="C36" s="68" t="str">
        <f>IF(AND(N$35=0,N$36=0,N$37=0,N$38=0),"",VLOOKUP(2,$F$35:$M$43,8,FALSE))</f>
        <v>Rumänien</v>
      </c>
      <c r="D36" s="1" t="str">
        <f>IF(AND(N$35=0,N$36=0,N$37=0,N$38=0),"",VLOOKUP(2,$F$35:$M$38,7,FALSE))</f>
        <v>B</v>
      </c>
      <c r="F36" s="1">
        <f>RANK(T36,$T$35:$T$38)</f>
        <v>2</v>
      </c>
      <c r="I36" s="2"/>
      <c r="K36" s="11"/>
      <c r="L36" s="158" t="str">
        <f t="shared" si="12"/>
        <v>B</v>
      </c>
      <c r="M36" s="158" t="str">
        <f>VLOOKUP(2,$X$35:$AC$40,2,FALSE)</f>
        <v>Rumänien</v>
      </c>
      <c r="N36" s="2">
        <f>VLOOKUP(2,$X$35:$AC$40,3,FALSE)</f>
        <v>3</v>
      </c>
      <c r="O36" s="2">
        <f>VLOOKUP(2,$X$35:$AC$40,4,FALSE)</f>
        <v>1</v>
      </c>
      <c r="P36" s="2">
        <f>VLOOKUP(2,$X$35:$AC$40,5,FALSE)</f>
        <v>2</v>
      </c>
      <c r="Q36" s="2">
        <f>VLOOKUP(2,$X$35:$AC$40,6,FALSE)</f>
        <v>-1</v>
      </c>
      <c r="R36" s="21" t="str">
        <f>VLOOKUP(2,$X$35:$AF$40,9,FALSE)</f>
        <v>3B</v>
      </c>
      <c r="T36" s="123">
        <f>71-CODE(L36)</f>
        <v>5</v>
      </c>
      <c r="X36" s="131">
        <f t="shared" si="13"/>
        <v>2</v>
      </c>
      <c r="Y36" s="146" t="str">
        <f>M14</f>
        <v>Rumänien</v>
      </c>
      <c r="Z36" s="123">
        <f>N14</f>
        <v>3</v>
      </c>
      <c r="AA36" s="123">
        <f>O14</f>
        <v>1</v>
      </c>
      <c r="AB36" s="123">
        <f>P14</f>
        <v>2</v>
      </c>
      <c r="AC36" s="123">
        <f>Q14</f>
        <v>-1</v>
      </c>
      <c r="AD36" s="133">
        <f t="shared" si="14"/>
        <v>299010000000005</v>
      </c>
      <c r="AE36" s="134"/>
      <c r="AF36" s="123" t="str">
        <f>N19</f>
        <v>3B</v>
      </c>
      <c r="AV36" s="134">
        <v>5</v>
      </c>
      <c r="BJ36"/>
      <c r="BK36"/>
      <c r="BL36"/>
      <c r="BM36"/>
      <c r="BN36"/>
      <c r="BO36"/>
      <c r="BP36"/>
      <c r="BQ36"/>
      <c r="BR36"/>
      <c r="BS36" s="143"/>
      <c r="BT36" s="143"/>
      <c r="BU36" s="143"/>
      <c r="CE36"/>
      <c r="CF36" s="144" t="s">
        <v>86</v>
      </c>
      <c r="CG36" s="144"/>
      <c r="CH36" s="144" t="s">
        <v>92</v>
      </c>
      <c r="CI36" s="145" t="s">
        <v>88</v>
      </c>
      <c r="CJ36" s="145"/>
      <c r="CK36" s="145"/>
      <c r="CL36" s="145"/>
      <c r="CM36" s="145" t="s">
        <v>90</v>
      </c>
      <c r="CN36" s="145" t="s">
        <v>89</v>
      </c>
      <c r="CO36" s="145"/>
      <c r="CP36" s="145" t="s">
        <v>86</v>
      </c>
      <c r="CQ36" s="145"/>
    </row>
    <row r="37" spans="1:95" ht="12.75">
      <c r="A37" s="33"/>
      <c r="B37" s="67" t="str">
        <f>CONCATENATE("3",D37)</f>
        <v>3C</v>
      </c>
      <c r="C37" s="68" t="str">
        <f>IF(AND(N$35=0,N$36=0,N$37=0,N$38=0),"",VLOOKUP(3,$F$35:$M$43,8,FALSE))</f>
        <v>Schweden</v>
      </c>
      <c r="D37" s="1" t="str">
        <f>IF(AND(N$35=0,N$36=0,N$37=0,N$38=0),"",VLOOKUP(3,$F$35:$M$38,7,FALSE))</f>
        <v>C</v>
      </c>
      <c r="F37" s="1">
        <f>RANK(T37,$T$35:$T$38)</f>
        <v>3</v>
      </c>
      <c r="I37" s="2"/>
      <c r="K37" s="11"/>
      <c r="L37" s="158" t="str">
        <f t="shared" si="12"/>
        <v>C</v>
      </c>
      <c r="M37" s="158" t="str">
        <f>VLOOKUP(3,$X$35:$AC$40,2,FALSE)</f>
        <v>Schweden</v>
      </c>
      <c r="N37" s="2">
        <f>VLOOKUP(3,$X$35:$AC$40,3,FALSE)</f>
        <v>3</v>
      </c>
      <c r="O37" s="2">
        <f>VLOOKUP(3,$X$35:$AC$40,4,FALSE)</f>
        <v>1</v>
      </c>
      <c r="P37" s="2">
        <f>VLOOKUP(3,$X$35:$AC$40,5,FALSE)</f>
        <v>2</v>
      </c>
      <c r="Q37" s="2">
        <f>VLOOKUP(3,$X$35:$AC$40,6,FALSE)</f>
        <v>-1</v>
      </c>
      <c r="R37" s="21" t="str">
        <f>VLOOKUP(3,$X$35:$AF$40,9,FALSE)</f>
        <v>3C</v>
      </c>
      <c r="T37" s="123">
        <f>71-CODE(L37)</f>
        <v>4</v>
      </c>
      <c r="X37" s="131">
        <f t="shared" si="13"/>
        <v>3</v>
      </c>
      <c r="Y37" s="146" t="str">
        <f>M24</f>
        <v>Schweden</v>
      </c>
      <c r="Z37" s="123">
        <f>N24</f>
        <v>3</v>
      </c>
      <c r="AA37" s="123">
        <f>O24</f>
        <v>1</v>
      </c>
      <c r="AB37" s="123">
        <f>P24</f>
        <v>2</v>
      </c>
      <c r="AC37" s="123">
        <f>Q24</f>
        <v>-1</v>
      </c>
      <c r="AD37" s="133">
        <f t="shared" si="14"/>
        <v>299010000000004</v>
      </c>
      <c r="AE37" s="134"/>
      <c r="AF37" s="123" t="str">
        <f>N29</f>
        <v>3C</v>
      </c>
      <c r="AV37" s="134">
        <v>4</v>
      </c>
      <c r="BJ37"/>
      <c r="BK37"/>
      <c r="BL37"/>
      <c r="BM37"/>
      <c r="BN37"/>
      <c r="BO37"/>
      <c r="BP37"/>
      <c r="BQ37"/>
      <c r="BR37"/>
      <c r="BS37" s="143"/>
      <c r="BT37" s="143"/>
      <c r="BU37" s="143"/>
      <c r="CE37"/>
      <c r="CF37" s="144" t="s">
        <v>87</v>
      </c>
      <c r="CG37" s="144"/>
      <c r="CH37" s="144" t="s">
        <v>93</v>
      </c>
      <c r="CI37" s="145" t="s">
        <v>89</v>
      </c>
      <c r="CJ37" s="145"/>
      <c r="CK37" s="145"/>
      <c r="CL37" s="145"/>
      <c r="CM37" s="145" t="s">
        <v>91</v>
      </c>
      <c r="CN37" s="145" t="s">
        <v>93</v>
      </c>
      <c r="CO37" s="145"/>
      <c r="CP37" s="145" t="s">
        <v>87</v>
      </c>
      <c r="CQ37" s="145"/>
    </row>
    <row r="38" spans="1:95" ht="12.75">
      <c r="A38" s="33"/>
      <c r="B38" s="67" t="str">
        <f>CONCATENATE("3",D38)</f>
        <v>3D</v>
      </c>
      <c r="C38" s="68" t="str">
        <f>IF(AND(N$35=0,N$36=0,N$37=0,N$38=0),"",VLOOKUP(4,$F$35:$M$43,8,FALSE))</f>
        <v>Ungarn</v>
      </c>
      <c r="D38" s="1" t="str">
        <f>IF(AND(N$35=0,N$36=0,N$37=0,N$38=0),"",VLOOKUP(4,$F$35:$M$38,7,FALSE))</f>
        <v>D</v>
      </c>
      <c r="F38" s="1">
        <f>RANK(T38,$T$35:$T$38)</f>
        <v>4</v>
      </c>
      <c r="I38" s="2"/>
      <c r="K38" s="11"/>
      <c r="L38" s="158" t="str">
        <f t="shared" si="12"/>
        <v>D</v>
      </c>
      <c r="M38" s="158" t="str">
        <f>VLOOKUP(4,$X$35:$AC$40,2,FALSE)</f>
        <v>Ungarn</v>
      </c>
      <c r="N38" s="2">
        <f>VLOOKUP(4,$X$35:$AC$40,3,FALSE)</f>
        <v>3</v>
      </c>
      <c r="O38" s="2">
        <f>VLOOKUP(4,$X$35:$AC$40,4,FALSE)</f>
        <v>1</v>
      </c>
      <c r="P38" s="2">
        <f>VLOOKUP(4,$X$35:$AC$40,5,FALSE)</f>
        <v>2</v>
      </c>
      <c r="Q38" s="2">
        <f>VLOOKUP(4,$X$35:$AC$40,6,FALSE)</f>
        <v>-1</v>
      </c>
      <c r="R38" s="21" t="str">
        <f>VLOOKUP(4,$X$35:$AF$40,9,FALSE)</f>
        <v>3D</v>
      </c>
      <c r="T38" s="123">
        <f>71-CODE(L38)</f>
        <v>3</v>
      </c>
      <c r="X38" s="131">
        <f t="shared" si="13"/>
        <v>4</v>
      </c>
      <c r="Y38" s="146" t="str">
        <f>BM4</f>
        <v>Ungarn</v>
      </c>
      <c r="Z38" s="123">
        <f>BN4</f>
        <v>3</v>
      </c>
      <c r="AA38" s="123">
        <f>BO4</f>
        <v>1</v>
      </c>
      <c r="AB38" s="123">
        <f>BP4</f>
        <v>2</v>
      </c>
      <c r="AC38" s="123">
        <f>BQ4</f>
        <v>-1</v>
      </c>
      <c r="AD38" s="133">
        <f t="shared" si="14"/>
        <v>299010000000003</v>
      </c>
      <c r="AE38" s="134"/>
      <c r="AF38" s="123" t="str">
        <f>BN9</f>
        <v>3D</v>
      </c>
      <c r="AV38" s="134">
        <v>3</v>
      </c>
      <c r="BJ38"/>
      <c r="BK38"/>
      <c r="BL38"/>
      <c r="BM38"/>
      <c r="BN38"/>
      <c r="BO38"/>
      <c r="BP38"/>
      <c r="BQ38"/>
      <c r="BR38"/>
      <c r="BS38" s="143"/>
      <c r="BT38" s="143"/>
      <c r="BU38" s="143"/>
      <c r="CE38"/>
      <c r="CF38" s="144" t="s">
        <v>90</v>
      </c>
      <c r="CG38" s="144"/>
      <c r="CH38" s="144" t="s">
        <v>95</v>
      </c>
      <c r="CI38" s="145" t="s">
        <v>90</v>
      </c>
      <c r="CJ38" s="145"/>
      <c r="CK38" s="145"/>
      <c r="CL38" s="145"/>
      <c r="CM38" s="145" t="s">
        <v>92</v>
      </c>
      <c r="CN38" s="145" t="s">
        <v>94</v>
      </c>
      <c r="CO38" s="145"/>
      <c r="CP38" s="145" t="s">
        <v>92</v>
      </c>
      <c r="CQ38" s="145"/>
    </row>
    <row r="39" spans="1:95" ht="12.75">
      <c r="A39" s="33"/>
      <c r="H39" s="2"/>
      <c r="I39" s="2"/>
      <c r="K39" s="11"/>
      <c r="L39" s="1" t="str">
        <f t="shared" si="12"/>
        <v>E</v>
      </c>
      <c r="M39" s="11" t="str">
        <f>VLOOKUP(5,$X$35:$AC$40,2,FALSE)</f>
        <v>Polen</v>
      </c>
      <c r="N39" s="2">
        <f>VLOOKUP(5,$X$35:$AC$40,3,FALSE)</f>
        <v>3</v>
      </c>
      <c r="O39" s="2">
        <f>VLOOKUP(5,$X$35:$AC$40,4,FALSE)</f>
        <v>1</v>
      </c>
      <c r="P39" s="2">
        <f>VLOOKUP(5,$X$35:$AC$40,5,FALSE)</f>
        <v>2</v>
      </c>
      <c r="Q39" s="2">
        <f>VLOOKUP(5,$X$35:$AC$40,6,FALSE)</f>
        <v>-1</v>
      </c>
      <c r="R39" s="21" t="str">
        <f>VLOOKUP(5,$X$35:$AF$40,9,FALSE)</f>
        <v>3E</v>
      </c>
      <c r="X39" s="131">
        <f t="shared" si="13"/>
        <v>5</v>
      </c>
      <c r="Y39" s="146" t="str">
        <f>BM14</f>
        <v>Polen</v>
      </c>
      <c r="Z39" s="123">
        <f>BN14</f>
        <v>3</v>
      </c>
      <c r="AA39" s="123">
        <f>BO14</f>
        <v>1</v>
      </c>
      <c r="AB39" s="123">
        <f>BP14</f>
        <v>2</v>
      </c>
      <c r="AC39" s="123">
        <f>BQ14</f>
        <v>-1</v>
      </c>
      <c r="AD39" s="133">
        <f t="shared" si="14"/>
        <v>299010000000002</v>
      </c>
      <c r="AE39" s="134"/>
      <c r="AF39" s="123" t="str">
        <f>BN19</f>
        <v>3E</v>
      </c>
      <c r="AV39" s="134">
        <v>2</v>
      </c>
      <c r="BJ39"/>
      <c r="BK39"/>
      <c r="BL39"/>
      <c r="BM39"/>
      <c r="BN39"/>
      <c r="BO39"/>
      <c r="BP39"/>
      <c r="BQ39"/>
      <c r="BR39"/>
      <c r="BS39" s="143"/>
      <c r="BT39" s="143"/>
      <c r="BU39" s="143"/>
      <c r="CE39"/>
      <c r="CF39" s="144" t="s">
        <v>91</v>
      </c>
      <c r="CG39" s="144"/>
      <c r="CH39" s="144" t="s">
        <v>96</v>
      </c>
      <c r="CI39" s="145" t="s">
        <v>92</v>
      </c>
      <c r="CJ39" s="145"/>
      <c r="CK39" s="145"/>
      <c r="CL39" s="145"/>
      <c r="CM39" s="145" t="s">
        <v>96</v>
      </c>
      <c r="CN39" s="145" t="s">
        <v>95</v>
      </c>
      <c r="CO39" s="145"/>
      <c r="CP39" s="145" t="s">
        <v>93</v>
      </c>
      <c r="CQ39" s="145"/>
    </row>
    <row r="40" spans="1:95" ht="12.75">
      <c r="A40" s="33"/>
      <c r="H40" s="2"/>
      <c r="I40" s="2"/>
      <c r="K40" s="11"/>
      <c r="L40" s="1" t="str">
        <f t="shared" si="12"/>
        <v>F</v>
      </c>
      <c r="M40" s="11" t="str">
        <f>VLOOKUP(6,$X$35:$AC$40,2,FALSE)</f>
        <v>Tschechien</v>
      </c>
      <c r="N40" s="2">
        <f>VLOOKUP(6,$X$35:$AC$40,3,FALSE)</f>
        <v>3</v>
      </c>
      <c r="O40" s="2">
        <f>VLOOKUP(6,$X$35:$AC$40,4,FALSE)</f>
        <v>1</v>
      </c>
      <c r="P40" s="2">
        <f>VLOOKUP(6,$X$35:$AC$40,5,FALSE)</f>
        <v>2</v>
      </c>
      <c r="Q40" s="2">
        <f>VLOOKUP(6,$X$35:$AC$40,6,FALSE)</f>
        <v>-1</v>
      </c>
      <c r="R40" s="21" t="str">
        <f>VLOOKUP(6,$X$35:$AF$40,9,FALSE)</f>
        <v>3F</v>
      </c>
      <c r="X40" s="131">
        <f t="shared" si="13"/>
        <v>6</v>
      </c>
      <c r="Y40" s="146" t="str">
        <f>BM24</f>
        <v>Tschechien</v>
      </c>
      <c r="Z40" s="123">
        <f>BN24</f>
        <v>3</v>
      </c>
      <c r="AA40" s="123">
        <f>BO24</f>
        <v>1</v>
      </c>
      <c r="AB40" s="123">
        <f>BP24</f>
        <v>2</v>
      </c>
      <c r="AC40" s="123">
        <f>BQ24</f>
        <v>-1</v>
      </c>
      <c r="AD40" s="133">
        <f t="shared" si="14"/>
        <v>299010000000001</v>
      </c>
      <c r="AE40" s="134"/>
      <c r="AF40" s="123" t="str">
        <f>BN29</f>
        <v>3F</v>
      </c>
      <c r="AV40" s="134">
        <v>1</v>
      </c>
      <c r="BJ40"/>
      <c r="BK40"/>
      <c r="BL40"/>
      <c r="BM40"/>
      <c r="BN40"/>
      <c r="BO40"/>
      <c r="BP40"/>
      <c r="BQ40"/>
      <c r="BR40"/>
      <c r="BS40" s="143"/>
      <c r="BT40" s="143"/>
      <c r="BU40" s="143"/>
      <c r="CE40"/>
      <c r="CF40" s="144"/>
      <c r="CG40" s="144"/>
      <c r="CH40" s="144"/>
      <c r="CI40" s="145" t="s">
        <v>93</v>
      </c>
      <c r="CJ40" s="145"/>
      <c r="CK40" s="145"/>
      <c r="CL40" s="145"/>
      <c r="CM40" s="145"/>
      <c r="CN40" s="145"/>
      <c r="CO40" s="145"/>
      <c r="CP40" s="145" t="s">
        <v>94</v>
      </c>
      <c r="CQ40" s="145"/>
    </row>
    <row r="41" spans="1:95" ht="12.75">
      <c r="A41" s="33"/>
      <c r="H41" s="2"/>
      <c r="I41" s="2"/>
      <c r="J41" s="1"/>
      <c r="K41" s="2"/>
      <c r="M41" s="2"/>
      <c r="AE41" s="123"/>
      <c r="BJ41"/>
      <c r="BK41"/>
      <c r="BL41"/>
      <c r="BM41"/>
      <c r="BN41"/>
      <c r="BO41"/>
      <c r="BP41"/>
      <c r="BQ41"/>
      <c r="BR41"/>
      <c r="BS41" s="143"/>
      <c r="BT41" s="143"/>
      <c r="BU41" s="143"/>
      <c r="CE41"/>
      <c r="CF41" s="144"/>
      <c r="CG41" s="144"/>
      <c r="CH41" s="144"/>
      <c r="CI41" s="145" t="s">
        <v>96</v>
      </c>
      <c r="CJ41" s="145"/>
      <c r="CK41" s="145"/>
      <c r="CL41" s="145"/>
      <c r="CM41" s="145"/>
      <c r="CN41" s="145"/>
      <c r="CO41" s="145"/>
      <c r="CP41" s="145" t="s">
        <v>95</v>
      </c>
      <c r="CQ41" s="145"/>
    </row>
    <row r="42" spans="1:100" ht="12.75">
      <c r="A42" s="33"/>
      <c r="H42" s="2"/>
      <c r="I42" s="2"/>
      <c r="J42" s="1"/>
      <c r="K42" s="2"/>
      <c r="M42" s="2"/>
      <c r="AD42" s="123" t="s">
        <v>119</v>
      </c>
      <c r="AE42" s="123"/>
      <c r="BJ42"/>
      <c r="BK42"/>
      <c r="BL42"/>
      <c r="BM42"/>
      <c r="BN42"/>
      <c r="BO42"/>
      <c r="BP42"/>
      <c r="BQ42"/>
      <c r="BR42"/>
      <c r="BS42" s="143"/>
      <c r="BT42" s="143"/>
      <c r="BU42" s="143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84" ht="12.75" customHeight="1">
      <c r="A43" s="33"/>
      <c r="H43" s="2"/>
      <c r="I43" s="2"/>
      <c r="J43" s="1"/>
      <c r="K43" s="2"/>
      <c r="M43" s="2"/>
      <c r="AD43" s="123" t="s">
        <v>121</v>
      </c>
      <c r="AE43" s="123"/>
      <c r="AX43" s="116"/>
      <c r="AY43" s="116"/>
      <c r="AZ43" s="116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3"/>
      <c r="I44" s="14"/>
      <c r="J44" s="13"/>
      <c r="AD44" s="138"/>
      <c r="AX44" s="116"/>
      <c r="AY44" s="116"/>
      <c r="AZ44" s="116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3"/>
      <c r="I45" s="14"/>
      <c r="J45" s="13"/>
      <c r="AD45" s="138"/>
      <c r="AX45" s="116"/>
      <c r="AY45" s="116"/>
      <c r="AZ45" s="116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3"/>
      <c r="I46" s="14"/>
      <c r="J46" s="13"/>
      <c r="AD46" s="138"/>
      <c r="AX46" s="116"/>
      <c r="AY46" s="116"/>
      <c r="AZ46" s="11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s="12" customFormat="1" ht="12.75">
      <c r="B47" s="24" t="s">
        <v>41</v>
      </c>
      <c r="C47" s="30"/>
      <c r="D47" s="24"/>
      <c r="E47" s="21"/>
      <c r="F47" s="24"/>
      <c r="G47" s="24"/>
      <c r="H47" s="28"/>
      <c r="I47" s="27"/>
      <c r="J47" s="28"/>
      <c r="K47" s="78"/>
      <c r="L47" s="24"/>
      <c r="M47" s="30"/>
      <c r="N47" s="24"/>
      <c r="O47" s="24"/>
      <c r="P47" s="24"/>
      <c r="Q47" s="24"/>
      <c r="R47" s="24"/>
      <c r="S47" s="124"/>
      <c r="T47" s="124"/>
      <c r="U47" s="124"/>
      <c r="V47" s="124"/>
      <c r="W47" s="124"/>
      <c r="X47" s="124"/>
      <c r="Y47" s="3" t="s">
        <v>124</v>
      </c>
      <c r="Z47" s="131"/>
      <c r="AA47" s="123"/>
      <c r="AB47" s="131" t="s">
        <v>97</v>
      </c>
      <c r="AC47" s="131"/>
      <c r="AD47" s="138"/>
      <c r="AE47" s="27" t="s">
        <v>125</v>
      </c>
      <c r="AF47" s="131"/>
      <c r="AG47" s="124"/>
      <c r="AH47" s="124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16"/>
      <c r="AY47" s="116"/>
      <c r="AZ47" s="116"/>
      <c r="BA47" s="2"/>
      <c r="BB47" s="79" t="s">
        <v>50</v>
      </c>
      <c r="BC47" s="30"/>
      <c r="BD47" s="24"/>
      <c r="BE47" s="21"/>
      <c r="BF47" s="24"/>
      <c r="BG47" s="24"/>
      <c r="BH47" s="28"/>
      <c r="BI47" s="27"/>
      <c r="BJ47" s="100"/>
      <c r="BK47" s="78"/>
      <c r="BL47" s="24"/>
      <c r="BM47" s="30"/>
      <c r="BN47" s="24"/>
      <c r="BO47" s="24"/>
      <c r="BP47" s="24"/>
      <c r="BQ47" s="1"/>
      <c r="BR47" s="1"/>
      <c r="BS47" s="131"/>
      <c r="BT47" s="131"/>
      <c r="BU47" s="131"/>
      <c r="BV47" s="131"/>
      <c r="BW47" s="131"/>
      <c r="BX47" s="131"/>
      <c r="BY47" s="132"/>
      <c r="BZ47" s="131"/>
      <c r="CA47" s="131"/>
      <c r="CB47" s="131"/>
      <c r="CC47" s="131"/>
      <c r="CD47" s="131"/>
      <c r="CE47" s="138"/>
      <c r="CF47" s="139"/>
      <c r="CG47" s="131"/>
      <c r="CH47" s="131"/>
      <c r="CI47" s="123"/>
      <c r="CJ47" s="123"/>
      <c r="CK47" s="123"/>
      <c r="CL47" s="123"/>
      <c r="CM47" s="123"/>
      <c r="CN47" s="123"/>
      <c r="CO47" s="131"/>
      <c r="CP47" s="123"/>
      <c r="CQ47" s="123"/>
      <c r="CR47" s="123"/>
      <c r="CS47" s="123"/>
      <c r="CT47" s="123"/>
      <c r="CU47" s="123"/>
      <c r="CV47" s="123"/>
      <c r="CW47" s="123"/>
      <c r="CX47" s="116"/>
      <c r="CY47" s="116"/>
      <c r="CZ47" s="116"/>
    </row>
    <row r="48" spans="1:104" ht="12.75">
      <c r="A48" s="2">
        <v>37</v>
      </c>
      <c r="B48" s="7">
        <v>42546.625</v>
      </c>
      <c r="C48" s="4" t="s">
        <v>143</v>
      </c>
      <c r="D48" s="43" t="str">
        <f>M8</f>
        <v>Russland</v>
      </c>
      <c r="E48" s="22" t="s">
        <v>21</v>
      </c>
      <c r="F48" s="72" t="str">
        <f>M28</f>
        <v>Italien</v>
      </c>
      <c r="G48" s="24"/>
      <c r="H48" s="136">
        <f aca="true" ca="1" t="shared" si="15" ref="H48:H55">IF($B$64="",1,IF(OR(J48&lt;1,INT(RAND()*10&lt;6)),J48+1,J48-1))</f>
        <v>1</v>
      </c>
      <c r="I48" s="28" t="s">
        <v>22</v>
      </c>
      <c r="J48" s="136">
        <f aca="true" ca="1" t="shared" si="16" ref="J48:J55">IF($B$64="",0,INT(RAND()*5)+INT(RAND()*3)*INT(RAND()*2))</f>
        <v>0</v>
      </c>
      <c r="K48" s="9" t="s">
        <v>23</v>
      </c>
      <c r="L48" s="1"/>
      <c r="M48" s="103" t="str">
        <f aca="true" t="shared" si="17" ref="M48:M55">IF(J48="","",IF(J48=H48,"falsch!!! K.Remis",IF(H48&gt;J48,D48,F48)))</f>
        <v>Russland</v>
      </c>
      <c r="N48" s="1" t="str">
        <f>N8</f>
        <v>2A</v>
      </c>
      <c r="O48" s="1" t="str">
        <f>N28</f>
        <v>2C</v>
      </c>
      <c r="P48" s="1" t="s">
        <v>42</v>
      </c>
      <c r="Q48" s="1"/>
      <c r="V48" s="131"/>
      <c r="W48" s="131"/>
      <c r="Y48" s="1"/>
      <c r="Z48" s="131"/>
      <c r="AB48" s="131"/>
      <c r="AC48" s="116"/>
      <c r="AD48" s="116"/>
      <c r="AE48" s="134"/>
      <c r="AF48" s="116"/>
      <c r="AG48" s="131"/>
      <c r="AH48" s="131"/>
      <c r="AX48" s="116"/>
      <c r="AY48" s="116"/>
      <c r="AZ48" s="116"/>
      <c r="BA48" s="2">
        <f>A55+1</f>
        <v>45</v>
      </c>
      <c r="BB48" s="7">
        <v>42551.875</v>
      </c>
      <c r="BC48" s="4" t="s">
        <v>139</v>
      </c>
      <c r="BD48" s="104" t="str">
        <f>M48</f>
        <v>Russland</v>
      </c>
      <c r="BE48" s="22" t="s">
        <v>21</v>
      </c>
      <c r="BF48" s="104" t="str">
        <f>M49</f>
        <v>Belgien</v>
      </c>
      <c r="BG48" s="24"/>
      <c r="BH48" s="136">
        <f ca="1">IF($B$64="",1,IF(OR(BJ48&lt;1,INT(RAND()*10&lt;6)),BJ48+1,BJ48-1))</f>
        <v>1</v>
      </c>
      <c r="BI48" s="28" t="s">
        <v>22</v>
      </c>
      <c r="BJ48" s="137">
        <f ca="1">IF($B$64="",0,INT(RAND()*5)+INT(RAND()*3)*INT(RAND()*2))</f>
        <v>0</v>
      </c>
      <c r="BK48" s="9" t="s">
        <v>23</v>
      </c>
      <c r="BL48" s="1"/>
      <c r="BM48" s="105" t="str">
        <f>IF(BJ48="","",IF(BJ48=BH48,"falsch!!! K.Remis",IF(BH48&gt;BJ48,BD48,BF48)))</f>
        <v>Russland</v>
      </c>
      <c r="BN48" s="1" t="str">
        <f>P48</f>
        <v>AF1</v>
      </c>
      <c r="BO48" s="1" t="str">
        <f>P49</f>
        <v>AF2</v>
      </c>
      <c r="BP48" s="2" t="s">
        <v>52</v>
      </c>
      <c r="BQ48" s="1"/>
      <c r="BR48" s="1"/>
      <c r="BS48" s="131"/>
      <c r="BT48" s="131"/>
      <c r="BU48" s="131"/>
      <c r="BV48" s="131"/>
      <c r="BW48" s="131"/>
      <c r="BX48" s="131"/>
      <c r="BY48" s="132"/>
      <c r="BZ48" s="131"/>
      <c r="CA48" s="131"/>
      <c r="CB48" s="131"/>
      <c r="CC48" s="131"/>
      <c r="CD48" s="131"/>
      <c r="CE48" s="138"/>
      <c r="CF48" s="139"/>
      <c r="CG48" s="131"/>
      <c r="CH48" s="131"/>
      <c r="CI48" s="123"/>
      <c r="CJ48" s="123"/>
      <c r="CK48" s="123"/>
      <c r="CL48" s="123"/>
      <c r="CM48" s="123"/>
      <c r="CN48" s="123"/>
      <c r="CO48" s="131"/>
      <c r="CP48" s="123"/>
      <c r="CQ48" s="123"/>
      <c r="CR48" s="123"/>
      <c r="CS48" s="123"/>
      <c r="CT48" s="123"/>
      <c r="CU48" s="123"/>
      <c r="CV48" s="123"/>
      <c r="CW48" s="123"/>
      <c r="CX48" s="116"/>
      <c r="CY48" s="116"/>
      <c r="CZ48" s="116"/>
    </row>
    <row r="49" spans="1:104" ht="12.75">
      <c r="A49" s="2">
        <f>A48+1</f>
        <v>38</v>
      </c>
      <c r="B49" s="7">
        <v>42546.875</v>
      </c>
      <c r="C49" s="4" t="s">
        <v>137</v>
      </c>
      <c r="D49" s="157" t="str">
        <f>BM7</f>
        <v>Belgien</v>
      </c>
      <c r="E49" s="22" t="s">
        <v>21</v>
      </c>
      <c r="F49" s="68" t="str">
        <f>VLOOKUP(O49,$B$35:$C$38,2,TRUE)</f>
        <v>Rumänien</v>
      </c>
      <c r="G49" s="24"/>
      <c r="H49" s="137">
        <f ca="1" t="shared" si="15"/>
        <v>1</v>
      </c>
      <c r="I49" s="28" t="s">
        <v>22</v>
      </c>
      <c r="J49" s="137">
        <f ca="1" t="shared" si="16"/>
        <v>0</v>
      </c>
      <c r="K49" s="9" t="s">
        <v>23</v>
      </c>
      <c r="L49" s="1"/>
      <c r="M49" s="103" t="str">
        <f t="shared" si="17"/>
        <v>Belgien</v>
      </c>
      <c r="N49" s="1" t="str">
        <f>BN7</f>
        <v>1D</v>
      </c>
      <c r="O49" s="1" t="str">
        <f>IF(AE49="",CONCATENATE("3",AB49),CONCATENATE("3",AE49))</f>
        <v>3B</v>
      </c>
      <c r="P49" s="1" t="s">
        <v>43</v>
      </c>
      <c r="Q49" s="1"/>
      <c r="V49" s="131"/>
      <c r="W49" s="131"/>
      <c r="Y49" s="3" t="s">
        <v>80</v>
      </c>
      <c r="Z49" s="131"/>
      <c r="AA49" s="131" t="s">
        <v>126</v>
      </c>
      <c r="AB49" s="148" t="str">
        <f>IF(COUNTIF($CL$33:$CL$41,C$31)&gt;0,$CL$32,IF(COUNTIF($CM$33:$CM$41,C$31)&gt;0,$CM$32,IF(COUNTIF($CN$33:$CN$41,C$31)&gt;0,$CN$32,CONCATENATE("??? ",C$31))))</f>
        <v>B</v>
      </c>
      <c r="AC49" s="116"/>
      <c r="AD49" s="116"/>
      <c r="AE49" s="13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X49" s="116"/>
      <c r="AY49" s="116"/>
      <c r="AZ49" s="116"/>
      <c r="BA49" s="2">
        <f>BA48+1</f>
        <v>46</v>
      </c>
      <c r="BB49" s="7">
        <v>42552.875</v>
      </c>
      <c r="BC49" s="4" t="s">
        <v>140</v>
      </c>
      <c r="BD49" s="81" t="str">
        <f>M50</f>
        <v>England</v>
      </c>
      <c r="BE49" s="80" t="s">
        <v>21</v>
      </c>
      <c r="BF49" s="81" t="str">
        <f>M51</f>
        <v>Deutschland</v>
      </c>
      <c r="BG49" s="24"/>
      <c r="BH49" s="136">
        <f ca="1">IF($B$64="",1,IF(OR(BJ49&lt;1,INT(RAND()*10&lt;6)),BJ49+1,BJ49-1))</f>
        <v>1</v>
      </c>
      <c r="BI49" s="28" t="s">
        <v>22</v>
      </c>
      <c r="BJ49" s="136">
        <f ca="1">IF($B$64="",0,INT(RAND()*5)+INT(RAND()*3)*INT(RAND()*2))</f>
        <v>0</v>
      </c>
      <c r="BK49" s="9" t="s">
        <v>23</v>
      </c>
      <c r="BL49" s="1"/>
      <c r="BM49" s="82" t="str">
        <f>IF(BJ49="","",IF(BJ49=BH49,"falsch!!! K.Remis",IF(BH49&gt;BJ49,BD49,BF49)))</f>
        <v>England</v>
      </c>
      <c r="BN49" s="1" t="str">
        <f>P50</f>
        <v>AF3</v>
      </c>
      <c r="BO49" s="1" t="str">
        <f>P51</f>
        <v>AF4</v>
      </c>
      <c r="BP49" s="2" t="s">
        <v>54</v>
      </c>
      <c r="BQ49" s="1"/>
      <c r="BR49" s="1"/>
      <c r="BS49" s="131"/>
      <c r="BT49" s="131"/>
      <c r="BU49" s="131"/>
      <c r="BV49" s="131"/>
      <c r="BW49" s="131"/>
      <c r="BX49" s="131"/>
      <c r="BY49" s="132"/>
      <c r="BZ49" s="131"/>
      <c r="CA49" s="131"/>
      <c r="CB49" s="131"/>
      <c r="CC49" s="131"/>
      <c r="CD49" s="131"/>
      <c r="CE49" s="138"/>
      <c r="CF49" s="139"/>
      <c r="CG49" s="131"/>
      <c r="CH49" s="131"/>
      <c r="CI49" s="123"/>
      <c r="CJ49" s="123"/>
      <c r="CK49" s="123"/>
      <c r="CL49" s="123"/>
      <c r="CM49" s="123"/>
      <c r="CN49" s="123"/>
      <c r="CO49" s="131"/>
      <c r="CP49" s="123"/>
      <c r="CQ49" s="123"/>
      <c r="CR49" s="123"/>
      <c r="CS49" s="123"/>
      <c r="CT49" s="123"/>
      <c r="CU49" s="123"/>
      <c r="CV49" s="123"/>
      <c r="CW49" s="123"/>
      <c r="CX49" s="116"/>
      <c r="CY49" s="116"/>
      <c r="CZ49" s="116"/>
    </row>
    <row r="50" spans="1:104" ht="12.75">
      <c r="A50" s="2">
        <f aca="true" t="shared" si="18" ref="A50:A55">A49+1</f>
        <v>39</v>
      </c>
      <c r="B50" s="7">
        <v>42546.75</v>
      </c>
      <c r="C50" s="4" t="s">
        <v>138</v>
      </c>
      <c r="D50" s="71" t="str">
        <f>M17</f>
        <v>England</v>
      </c>
      <c r="E50" s="22" t="s">
        <v>21</v>
      </c>
      <c r="F50" s="68" t="str">
        <f>VLOOKUP(O50,$B$35:$C$38,2,TRUE)</f>
        <v>Ungarn</v>
      </c>
      <c r="G50" s="24"/>
      <c r="H50" s="137">
        <f ca="1" t="shared" si="15"/>
        <v>1</v>
      </c>
      <c r="I50" s="28" t="s">
        <v>22</v>
      </c>
      <c r="J50" s="137">
        <f ca="1" t="shared" si="16"/>
        <v>0</v>
      </c>
      <c r="K50" s="9" t="s">
        <v>23</v>
      </c>
      <c r="L50" s="1"/>
      <c r="M50" s="83" t="str">
        <f t="shared" si="17"/>
        <v>England</v>
      </c>
      <c r="N50" s="1" t="str">
        <f>N17</f>
        <v>1B</v>
      </c>
      <c r="O50" s="1" t="str">
        <f>IF(AE50="",CONCATENATE("3",AB50),CONCATENATE("3",AE50))</f>
        <v>3D</v>
      </c>
      <c r="P50" s="1" t="s">
        <v>44</v>
      </c>
      <c r="Q50" s="1"/>
      <c r="V50" s="131"/>
      <c r="W50" s="131"/>
      <c r="Y50" s="3" t="s">
        <v>78</v>
      </c>
      <c r="Z50" s="131"/>
      <c r="AA50" s="131" t="s">
        <v>126</v>
      </c>
      <c r="AB50" s="148" t="str">
        <f>IF(COUNTIF($CF$33:$CF$41,C$31)&gt;0,$CF$32,IF(COUNTIF($CG$33:$CG$41,C$31)&gt;0,$CG$32,IF(COUNTIF($CH$33:$CH$41,C$31)&gt;0,$CH$32,CONCATENATE("??? ",C$31))))</f>
        <v>D</v>
      </c>
      <c r="AC50" s="116"/>
      <c r="AD50" s="116"/>
      <c r="AE50" s="13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X50" s="116"/>
      <c r="AY50" s="116"/>
      <c r="AZ50" s="116"/>
      <c r="BA50" s="2">
        <f>BA49+1</f>
        <v>47</v>
      </c>
      <c r="BB50" s="7">
        <v>42553.875</v>
      </c>
      <c r="BC50" s="4" t="s">
        <v>142</v>
      </c>
      <c r="BD50" s="84" t="str">
        <f>M52</f>
        <v>Spanien</v>
      </c>
      <c r="BE50" s="80" t="s">
        <v>21</v>
      </c>
      <c r="BF50" s="84" t="str">
        <f>M53</f>
        <v>Portugal</v>
      </c>
      <c r="BG50" s="24"/>
      <c r="BH50" s="136">
        <f ca="1">IF($B$64="",1,IF(OR(BJ50&lt;1,INT(RAND()*10&lt;6)),BJ50+1,BJ50-1))</f>
        <v>1</v>
      </c>
      <c r="BI50" s="28" t="s">
        <v>22</v>
      </c>
      <c r="BJ50" s="137">
        <f ca="1">IF($B$64="",0,INT(RAND()*5)+INT(RAND()*3)*INT(RAND()*2))</f>
        <v>0</v>
      </c>
      <c r="BK50" s="9" t="s">
        <v>23</v>
      </c>
      <c r="BL50" s="1"/>
      <c r="BM50" s="85" t="str">
        <f>IF(BJ50="","",IF(BJ50=BH50,"falsch!!! K.Remis",IF(BH50&gt;BJ50,BD50,BF50)))</f>
        <v>Spanien</v>
      </c>
      <c r="BN50" s="1" t="str">
        <f>P52</f>
        <v>AF5</v>
      </c>
      <c r="BO50" s="1" t="str">
        <f>P53</f>
        <v>AF6</v>
      </c>
      <c r="BP50" s="1" t="s">
        <v>51</v>
      </c>
      <c r="BQ50" s="1"/>
      <c r="BR50" s="1"/>
      <c r="BS50" s="131"/>
      <c r="BT50" s="131"/>
      <c r="BU50" s="131"/>
      <c r="BV50" s="131"/>
      <c r="BW50" s="131"/>
      <c r="BX50" s="131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23"/>
      <c r="CQ50" s="123"/>
      <c r="CR50" s="123"/>
      <c r="CS50" s="123"/>
      <c r="CT50" s="123"/>
      <c r="CU50" s="123"/>
      <c r="CV50" s="123"/>
      <c r="CW50" s="123"/>
      <c r="CX50" s="116"/>
      <c r="CY50" s="116"/>
      <c r="CZ50" s="116"/>
    </row>
    <row r="51" spans="1:104" ht="12.75">
      <c r="A51" s="2">
        <f t="shared" si="18"/>
        <v>40</v>
      </c>
      <c r="B51" s="7">
        <v>42547.875</v>
      </c>
      <c r="C51" s="4" t="s">
        <v>144</v>
      </c>
      <c r="D51" s="75" t="str">
        <f>BM27</f>
        <v>Deutschland</v>
      </c>
      <c r="E51" s="22" t="s">
        <v>21</v>
      </c>
      <c r="F51" s="74" t="str">
        <f>BM18</f>
        <v>Ukraine</v>
      </c>
      <c r="G51" s="24"/>
      <c r="H51" s="137">
        <f ca="1" t="shared" si="15"/>
        <v>1</v>
      </c>
      <c r="I51" s="28" t="s">
        <v>22</v>
      </c>
      <c r="J51" s="136">
        <f ca="1" t="shared" si="16"/>
        <v>0</v>
      </c>
      <c r="K51" s="9" t="s">
        <v>23</v>
      </c>
      <c r="L51" s="1"/>
      <c r="M51" s="83" t="str">
        <f t="shared" si="17"/>
        <v>Deutschland</v>
      </c>
      <c r="N51" s="1" t="str">
        <f>BN27</f>
        <v>1F</v>
      </c>
      <c r="O51" s="1" t="str">
        <f>BN18</f>
        <v>2E</v>
      </c>
      <c r="P51" s="1" t="s">
        <v>45</v>
      </c>
      <c r="Q51" s="1"/>
      <c r="V51" s="131"/>
      <c r="W51" s="131"/>
      <c r="Y51" s="3"/>
      <c r="Z51" s="131"/>
      <c r="AA51" s="131"/>
      <c r="AB51" s="124"/>
      <c r="AC51" s="116"/>
      <c r="AD51" s="116"/>
      <c r="AE51" s="13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X51" s="116"/>
      <c r="AY51" s="116"/>
      <c r="AZ51" s="116"/>
      <c r="BA51" s="2">
        <f>BA50+1</f>
        <v>48</v>
      </c>
      <c r="BB51" s="7">
        <v>42554.875</v>
      </c>
      <c r="BC51" s="4" t="s">
        <v>136</v>
      </c>
      <c r="BD51" s="86" t="str">
        <f>M54</f>
        <v>Kroatien</v>
      </c>
      <c r="BE51" s="22" t="s">
        <v>21</v>
      </c>
      <c r="BF51" s="86" t="str">
        <f>M55</f>
        <v>Frankreich</v>
      </c>
      <c r="BG51" s="24"/>
      <c r="BH51" s="136">
        <f ca="1">IF($B$64="",1,IF(OR(BJ51&lt;1,INT(RAND()*10&lt;6)),BJ51+1,BJ51-1))</f>
        <v>1</v>
      </c>
      <c r="BI51" s="28" t="s">
        <v>22</v>
      </c>
      <c r="BJ51" s="137">
        <f ca="1">IF($B$64="",0,INT(RAND()*5)+INT(RAND()*3)*INT(RAND()*2))</f>
        <v>0</v>
      </c>
      <c r="BK51" s="9" t="s">
        <v>23</v>
      </c>
      <c r="BL51" s="1"/>
      <c r="BM51" s="87" t="str">
        <f>IF(BJ51="","",IF(BJ51=BH51,"falsch!!! K.Remis",IF(BH51&gt;BJ51,BD51,BF51)))</f>
        <v>Kroatien</v>
      </c>
      <c r="BN51" s="1" t="str">
        <f>P54</f>
        <v>AF7</v>
      </c>
      <c r="BO51" s="1" t="str">
        <f>P55</f>
        <v>AF8</v>
      </c>
      <c r="BP51" s="1" t="s">
        <v>53</v>
      </c>
      <c r="BQ51" s="1"/>
      <c r="BR51" s="1"/>
      <c r="BS51" s="131"/>
      <c r="BT51" s="131"/>
      <c r="BU51" s="131"/>
      <c r="BV51" s="131"/>
      <c r="BW51" s="131"/>
      <c r="BX51" s="131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23"/>
      <c r="CQ51" s="123"/>
      <c r="CR51" s="123"/>
      <c r="CS51" s="123"/>
      <c r="CT51" s="123"/>
      <c r="CU51" s="123"/>
      <c r="CV51" s="123"/>
      <c r="CW51" s="123"/>
      <c r="CX51" s="116"/>
      <c r="CY51" s="116"/>
      <c r="CZ51" s="116"/>
    </row>
    <row r="52" spans="1:104" ht="12.75">
      <c r="A52" s="2">
        <f t="shared" si="18"/>
        <v>41</v>
      </c>
      <c r="B52" s="7">
        <v>42548.75</v>
      </c>
      <c r="C52" s="4" t="s">
        <v>136</v>
      </c>
      <c r="D52" s="74" t="str">
        <f>BM17</f>
        <v>Spanien</v>
      </c>
      <c r="E52" s="22" t="s">
        <v>21</v>
      </c>
      <c r="F52" s="157" t="str">
        <f>BM8</f>
        <v>Österreich</v>
      </c>
      <c r="G52" s="24"/>
      <c r="H52" s="137">
        <f ca="1" t="shared" si="15"/>
        <v>1</v>
      </c>
      <c r="I52" s="28" t="s">
        <v>22</v>
      </c>
      <c r="J52" s="137">
        <f ca="1" t="shared" si="16"/>
        <v>0</v>
      </c>
      <c r="K52" s="9" t="s">
        <v>23</v>
      </c>
      <c r="L52" s="1"/>
      <c r="M52" s="88" t="str">
        <f t="shared" si="17"/>
        <v>Spanien</v>
      </c>
      <c r="N52" s="1" t="str">
        <f>BN17</f>
        <v>1E</v>
      </c>
      <c r="O52" s="1" t="str">
        <f>BN8</f>
        <v>2D</v>
      </c>
      <c r="P52" s="1" t="s">
        <v>46</v>
      </c>
      <c r="Q52" s="1"/>
      <c r="V52" s="131"/>
      <c r="W52" s="131"/>
      <c r="Y52" s="3"/>
      <c r="Z52" s="131"/>
      <c r="AA52" s="131"/>
      <c r="AB52" s="124"/>
      <c r="AC52" s="116"/>
      <c r="AD52" s="116"/>
      <c r="AE52" s="13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X52" s="116"/>
      <c r="AY52" s="116"/>
      <c r="AZ52" s="116"/>
      <c r="BQ52" s="1"/>
      <c r="BR52" s="1"/>
      <c r="BS52" s="131"/>
      <c r="BT52" s="131"/>
      <c r="BU52" s="131"/>
      <c r="BV52" s="131"/>
      <c r="BW52" s="131"/>
      <c r="BX52" s="131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23"/>
      <c r="CQ52" s="123"/>
      <c r="CR52" s="123"/>
      <c r="CS52" s="123"/>
      <c r="CT52" s="123"/>
      <c r="CU52" s="123"/>
      <c r="CV52" s="123"/>
      <c r="CW52" s="123"/>
      <c r="CX52" s="116"/>
      <c r="CY52" s="116"/>
      <c r="CZ52" s="116"/>
    </row>
    <row r="53" spans="1:104" ht="12.75">
      <c r="A53" s="2">
        <f t="shared" si="18"/>
        <v>42</v>
      </c>
      <c r="B53" s="7">
        <v>42547.75</v>
      </c>
      <c r="C53" s="4" t="s">
        <v>140</v>
      </c>
      <c r="D53" s="72" t="str">
        <f>M27</f>
        <v>Portugal</v>
      </c>
      <c r="E53" s="22" t="s">
        <v>21</v>
      </c>
      <c r="F53" s="68" t="str">
        <f>VLOOKUP(O53,$B$35:$C$38,2,TRUE)</f>
        <v>Slowakei</v>
      </c>
      <c r="G53" s="24"/>
      <c r="H53" s="137">
        <f ca="1" t="shared" si="15"/>
        <v>1</v>
      </c>
      <c r="I53" s="28" t="s">
        <v>22</v>
      </c>
      <c r="J53" s="137">
        <f ca="1" t="shared" si="16"/>
        <v>0</v>
      </c>
      <c r="K53" s="9" t="s">
        <v>23</v>
      </c>
      <c r="L53" s="1"/>
      <c r="M53" s="88" t="str">
        <f t="shared" si="17"/>
        <v>Portugal</v>
      </c>
      <c r="N53" s="1" t="str">
        <f>N27</f>
        <v>1C</v>
      </c>
      <c r="O53" s="1" t="str">
        <f>IF(AE53="",CONCATENATE("3",AB53),CONCATENATE("3",AE53))</f>
        <v>3A</v>
      </c>
      <c r="P53" s="1" t="s">
        <v>47</v>
      </c>
      <c r="Q53" s="1"/>
      <c r="V53" s="131"/>
      <c r="W53" s="131"/>
      <c r="Y53" s="3" t="s">
        <v>81</v>
      </c>
      <c r="Z53" s="131"/>
      <c r="AA53" s="131" t="s">
        <v>126</v>
      </c>
      <c r="AB53" s="148" t="str">
        <f>IF(COUNTIF($CO$33:$CO$41,C$31)&gt;0,$CO$32,IF(COUNTIF($CP$33:$CP$41,C$31)&gt;0,$CP$32,IF(COUNTIF($CQ$33:$CQ$41,C$31)&gt;0,$CQ$32,CONCATENATE("??? ",C$31))))</f>
        <v>A</v>
      </c>
      <c r="AC53" s="116"/>
      <c r="AD53" s="116"/>
      <c r="AE53" s="13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X53" s="116"/>
      <c r="AY53" s="116"/>
      <c r="AZ53" s="116"/>
      <c r="BQ53" s="1"/>
      <c r="BR53" s="1"/>
      <c r="BS53" s="131"/>
      <c r="BT53" s="131"/>
      <c r="BU53" s="131"/>
      <c r="BV53" s="131"/>
      <c r="BW53" s="131"/>
      <c r="BX53" s="131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23"/>
      <c r="CQ53" s="123"/>
      <c r="CR53" s="123"/>
      <c r="CS53" s="123"/>
      <c r="CT53" s="123"/>
      <c r="CU53" s="123"/>
      <c r="CV53" s="123"/>
      <c r="CW53" s="123"/>
      <c r="CX53" s="116"/>
      <c r="CY53" s="116"/>
      <c r="CZ53" s="116"/>
    </row>
    <row r="54" spans="1:104" ht="12.75">
      <c r="A54" s="2">
        <f t="shared" si="18"/>
        <v>43</v>
      </c>
      <c r="B54" s="7">
        <v>42548.875</v>
      </c>
      <c r="C54" s="4" t="s">
        <v>145</v>
      </c>
      <c r="D54" s="71" t="str">
        <f>M18</f>
        <v>Kroatien</v>
      </c>
      <c r="E54" s="22" t="s">
        <v>21</v>
      </c>
      <c r="F54" s="75" t="str">
        <f>BM28</f>
        <v>Schweiz</v>
      </c>
      <c r="G54" s="24"/>
      <c r="H54" s="137">
        <f ca="1" t="shared" si="15"/>
        <v>1</v>
      </c>
      <c r="I54" s="28" t="s">
        <v>22</v>
      </c>
      <c r="J54" s="137">
        <f ca="1" t="shared" si="16"/>
        <v>0</v>
      </c>
      <c r="K54" s="9" t="s">
        <v>23</v>
      </c>
      <c r="L54" s="1"/>
      <c r="M54" s="90" t="str">
        <f t="shared" si="17"/>
        <v>Kroatien</v>
      </c>
      <c r="N54" s="1" t="str">
        <f>N18</f>
        <v>2B</v>
      </c>
      <c r="O54" s="1" t="str">
        <f>BN28</f>
        <v>2F</v>
      </c>
      <c r="P54" s="1" t="s">
        <v>48</v>
      </c>
      <c r="Q54" s="1"/>
      <c r="V54" s="131"/>
      <c r="W54" s="131"/>
      <c r="Y54" s="3"/>
      <c r="Z54" s="131"/>
      <c r="AA54" s="131"/>
      <c r="AB54" s="124"/>
      <c r="AC54" s="116"/>
      <c r="AD54" s="116"/>
      <c r="AE54" s="13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X54" s="116"/>
      <c r="AY54" s="116"/>
      <c r="AZ54" s="116"/>
      <c r="BB54" s="89" t="s">
        <v>55</v>
      </c>
      <c r="BC54" s="30"/>
      <c r="BD54" s="24"/>
      <c r="BE54" s="21"/>
      <c r="BF54" s="24"/>
      <c r="BG54" s="24"/>
      <c r="BH54" s="28"/>
      <c r="BI54" s="27"/>
      <c r="BJ54" s="28"/>
      <c r="BK54" s="78"/>
      <c r="BL54" s="24"/>
      <c r="BM54" s="30"/>
      <c r="BN54" s="24"/>
      <c r="BO54" s="24"/>
      <c r="BP54" s="24"/>
      <c r="BQ54" s="1"/>
      <c r="BR54" s="1"/>
      <c r="BS54" s="131"/>
      <c r="BT54" s="131"/>
      <c r="BU54" s="131"/>
      <c r="BV54" s="131"/>
      <c r="BW54" s="131"/>
      <c r="BX54" s="131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23"/>
      <c r="CQ54" s="123"/>
      <c r="CR54" s="123"/>
      <c r="CS54" s="123"/>
      <c r="CT54" s="123"/>
      <c r="CU54" s="123"/>
      <c r="CV54" s="123"/>
      <c r="CW54" s="123"/>
      <c r="CX54" s="116"/>
      <c r="CY54" s="116"/>
      <c r="CZ54" s="116"/>
    </row>
    <row r="55" spans="1:104" ht="12.75">
      <c r="A55" s="2">
        <f t="shared" si="18"/>
        <v>44</v>
      </c>
      <c r="B55" s="7">
        <v>42547.625</v>
      </c>
      <c r="C55" s="4" t="s">
        <v>141</v>
      </c>
      <c r="D55" s="70" t="str">
        <f>M7</f>
        <v>Frankreich</v>
      </c>
      <c r="E55" s="22" t="s">
        <v>21</v>
      </c>
      <c r="F55" s="68" t="str">
        <f>VLOOKUP(O55,$B$35:$C$38,2,TRUE)</f>
        <v>Schweden</v>
      </c>
      <c r="G55" s="24"/>
      <c r="H55" s="137">
        <f ca="1" t="shared" si="15"/>
        <v>1</v>
      </c>
      <c r="I55" s="28" t="s">
        <v>22</v>
      </c>
      <c r="J55" s="137">
        <f ca="1" t="shared" si="16"/>
        <v>0</v>
      </c>
      <c r="K55" s="9" t="s">
        <v>23</v>
      </c>
      <c r="L55" s="1"/>
      <c r="M55" s="90" t="str">
        <f t="shared" si="17"/>
        <v>Frankreich</v>
      </c>
      <c r="N55" s="1" t="str">
        <f>N7</f>
        <v>1A</v>
      </c>
      <c r="O55" s="1" t="str">
        <f>IF(AE55="",CONCATENATE("3",AB55),CONCATENATE("3",AE55))</f>
        <v>3C</v>
      </c>
      <c r="P55" s="1" t="s">
        <v>49</v>
      </c>
      <c r="Q55" s="1"/>
      <c r="V55" s="131"/>
      <c r="W55" s="131"/>
      <c r="Y55" s="3" t="s">
        <v>79</v>
      </c>
      <c r="Z55" s="131"/>
      <c r="AA55" s="131" t="s">
        <v>126</v>
      </c>
      <c r="AB55" s="148" t="str">
        <f>IF(COUNTIF($CI$33:$CI$41,C$31)&gt;0,$CI$32,IF(COUNTIF($CJ$33:$CJ$41,C$31)&gt;0,$CJ$32,IF(COUNTIF($CK$33:$CK$41,C$31)&gt;0,$CK$32,CONCATENATE("??? ",C$31))))</f>
        <v>C</v>
      </c>
      <c r="AC55" s="116"/>
      <c r="AD55" s="116"/>
      <c r="AE55" s="13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X55" s="116"/>
      <c r="AY55" s="116"/>
      <c r="AZ55" s="116"/>
      <c r="BA55" s="2">
        <f>BA51+1</f>
        <v>49</v>
      </c>
      <c r="BB55" s="7">
        <v>42557.875</v>
      </c>
      <c r="BC55" s="4" t="s">
        <v>141</v>
      </c>
      <c r="BD55" s="106" t="str">
        <f>BM48</f>
        <v>Russland</v>
      </c>
      <c r="BE55" s="30" t="s">
        <v>21</v>
      </c>
      <c r="BF55" s="26" t="str">
        <f>BM49</f>
        <v>England</v>
      </c>
      <c r="BG55" s="24"/>
      <c r="BH55" s="136">
        <f ca="1">IF($B$64="",1,IF(OR(BJ55&lt;1,INT(RAND()*10&lt;6)),BJ55+1,BJ55-1))</f>
        <v>1</v>
      </c>
      <c r="BI55" s="28" t="s">
        <v>22</v>
      </c>
      <c r="BJ55" s="136">
        <f ca="1">IF($B$64="",0,INT(RAND()*5)+INT(RAND()*3)*INT(RAND()*2))</f>
        <v>0</v>
      </c>
      <c r="BK55" s="9" t="s">
        <v>23</v>
      </c>
      <c r="BL55" s="1"/>
      <c r="BM55" s="107" t="str">
        <f>IF(BJ55="","",IF(BJ55=BH55,"falsch!!! K.Remis",IF(BH55&gt;BJ55,BD55,BF55)))</f>
        <v>Russland</v>
      </c>
      <c r="BN55" s="1" t="s">
        <v>52</v>
      </c>
      <c r="BO55" s="1" t="s">
        <v>54</v>
      </c>
      <c r="BP55" s="1" t="s">
        <v>56</v>
      </c>
      <c r="BQ55" s="1"/>
      <c r="BR55" s="1"/>
      <c r="BS55" s="131"/>
      <c r="BT55" s="131"/>
      <c r="BU55" s="131"/>
      <c r="BV55" s="131"/>
      <c r="BW55" s="131"/>
      <c r="BX55" s="131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23"/>
      <c r="CQ55" s="123"/>
      <c r="CR55" s="123"/>
      <c r="CS55" s="123"/>
      <c r="CT55" s="123"/>
      <c r="CU55" s="123"/>
      <c r="CV55" s="123"/>
      <c r="CW55" s="123"/>
      <c r="CX55" s="116"/>
      <c r="CY55" s="116"/>
      <c r="CZ55" s="116"/>
    </row>
    <row r="56" spans="17:104" ht="12.75">
      <c r="Q56" s="1"/>
      <c r="V56" s="131"/>
      <c r="W56" s="131"/>
      <c r="Y56" s="116"/>
      <c r="Z56" s="116"/>
      <c r="AA56" s="116"/>
      <c r="AB56" s="116"/>
      <c r="AC56" s="116"/>
      <c r="AD56" s="116"/>
      <c r="AE56" s="123" t="s">
        <v>127</v>
      </c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X56" s="116"/>
      <c r="AY56" s="116"/>
      <c r="AZ56" s="116"/>
      <c r="BA56" s="2">
        <f>BA55+1</f>
        <v>50</v>
      </c>
      <c r="BB56" s="7">
        <v>42558.875</v>
      </c>
      <c r="BC56" s="4" t="s">
        <v>139</v>
      </c>
      <c r="BD56" s="91" t="str">
        <f>BM50</f>
        <v>Spanien</v>
      </c>
      <c r="BE56" s="30" t="s">
        <v>21</v>
      </c>
      <c r="BF56" s="92" t="str">
        <f>BM51</f>
        <v>Kroatien</v>
      </c>
      <c r="BG56" s="24"/>
      <c r="BH56" s="136">
        <f ca="1">IF($B$64="",1,IF(OR(BJ56&lt;1,INT(RAND()*10&lt;6)),BJ56+1,BJ56-1))</f>
        <v>1</v>
      </c>
      <c r="BI56" s="28" t="s">
        <v>22</v>
      </c>
      <c r="BJ56" s="136">
        <f ca="1">IF($B$64="",0,INT(RAND()*5)+INT(RAND()*3)*INT(RAND()*2))</f>
        <v>0</v>
      </c>
      <c r="BK56" s="9" t="s">
        <v>23</v>
      </c>
      <c r="BL56" s="1"/>
      <c r="BM56" s="107" t="str">
        <f>IF(BJ56="","",IF(BJ56=BH56,"falsch!!! K.Remis",IF(BH56&gt;BJ56,BD56,BF56)))</f>
        <v>Spanien</v>
      </c>
      <c r="BN56" s="1" t="s">
        <v>51</v>
      </c>
      <c r="BO56" s="1" t="s">
        <v>53</v>
      </c>
      <c r="BP56" s="1" t="s">
        <v>57</v>
      </c>
      <c r="BQ56" s="1"/>
      <c r="BR56" s="1"/>
      <c r="BS56" s="131"/>
      <c r="BT56" s="131"/>
      <c r="BU56" s="131"/>
      <c r="BV56" s="131"/>
      <c r="BW56" s="131"/>
      <c r="BX56" s="131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23"/>
      <c r="CQ56" s="123"/>
      <c r="CR56" s="123"/>
      <c r="CS56" s="123"/>
      <c r="CT56" s="123"/>
      <c r="CU56" s="123"/>
      <c r="CV56" s="123"/>
      <c r="CW56" s="123"/>
      <c r="CX56" s="116"/>
      <c r="CY56" s="116"/>
      <c r="CZ56" s="116"/>
    </row>
    <row r="57" spans="2:104" ht="12.75">
      <c r="B57" s="1"/>
      <c r="C57" s="3"/>
      <c r="D57" s="24"/>
      <c r="E57" s="21"/>
      <c r="F57" s="24"/>
      <c r="G57" s="24"/>
      <c r="H57" s="28"/>
      <c r="I57" s="13"/>
      <c r="J57" s="28"/>
      <c r="K57" s="78"/>
      <c r="L57" s="1"/>
      <c r="M57" s="3"/>
      <c r="N57" s="1"/>
      <c r="O57" s="1"/>
      <c r="P57" s="1"/>
      <c r="Q57" s="1"/>
      <c r="R57" s="1"/>
      <c r="S57" s="131"/>
      <c r="T57" s="131"/>
      <c r="U57" s="131"/>
      <c r="V57" s="131"/>
      <c r="W57" s="131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X57" s="116"/>
      <c r="AY57" s="116"/>
      <c r="AZ57" s="116"/>
      <c r="BB57" s="1"/>
      <c r="BC57" s="3"/>
      <c r="BD57" s="24"/>
      <c r="BE57" s="21"/>
      <c r="BF57" s="24"/>
      <c r="BG57" s="24"/>
      <c r="BH57" s="28"/>
      <c r="BI57" s="13"/>
      <c r="BJ57" s="28"/>
      <c r="BK57" s="78"/>
      <c r="BL57" s="1"/>
      <c r="BM57" s="93" t="str">
        <f>IF(BJ55="","",IF(BD55=BM55,BF55,BD55))</f>
        <v>England</v>
      </c>
      <c r="BN57" s="1"/>
      <c r="BO57" s="1"/>
      <c r="BP57" s="1" t="s">
        <v>58</v>
      </c>
      <c r="BQ57" s="1"/>
      <c r="BR57" s="1"/>
      <c r="BS57" s="131"/>
      <c r="BT57" s="131"/>
      <c r="BU57" s="131"/>
      <c r="BV57" s="131"/>
      <c r="BW57" s="131"/>
      <c r="BX57" s="131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23"/>
      <c r="CQ57" s="123"/>
      <c r="CR57" s="123"/>
      <c r="CS57" s="123"/>
      <c r="CT57" s="123"/>
      <c r="CU57" s="123"/>
      <c r="CV57" s="123"/>
      <c r="CW57" s="123"/>
      <c r="CX57" s="116"/>
      <c r="CY57" s="116"/>
      <c r="CZ57" s="116"/>
    </row>
    <row r="58" spans="2:104" ht="12.75">
      <c r="B58" s="94" t="s">
        <v>60</v>
      </c>
      <c r="C58" s="3"/>
      <c r="D58" s="12"/>
      <c r="E58" s="23"/>
      <c r="F58" s="12"/>
      <c r="G58" s="12"/>
      <c r="H58" s="101"/>
      <c r="J58" s="101"/>
      <c r="K58" s="78"/>
      <c r="M58" s="2" t="s">
        <v>174</v>
      </c>
      <c r="P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94"/>
      <c r="BC58" s="3"/>
      <c r="BD58" s="12"/>
      <c r="BE58" s="23"/>
      <c r="BF58" s="12"/>
      <c r="BG58" s="12"/>
      <c r="BH58" s="31"/>
      <c r="BJ58" s="31"/>
      <c r="BK58" s="78"/>
      <c r="BM58" s="93" t="str">
        <f>IF(BJ56="","",IF(BD56=BM56,BF56,BD56))</f>
        <v>Kroatien</v>
      </c>
      <c r="BP58" s="1" t="s">
        <v>59</v>
      </c>
      <c r="BQ58" s="1"/>
      <c r="BR58" s="1"/>
      <c r="BS58" s="131"/>
      <c r="BT58" s="131"/>
      <c r="BU58" s="131"/>
      <c r="BV58" s="131"/>
      <c r="BW58" s="131"/>
      <c r="BX58" s="131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23"/>
      <c r="CQ58" s="123"/>
      <c r="CR58" s="123"/>
      <c r="CS58" s="123"/>
      <c r="CT58" s="123"/>
      <c r="CU58" s="123"/>
      <c r="CV58" s="123"/>
      <c r="CW58" s="123"/>
      <c r="CX58" s="116"/>
      <c r="CY58" s="116"/>
      <c r="CZ58" s="116"/>
    </row>
    <row r="59" spans="1:104" ht="12.75">
      <c r="A59" s="2">
        <f>BA56+1</f>
        <v>51</v>
      </c>
      <c r="B59" s="7">
        <v>42561.875</v>
      </c>
      <c r="C59" s="4" t="s">
        <v>136</v>
      </c>
      <c r="D59" s="66" t="str">
        <f>BM55</f>
        <v>Russland</v>
      </c>
      <c r="E59" s="30" t="s">
        <v>21</v>
      </c>
      <c r="F59" s="66" t="str">
        <f>BM56</f>
        <v>Spanien</v>
      </c>
      <c r="G59" s="24"/>
      <c r="H59" s="137">
        <f ca="1">IF($B$64="",1,IF(OR(J59&lt;1,INT(RAND()*10&lt;6)),J59+1,J59-1))</f>
        <v>1</v>
      </c>
      <c r="I59" s="28" t="s">
        <v>22</v>
      </c>
      <c r="J59" s="137">
        <f ca="1">IF($B$64="",0,INT(RAND()*5)+INT(RAND()*3)*INT(RAND()*2))</f>
        <v>0</v>
      </c>
      <c r="K59" s="9" t="s">
        <v>23</v>
      </c>
      <c r="L59" s="1"/>
      <c r="M59" s="95" t="str">
        <f>IF(J59="","",IF(J59=H59,"falsch!!! K.Remis",IF(H59&gt;J59,D59,F59)))</f>
        <v>Russland</v>
      </c>
      <c r="N59" s="1" t="str">
        <f>BP55</f>
        <v>F1</v>
      </c>
      <c r="O59" s="1" t="str">
        <f>BP56</f>
        <v>F2</v>
      </c>
      <c r="P59" s="1"/>
      <c r="AE59" s="132"/>
      <c r="AF59" s="140"/>
      <c r="BS59" s="123"/>
      <c r="BT59" s="123"/>
      <c r="BU59" s="123"/>
      <c r="BV59" s="123"/>
      <c r="BW59" s="123"/>
      <c r="BX59" s="123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23"/>
      <c r="CQ59" s="123"/>
      <c r="CR59" s="123"/>
      <c r="CS59" s="123"/>
      <c r="CT59" s="123"/>
      <c r="CU59" s="123"/>
      <c r="CV59" s="123"/>
      <c r="CW59" s="123"/>
      <c r="CX59" s="116"/>
      <c r="CY59" s="116"/>
      <c r="CZ59" s="116"/>
    </row>
    <row r="60" spans="17:104" ht="12.75">
      <c r="Q60" s="1"/>
      <c r="R60" s="1"/>
      <c r="S60" s="131"/>
      <c r="T60" s="131"/>
      <c r="U60" s="131"/>
      <c r="V60" s="131"/>
      <c r="W60" s="131"/>
      <c r="AE60" s="131"/>
      <c r="AF60" s="139"/>
      <c r="AG60" s="131"/>
      <c r="AH60" s="131"/>
      <c r="AO60" s="131"/>
      <c r="BB60" s="3"/>
      <c r="BC60" s="3"/>
      <c r="BD60" s="12"/>
      <c r="BE60" s="23"/>
      <c r="BF60" s="12"/>
      <c r="BG60" s="12"/>
      <c r="BH60" s="31"/>
      <c r="BJ60" s="31"/>
      <c r="BK60" s="78"/>
      <c r="BM60" s="2"/>
      <c r="BP60" s="1"/>
      <c r="BQ60" s="1"/>
      <c r="BR60" s="1"/>
      <c r="BS60" s="131"/>
      <c r="BT60" s="131"/>
      <c r="BU60" s="131"/>
      <c r="BV60" s="131"/>
      <c r="BW60" s="131"/>
      <c r="BX60" s="123"/>
      <c r="BZ60" s="123"/>
      <c r="CA60" s="123"/>
      <c r="CB60" s="123"/>
      <c r="CC60" s="123"/>
      <c r="CD60" s="123"/>
      <c r="CE60" s="131"/>
      <c r="CF60" s="139"/>
      <c r="CG60" s="131"/>
      <c r="CH60" s="131"/>
      <c r="CI60" s="123"/>
      <c r="CJ60" s="123"/>
      <c r="CK60" s="123"/>
      <c r="CL60" s="123"/>
      <c r="CM60" s="123"/>
      <c r="CN60" s="123"/>
      <c r="CO60" s="131"/>
      <c r="CP60" s="123"/>
      <c r="CQ60" s="123"/>
      <c r="CR60" s="123"/>
      <c r="CS60" s="123"/>
      <c r="CT60" s="123"/>
      <c r="CU60" s="123"/>
      <c r="CV60" s="123"/>
      <c r="CW60" s="123"/>
      <c r="CX60" s="116"/>
      <c r="CY60" s="116"/>
      <c r="CZ60" s="116"/>
    </row>
    <row r="61" spans="17:104" ht="12.75">
      <c r="Q61" s="1"/>
      <c r="R61" s="1"/>
      <c r="S61" s="131"/>
      <c r="T61" s="131"/>
      <c r="U61" s="131"/>
      <c r="V61" s="131"/>
      <c r="W61" s="131"/>
      <c r="AE61" s="131"/>
      <c r="AF61" s="139"/>
      <c r="AG61" s="131"/>
      <c r="AH61" s="131"/>
      <c r="AO61" s="131"/>
      <c r="BB61" s="3"/>
      <c r="BC61" s="3"/>
      <c r="BD61" s="12"/>
      <c r="BE61" s="23"/>
      <c r="BF61" s="12"/>
      <c r="BG61" s="12"/>
      <c r="BH61" s="31"/>
      <c r="BJ61" s="31"/>
      <c r="BK61" s="78"/>
      <c r="BL61" s="1"/>
      <c r="BM61" s="3"/>
      <c r="BN61" s="1"/>
      <c r="BO61" s="1"/>
      <c r="BQ61" s="1"/>
      <c r="BR61" s="1"/>
      <c r="BS61" s="131"/>
      <c r="BT61" s="131"/>
      <c r="BU61" s="131"/>
      <c r="BV61" s="131"/>
      <c r="BW61" s="131"/>
      <c r="BX61" s="123"/>
      <c r="BZ61" s="123"/>
      <c r="CA61" s="123"/>
      <c r="CB61" s="123"/>
      <c r="CC61" s="123"/>
      <c r="CD61" s="123"/>
      <c r="CE61" s="131"/>
      <c r="CF61" s="139"/>
      <c r="CG61" s="131"/>
      <c r="CH61" s="131"/>
      <c r="CI61" s="123"/>
      <c r="CJ61" s="123"/>
      <c r="CK61" s="123"/>
      <c r="CL61" s="123"/>
      <c r="CM61" s="123"/>
      <c r="CN61" s="123"/>
      <c r="CO61" s="131"/>
      <c r="CP61" s="123"/>
      <c r="CQ61" s="123"/>
      <c r="CR61" s="123"/>
      <c r="CS61" s="123"/>
      <c r="CT61" s="123"/>
      <c r="CU61" s="123"/>
      <c r="CV61" s="123"/>
      <c r="CW61" s="123"/>
      <c r="CX61" s="116"/>
      <c r="CY61" s="116"/>
      <c r="CZ61" s="116"/>
    </row>
    <row r="62" spans="8:93" ht="13.5" thickBot="1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2:82" ht="14.25" thickBot="1" thickTop="1">
      <c r="B63" s="16" t="s">
        <v>23</v>
      </c>
      <c r="C63" s="1" t="s">
        <v>62</v>
      </c>
      <c r="D63" s="3"/>
      <c r="E63" s="3"/>
      <c r="F63" s="3"/>
      <c r="G63" s="108"/>
      <c r="H63" s="115"/>
      <c r="AD63" s="132"/>
      <c r="BB63"/>
      <c r="BC63"/>
      <c r="BD63"/>
      <c r="BE63"/>
      <c r="BF63"/>
      <c r="BG63"/>
      <c r="BH63"/>
      <c r="BI63"/>
      <c r="BJ63"/>
      <c r="BK63"/>
      <c r="CD63" s="3"/>
    </row>
    <row r="64" spans="2:83" ht="14.25" thickBot="1" thickTop="1">
      <c r="B64" s="16"/>
      <c r="C64" s="1" t="s">
        <v>73</v>
      </c>
      <c r="E64" s="3"/>
      <c r="F64" s="3"/>
      <c r="AD64" s="132"/>
      <c r="AE64" s="123"/>
      <c r="BB64"/>
      <c r="BC64"/>
      <c r="BD64"/>
      <c r="BE64"/>
      <c r="BF64"/>
      <c r="BG64"/>
      <c r="BH64"/>
      <c r="BI64"/>
      <c r="BJ64"/>
      <c r="BK64"/>
      <c r="CD64" s="3"/>
      <c r="CE64" s="2"/>
    </row>
    <row r="65" spans="1:83" ht="14.25" thickBot="1" thickTop="1">
      <c r="A65" s="108"/>
      <c r="B65" s="110">
        <f ca="1">IF($B$64="",1,INT(RAND()*5)+INT(RAND()*3)*INT(RAND()*2))</f>
        <v>1</v>
      </c>
      <c r="C65" s="1" t="s">
        <v>61</v>
      </c>
      <c r="E65" s="3"/>
      <c r="F65" s="3"/>
      <c r="AD65" s="132"/>
      <c r="AE65" s="123"/>
      <c r="BB65"/>
      <c r="BC65"/>
      <c r="BD65"/>
      <c r="BE65"/>
      <c r="BF65"/>
      <c r="BG65"/>
      <c r="BH65"/>
      <c r="BI65"/>
      <c r="BJ65"/>
      <c r="BK65"/>
      <c r="CD65" s="3"/>
      <c r="CE65" s="2"/>
    </row>
    <row r="66" spans="2:84" s="1" customFormat="1" ht="14.25" thickBot="1" thickTop="1">
      <c r="B66" s="109" t="s">
        <v>71</v>
      </c>
      <c r="C66" s="1" t="s">
        <v>72</v>
      </c>
      <c r="D66" s="1" t="s">
        <v>2</v>
      </c>
      <c r="H66" s="14"/>
      <c r="I66" s="14"/>
      <c r="J66" s="14"/>
      <c r="K66" s="9"/>
      <c r="M66" s="1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23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B66"/>
      <c r="BC66"/>
      <c r="BD66"/>
      <c r="BE66"/>
      <c r="BF66"/>
      <c r="BG66"/>
      <c r="BH66"/>
      <c r="BI66"/>
      <c r="BJ66"/>
      <c r="BK66"/>
      <c r="BM66" s="11"/>
      <c r="BY66" s="131"/>
      <c r="CF66" s="2"/>
    </row>
    <row r="67" spans="2:63" ht="14.25" thickBot="1" thickTop="1">
      <c r="B67" s="109"/>
      <c r="C67" s="182" t="s">
        <v>195</v>
      </c>
      <c r="BB67"/>
      <c r="BC67"/>
      <c r="BD67"/>
      <c r="BE67"/>
      <c r="BF67"/>
      <c r="BG67"/>
      <c r="BH67"/>
      <c r="BI67"/>
      <c r="BJ67"/>
      <c r="BK67"/>
    </row>
    <row r="68" spans="54:63" ht="13.5" thickTop="1">
      <c r="BB68"/>
      <c r="BC68"/>
      <c r="BD68"/>
      <c r="BE68"/>
      <c r="BF68"/>
      <c r="BG68"/>
      <c r="BH68"/>
      <c r="BI68"/>
      <c r="BJ68"/>
      <c r="BK68"/>
    </row>
    <row r="69" spans="54:63" ht="12.75">
      <c r="BB69"/>
      <c r="BC69"/>
      <c r="BD69"/>
      <c r="BE69"/>
      <c r="BF69"/>
      <c r="BG69"/>
      <c r="BH69"/>
      <c r="BI69"/>
      <c r="BJ69"/>
      <c r="BK69"/>
    </row>
    <row r="70" spans="2:84" s="19" customFormat="1" ht="12.75">
      <c r="B70" s="17" t="s">
        <v>63</v>
      </c>
      <c r="C70" s="21" t="s">
        <v>8</v>
      </c>
      <c r="D70" s="22" t="s">
        <v>64</v>
      </c>
      <c r="E70" s="23"/>
      <c r="F70" s="21" t="s">
        <v>4</v>
      </c>
      <c r="G70" s="18"/>
      <c r="H70" s="18"/>
      <c r="I70" s="18"/>
      <c r="J70" s="18"/>
      <c r="K70" s="18"/>
      <c r="M70" s="76" t="s">
        <v>65</v>
      </c>
      <c r="P70" s="18"/>
      <c r="Q70" s="18"/>
      <c r="R70" s="18"/>
      <c r="S70" s="149"/>
      <c r="T70" s="150"/>
      <c r="U70" s="149"/>
      <c r="V70" s="151"/>
      <c r="W70" s="151"/>
      <c r="X70" s="151"/>
      <c r="Y70" s="151"/>
      <c r="Z70" s="151"/>
      <c r="AA70" s="151"/>
      <c r="AB70" s="151"/>
      <c r="AC70" s="151"/>
      <c r="AD70" s="123"/>
      <c r="AE70" s="140"/>
      <c r="AF70" s="123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B70" s="17"/>
      <c r="BC70" s="21"/>
      <c r="BD70" s="22"/>
      <c r="BE70" s="23"/>
      <c r="BF70" s="21"/>
      <c r="BG70" s="18"/>
      <c r="BH70" s="18"/>
      <c r="BI70" s="18"/>
      <c r="BJ70" s="18"/>
      <c r="BK70" s="18"/>
      <c r="BM70" s="76"/>
      <c r="BP70" s="18"/>
      <c r="BQ70" s="18"/>
      <c r="BR70" s="18"/>
      <c r="BS70" s="18"/>
      <c r="BT70" s="20"/>
      <c r="BU70" s="18"/>
      <c r="BY70" s="151"/>
      <c r="CD70" s="2"/>
      <c r="CE70" s="10"/>
      <c r="CF70" s="2"/>
    </row>
    <row r="71" spans="2:73" ht="12.75">
      <c r="B71" s="2" t="str">
        <f>VLOOKUP(1,C$71:D$76,2,FALSE)</f>
        <v>Frankreich</v>
      </c>
      <c r="C71" s="1">
        <f aca="true" t="shared" si="19" ref="C71:C76">RANK(F71,$F$71:$F$76)</f>
        <v>1</v>
      </c>
      <c r="D71" s="3" t="str">
        <f>IF(B$67="",M71,"T1M1")</f>
        <v>Frankreich</v>
      </c>
      <c r="E71" s="2">
        <v>6</v>
      </c>
      <c r="F71" s="8">
        <f>IF(B$66="",6,1000000)</f>
        <v>1000000</v>
      </c>
      <c r="H71" s="1"/>
      <c r="I71" s="1"/>
      <c r="J71" s="1"/>
      <c r="K71" s="1"/>
      <c r="M71" s="11" t="s">
        <v>67</v>
      </c>
      <c r="P71" s="1"/>
      <c r="Q71" s="1"/>
      <c r="R71" s="1"/>
      <c r="S71" s="138"/>
      <c r="T71" s="131"/>
      <c r="U71" s="131"/>
      <c r="BC71" s="1"/>
      <c r="BD71" s="3"/>
      <c r="BF71" s="8"/>
      <c r="BH71" s="1"/>
      <c r="BI71" s="1"/>
      <c r="BJ71" s="1"/>
      <c r="BK71" s="1"/>
      <c r="BP71" s="1"/>
      <c r="BQ71" s="1"/>
      <c r="BR71" s="1"/>
      <c r="BS71" s="6"/>
      <c r="BT71" s="1"/>
      <c r="BU71" s="1"/>
    </row>
    <row r="72" spans="2:73" ht="12.75">
      <c r="B72" s="2" t="str">
        <f>VLOOKUP(2,C$71:D$76,2,FALSE)</f>
        <v>England</v>
      </c>
      <c r="C72" s="1">
        <f t="shared" si="19"/>
        <v>5</v>
      </c>
      <c r="D72" s="3" t="str">
        <f>IF(B$67="",M72,"T1M2")</f>
        <v>Spanien</v>
      </c>
      <c r="E72" s="2">
        <v>5</v>
      </c>
      <c r="F72" s="8">
        <f ca="1">IF(B$66="",5,INT(RAND()*1000000))</f>
        <v>427429</v>
      </c>
      <c r="H72" s="1"/>
      <c r="I72" s="1"/>
      <c r="J72" s="1"/>
      <c r="K72" s="1"/>
      <c r="M72" s="11" t="s">
        <v>176</v>
      </c>
      <c r="P72" s="1"/>
      <c r="Q72" s="1"/>
      <c r="R72" s="1"/>
      <c r="S72" s="138"/>
      <c r="T72" s="131"/>
      <c r="U72" s="131"/>
      <c r="BC72" s="1"/>
      <c r="BD72" s="3"/>
      <c r="BF72" s="8"/>
      <c r="BH72" s="1"/>
      <c r="BI72" s="1"/>
      <c r="BJ72" s="1"/>
      <c r="BK72" s="1"/>
      <c r="BP72" s="1"/>
      <c r="BQ72" s="1"/>
      <c r="BR72" s="1"/>
      <c r="BS72" s="6"/>
      <c r="BT72" s="1"/>
      <c r="BU72" s="1"/>
    </row>
    <row r="73" spans="2:73" ht="12.75">
      <c r="B73" s="2" t="str">
        <f>VLOOKUP(3,C$71:D$76,2,FALSE)</f>
        <v>Portugal</v>
      </c>
      <c r="C73" s="1">
        <f t="shared" si="19"/>
        <v>6</v>
      </c>
      <c r="D73" s="3" t="str">
        <f>IF(B$67="",M73,"T1M3")</f>
        <v>Deutschland</v>
      </c>
      <c r="E73" s="2">
        <v>4</v>
      </c>
      <c r="F73" s="8">
        <f ca="1">IF(B$66="",4,INT(RAND()*1000000))</f>
        <v>226953</v>
      </c>
      <c r="H73" s="1"/>
      <c r="I73" s="1"/>
      <c r="J73" s="1"/>
      <c r="K73" s="1"/>
      <c r="M73" s="11" t="s">
        <v>175</v>
      </c>
      <c r="P73" s="1"/>
      <c r="Q73" s="1"/>
      <c r="R73" s="1"/>
      <c r="S73" s="138"/>
      <c r="T73" s="131"/>
      <c r="U73" s="131"/>
      <c r="BC73" s="1"/>
      <c r="BD73" s="3"/>
      <c r="BF73" s="8"/>
      <c r="BH73" s="1"/>
      <c r="BI73" s="1"/>
      <c r="BJ73" s="1"/>
      <c r="BK73" s="1"/>
      <c r="BP73" s="1"/>
      <c r="BQ73" s="1"/>
      <c r="BR73" s="1"/>
      <c r="BS73" s="6"/>
      <c r="BT73" s="1"/>
      <c r="BU73" s="1"/>
    </row>
    <row r="74" spans="2:73" ht="12.75">
      <c r="B74" s="2" t="str">
        <f>VLOOKUP(4,C$71:D$76,2,FALSE)</f>
        <v>Belgien</v>
      </c>
      <c r="C74" s="1">
        <f t="shared" si="19"/>
        <v>2</v>
      </c>
      <c r="D74" s="3" t="str">
        <f>IF(B$67="",M74,"T1M4")</f>
        <v>England</v>
      </c>
      <c r="E74" s="2">
        <v>3</v>
      </c>
      <c r="F74" s="8">
        <f ca="1">IF(B$66="",3,INT(RAND()*1000000))</f>
        <v>655958</v>
      </c>
      <c r="H74" s="1"/>
      <c r="I74" s="1"/>
      <c r="J74" s="1"/>
      <c r="K74" s="1"/>
      <c r="M74" s="11" t="s">
        <v>177</v>
      </c>
      <c r="P74" s="1"/>
      <c r="Q74" s="1"/>
      <c r="R74" s="1"/>
      <c r="S74" s="138"/>
      <c r="T74" s="131"/>
      <c r="U74" s="131"/>
      <c r="BC74" s="1"/>
      <c r="BD74" s="3"/>
      <c r="BF74" s="8"/>
      <c r="BH74" s="1"/>
      <c r="BI74" s="1"/>
      <c r="BJ74" s="1"/>
      <c r="BK74" s="1"/>
      <c r="BP74" s="1"/>
      <c r="BQ74" s="1"/>
      <c r="BR74" s="1"/>
      <c r="BS74" s="6"/>
      <c r="BT74" s="1"/>
      <c r="BU74" s="1"/>
    </row>
    <row r="75" spans="2:73" ht="12.75">
      <c r="B75" s="2" t="str">
        <f>VLOOKUP(5,C$71:D$76,2,FALSE)</f>
        <v>Spanien</v>
      </c>
      <c r="C75" s="1">
        <f t="shared" si="19"/>
        <v>3</v>
      </c>
      <c r="D75" s="3" t="str">
        <f>IF(B$67="",M75,"T1M5")</f>
        <v>Portugal</v>
      </c>
      <c r="E75" s="2">
        <v>2</v>
      </c>
      <c r="F75" s="8">
        <f ca="1">IF(B$66="",2,INT(RAND()*1000000))</f>
        <v>512594</v>
      </c>
      <c r="H75" s="1"/>
      <c r="I75" s="1"/>
      <c r="J75" s="1"/>
      <c r="K75" s="1"/>
      <c r="M75" s="11" t="s">
        <v>178</v>
      </c>
      <c r="P75" s="1"/>
      <c r="Q75" s="1"/>
      <c r="R75" s="1"/>
      <c r="S75" s="138"/>
      <c r="T75" s="131"/>
      <c r="U75" s="131"/>
      <c r="BC75" s="1"/>
      <c r="BD75" s="3"/>
      <c r="BF75" s="8"/>
      <c r="BH75" s="1"/>
      <c r="BI75" s="1"/>
      <c r="BJ75" s="1"/>
      <c r="BK75" s="1"/>
      <c r="BP75" s="1"/>
      <c r="BQ75" s="1"/>
      <c r="BR75" s="1"/>
      <c r="BS75" s="6"/>
      <c r="BT75" s="1"/>
      <c r="BU75" s="1"/>
    </row>
    <row r="76" spans="2:73" ht="12.75">
      <c r="B76" s="2" t="str">
        <f>VLOOKUP(6,C$71:D$76,2,FALSE)</f>
        <v>Deutschland</v>
      </c>
      <c r="C76" s="1">
        <f t="shared" si="19"/>
        <v>4</v>
      </c>
      <c r="D76" s="3" t="str">
        <f>IF(B$67="",M76,"T1M6")</f>
        <v>Belgien</v>
      </c>
      <c r="E76" s="2">
        <v>1</v>
      </c>
      <c r="F76" s="8">
        <f ca="1">IF(B$66="",1,INT(RAND()*1000000))</f>
        <v>501736</v>
      </c>
      <c r="H76" s="1"/>
      <c r="I76" s="1"/>
      <c r="J76" s="1"/>
      <c r="K76" s="1"/>
      <c r="M76" s="11" t="s">
        <v>179</v>
      </c>
      <c r="P76" s="1"/>
      <c r="Q76" s="1"/>
      <c r="R76" s="1"/>
      <c r="S76" s="138"/>
      <c r="T76" s="131"/>
      <c r="U76" s="131"/>
      <c r="BC76" s="1"/>
      <c r="BD76" s="3"/>
      <c r="BF76" s="8"/>
      <c r="BH76" s="1"/>
      <c r="BI76" s="1"/>
      <c r="BJ76" s="1"/>
      <c r="BK76" s="1"/>
      <c r="BP76" s="1"/>
      <c r="BQ76" s="1"/>
      <c r="BR76" s="1"/>
      <c r="BS76" s="6"/>
      <c r="BT76" s="1"/>
      <c r="BU76" s="1"/>
    </row>
    <row r="77" spans="3:73" ht="12.75">
      <c r="C77" s="1"/>
      <c r="D77" s="3"/>
      <c r="F77" s="8"/>
      <c r="H77" s="1"/>
      <c r="I77" s="1"/>
      <c r="J77" s="1"/>
      <c r="K77" s="1"/>
      <c r="P77" s="1"/>
      <c r="Q77" s="1"/>
      <c r="R77" s="1"/>
      <c r="S77" s="138"/>
      <c r="T77" s="131"/>
      <c r="U77" s="131"/>
      <c r="BC77" s="1"/>
      <c r="BD77" s="3"/>
      <c r="BF77" s="8"/>
      <c r="BH77" s="1"/>
      <c r="BI77" s="1"/>
      <c r="BJ77" s="1"/>
      <c r="BK77" s="1"/>
      <c r="BP77" s="1"/>
      <c r="BQ77" s="1"/>
      <c r="BR77" s="1"/>
      <c r="BS77" s="6"/>
      <c r="BT77" s="1"/>
      <c r="BU77" s="1"/>
    </row>
    <row r="78" spans="2:65" ht="12.75">
      <c r="B78" s="17" t="s">
        <v>66</v>
      </c>
      <c r="C78" s="21" t="s">
        <v>8</v>
      </c>
      <c r="D78" s="22" t="s">
        <v>64</v>
      </c>
      <c r="E78" s="23"/>
      <c r="F78" s="21" t="s">
        <v>4</v>
      </c>
      <c r="M78" s="76" t="s">
        <v>65</v>
      </c>
      <c r="BB78" s="17"/>
      <c r="BC78" s="21"/>
      <c r="BD78" s="22"/>
      <c r="BE78" s="23"/>
      <c r="BF78" s="21"/>
      <c r="BM78" s="76"/>
    </row>
    <row r="79" spans="2:84" s="19" customFormat="1" ht="12.75">
      <c r="B79" s="2" t="str">
        <f>VLOOKUP(1,C$79:D$84,2,FALSE)</f>
        <v>Russland</v>
      </c>
      <c r="C79" s="1">
        <f aca="true" t="shared" si="20" ref="C79:C84">RANK(F79,$F$79:$F$84)</f>
        <v>3</v>
      </c>
      <c r="D79" s="3" t="str">
        <f>IF(B$67="",M79,"T2M1")</f>
        <v>Italien</v>
      </c>
      <c r="E79" s="2">
        <v>6</v>
      </c>
      <c r="F79" s="8">
        <f ca="1">IF(B$66="",6,INT(RAND()*1000000))</f>
        <v>591001</v>
      </c>
      <c r="G79" s="18"/>
      <c r="H79" s="18"/>
      <c r="I79" s="18"/>
      <c r="J79" s="18"/>
      <c r="K79" s="18"/>
      <c r="M79" s="77" t="s">
        <v>180</v>
      </c>
      <c r="P79" s="18"/>
      <c r="Q79" s="18"/>
      <c r="R79" s="18"/>
      <c r="S79" s="149"/>
      <c r="T79" s="150"/>
      <c r="U79" s="149"/>
      <c r="V79" s="151"/>
      <c r="W79" s="151"/>
      <c r="X79" s="151"/>
      <c r="Y79" s="151"/>
      <c r="Z79" s="151"/>
      <c r="AA79" s="151"/>
      <c r="AB79" s="151"/>
      <c r="AC79" s="151"/>
      <c r="AD79" s="123"/>
      <c r="AE79" s="140"/>
      <c r="AF79" s="123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B79" s="2"/>
      <c r="BC79" s="1"/>
      <c r="BD79" s="3"/>
      <c r="BE79" s="2"/>
      <c r="BF79" s="8"/>
      <c r="BG79" s="18"/>
      <c r="BH79" s="18"/>
      <c r="BI79" s="18"/>
      <c r="BJ79" s="18"/>
      <c r="BK79" s="18"/>
      <c r="BM79" s="77"/>
      <c r="BP79" s="18"/>
      <c r="BQ79" s="18"/>
      <c r="BR79" s="18"/>
      <c r="BS79" s="18"/>
      <c r="BT79" s="20"/>
      <c r="BU79" s="18"/>
      <c r="BY79" s="151"/>
      <c r="CD79" s="2"/>
      <c r="CE79" s="10"/>
      <c r="CF79" s="2"/>
    </row>
    <row r="80" spans="2:73" ht="12.75">
      <c r="B80" s="2" t="str">
        <f>VLOOKUP(2,C$79:D$84,2,FALSE)</f>
        <v>Kroatien</v>
      </c>
      <c r="C80" s="1">
        <f t="shared" si="20"/>
        <v>1</v>
      </c>
      <c r="D80" s="3" t="str">
        <f>IF(B$67="",M80,"T2M2")</f>
        <v>Russland</v>
      </c>
      <c r="E80" s="2">
        <v>5</v>
      </c>
      <c r="F80" s="8">
        <f ca="1">IF(B$66="",5,INT(RAND()*1000000))</f>
        <v>965637</v>
      </c>
      <c r="H80" s="1"/>
      <c r="I80" s="1"/>
      <c r="J80" s="1"/>
      <c r="K80" s="1"/>
      <c r="M80" s="77" t="s">
        <v>181</v>
      </c>
      <c r="P80" s="1"/>
      <c r="Q80" s="1"/>
      <c r="R80" s="1"/>
      <c r="S80" s="138"/>
      <c r="T80" s="131"/>
      <c r="U80" s="131"/>
      <c r="BC80" s="1"/>
      <c r="BD80" s="3"/>
      <c r="BF80" s="8"/>
      <c r="BH80" s="1"/>
      <c r="BI80" s="1"/>
      <c r="BJ80" s="1"/>
      <c r="BK80" s="1"/>
      <c r="BP80" s="1"/>
      <c r="BQ80" s="1"/>
      <c r="BR80" s="1"/>
      <c r="BS80" s="6"/>
      <c r="BT80" s="1"/>
      <c r="BU80" s="1"/>
    </row>
    <row r="81" spans="2:73" ht="12.75">
      <c r="B81" s="2" t="str">
        <f>VLOOKUP(3,C$79:D$84,2,FALSE)</f>
        <v>Italien</v>
      </c>
      <c r="C81" s="1">
        <f t="shared" si="20"/>
        <v>6</v>
      </c>
      <c r="D81" s="3" t="str">
        <f>IF(B$67="",M81,"T2M3")</f>
        <v>Schweiz</v>
      </c>
      <c r="E81" s="2">
        <v>4</v>
      </c>
      <c r="F81" s="8">
        <f ca="1">IF(B$66="",4,INT(RAND()*1000000))</f>
        <v>323950</v>
      </c>
      <c r="H81" s="1"/>
      <c r="I81" s="1"/>
      <c r="J81" s="1"/>
      <c r="K81" s="1"/>
      <c r="M81" s="77" t="s">
        <v>182</v>
      </c>
      <c r="P81" s="1"/>
      <c r="Q81" s="1"/>
      <c r="R81" s="1"/>
      <c r="S81" s="138"/>
      <c r="T81" s="131"/>
      <c r="U81" s="131"/>
      <c r="BC81" s="1"/>
      <c r="BD81" s="3"/>
      <c r="BF81" s="8"/>
      <c r="BH81" s="1"/>
      <c r="BI81" s="1"/>
      <c r="BJ81" s="1"/>
      <c r="BK81" s="1"/>
      <c r="BP81" s="1"/>
      <c r="BQ81" s="1"/>
      <c r="BR81" s="1"/>
      <c r="BS81" s="6"/>
      <c r="BT81" s="1"/>
      <c r="BU81" s="1"/>
    </row>
    <row r="82" spans="2:73" ht="12.75">
      <c r="B82" s="2" t="str">
        <f>VLOOKUP(4,C$79:D$84,2,FALSE)</f>
        <v>Österreich</v>
      </c>
      <c r="C82" s="1">
        <f t="shared" si="20"/>
        <v>4</v>
      </c>
      <c r="D82" s="3" t="str">
        <f>IF(B$67="",M82,"T2M4")</f>
        <v>Österreich</v>
      </c>
      <c r="E82" s="2">
        <v>3</v>
      </c>
      <c r="F82" s="8">
        <f ca="1">IF(B$66="",3,INT(RAND()*1000000))</f>
        <v>554559</v>
      </c>
      <c r="H82" s="1"/>
      <c r="I82" s="1"/>
      <c r="J82" s="1"/>
      <c r="K82" s="1"/>
      <c r="M82" s="77" t="s">
        <v>183</v>
      </c>
      <c r="P82" s="1"/>
      <c r="Q82" s="1"/>
      <c r="R82" s="1"/>
      <c r="S82" s="138"/>
      <c r="T82" s="131"/>
      <c r="U82" s="131"/>
      <c r="BC82" s="1"/>
      <c r="BD82" s="3"/>
      <c r="BF82" s="8"/>
      <c r="BH82" s="1"/>
      <c r="BI82" s="1"/>
      <c r="BJ82" s="1"/>
      <c r="BK82" s="1"/>
      <c r="BP82" s="1"/>
      <c r="BQ82" s="1"/>
      <c r="BR82" s="1"/>
      <c r="BS82" s="6"/>
      <c r="BT82" s="1"/>
      <c r="BU82" s="1"/>
    </row>
    <row r="83" spans="2:73" ht="12.75">
      <c r="B83" s="2" t="str">
        <f>VLOOKUP(5,C$79:D$84,2,FALSE)</f>
        <v>Ukraine</v>
      </c>
      <c r="C83" s="1">
        <f t="shared" si="20"/>
        <v>2</v>
      </c>
      <c r="D83" s="3" t="str">
        <f>IF(B$67="",M83,"T2M5")</f>
        <v>Kroatien</v>
      </c>
      <c r="E83" s="2">
        <v>2</v>
      </c>
      <c r="F83" s="8">
        <f ca="1">IF(B$66="",2,INT(RAND()*1000000))</f>
        <v>698176</v>
      </c>
      <c r="H83" s="1"/>
      <c r="I83" s="1"/>
      <c r="J83" s="1"/>
      <c r="K83" s="1"/>
      <c r="M83" s="77" t="s">
        <v>184</v>
      </c>
      <c r="P83" s="1"/>
      <c r="Q83" s="1"/>
      <c r="R83" s="1"/>
      <c r="S83" s="138"/>
      <c r="T83" s="131"/>
      <c r="U83" s="131"/>
      <c r="BC83" s="1"/>
      <c r="BD83" s="3"/>
      <c r="BF83" s="8"/>
      <c r="BH83" s="1"/>
      <c r="BI83" s="1"/>
      <c r="BJ83" s="1"/>
      <c r="BK83" s="1"/>
      <c r="BP83" s="1"/>
      <c r="BQ83" s="1"/>
      <c r="BR83" s="1"/>
      <c r="BS83" s="6"/>
      <c r="BT83" s="1"/>
      <c r="BU83" s="1"/>
    </row>
    <row r="84" spans="2:58" ht="12.75">
      <c r="B84" s="2" t="str">
        <f>VLOOKUP(6,C$79:D$84,2,FALSE)</f>
        <v>Schweiz</v>
      </c>
      <c r="C84" s="1">
        <f t="shared" si="20"/>
        <v>5</v>
      </c>
      <c r="D84" s="3" t="str">
        <f>IF(B$67="",M84,"T2M6")</f>
        <v>Ukraine</v>
      </c>
      <c r="E84" s="2">
        <v>1</v>
      </c>
      <c r="F84" s="8">
        <f ca="1">IF(B$66="",1,INT(RAND()*1000000))</f>
        <v>416440</v>
      </c>
      <c r="M84" s="77" t="s">
        <v>199</v>
      </c>
      <c r="BC84" s="1"/>
      <c r="BD84" s="3"/>
      <c r="BF84" s="8"/>
    </row>
    <row r="85" spans="3:73" ht="12.75">
      <c r="C85" s="1"/>
      <c r="D85" s="3"/>
      <c r="F85" s="8"/>
      <c r="H85" s="1"/>
      <c r="I85" s="1"/>
      <c r="J85" s="1"/>
      <c r="K85" s="1"/>
      <c r="P85" s="1"/>
      <c r="Q85" s="1"/>
      <c r="R85" s="1"/>
      <c r="S85" s="138"/>
      <c r="T85" s="131"/>
      <c r="U85" s="131"/>
      <c r="BC85" s="1"/>
      <c r="BD85" s="3"/>
      <c r="BF85" s="8"/>
      <c r="BH85" s="1"/>
      <c r="BI85" s="1"/>
      <c r="BJ85" s="1"/>
      <c r="BK85" s="1"/>
      <c r="BP85" s="1"/>
      <c r="BQ85" s="1"/>
      <c r="BR85" s="1"/>
      <c r="BS85" s="6"/>
      <c r="BT85" s="1"/>
      <c r="BU85" s="1"/>
    </row>
    <row r="86" spans="2:73" ht="12.75">
      <c r="B86" s="17" t="s">
        <v>68</v>
      </c>
      <c r="C86" s="21" t="s">
        <v>8</v>
      </c>
      <c r="D86" s="22" t="s">
        <v>64</v>
      </c>
      <c r="E86" s="23"/>
      <c r="F86" s="21" t="s">
        <v>4</v>
      </c>
      <c r="H86" s="1"/>
      <c r="I86" s="1"/>
      <c r="J86" s="1"/>
      <c r="K86" s="1"/>
      <c r="M86" s="76" t="s">
        <v>65</v>
      </c>
      <c r="P86" s="1"/>
      <c r="Q86" s="1"/>
      <c r="R86" s="1"/>
      <c r="S86" s="138"/>
      <c r="T86" s="131"/>
      <c r="U86" s="131"/>
      <c r="BB86" s="17"/>
      <c r="BC86" s="21"/>
      <c r="BD86" s="22"/>
      <c r="BE86" s="23"/>
      <c r="BF86" s="21"/>
      <c r="BH86" s="1"/>
      <c r="BI86" s="1"/>
      <c r="BJ86" s="1"/>
      <c r="BK86" s="1"/>
      <c r="BM86" s="76"/>
      <c r="BP86" s="1"/>
      <c r="BQ86" s="1"/>
      <c r="BR86" s="1"/>
      <c r="BS86" s="6"/>
      <c r="BT86" s="1"/>
      <c r="BU86" s="1"/>
    </row>
    <row r="87" spans="2:73" ht="12.75">
      <c r="B87" s="2" t="str">
        <f>VLOOKUP(1,C$87:D$92,2,FALSE)</f>
        <v>Slowakei</v>
      </c>
      <c r="C87" s="1">
        <f aca="true" t="shared" si="21" ref="C87:C92">RANK(F87,$F$87:$F$92)</f>
        <v>6</v>
      </c>
      <c r="D87" s="3" t="str">
        <f>IF(B$67="",M87,"T3M1")</f>
        <v>Tschechien</v>
      </c>
      <c r="E87" s="2">
        <v>6</v>
      </c>
      <c r="F87" s="8">
        <f ca="1">IF(B$66="",6,INT(RAND()*1000000))</f>
        <v>197108</v>
      </c>
      <c r="H87" s="1"/>
      <c r="I87" s="1"/>
      <c r="J87" s="1"/>
      <c r="K87" s="1"/>
      <c r="M87" s="77" t="s">
        <v>189</v>
      </c>
      <c r="P87" s="1"/>
      <c r="Q87" s="1"/>
      <c r="R87" s="1"/>
      <c r="S87" s="138"/>
      <c r="T87" s="131"/>
      <c r="U87" s="131"/>
      <c r="BC87" s="1"/>
      <c r="BD87" s="3"/>
      <c r="BF87" s="8"/>
      <c r="BH87" s="1"/>
      <c r="BI87" s="1"/>
      <c r="BJ87" s="1"/>
      <c r="BK87" s="1"/>
      <c r="BP87" s="1"/>
      <c r="BQ87" s="1"/>
      <c r="BR87" s="1"/>
      <c r="BS87" s="6"/>
      <c r="BT87" s="1"/>
      <c r="BU87" s="1"/>
    </row>
    <row r="88" spans="2:58" ht="12.75">
      <c r="B88" s="2" t="str">
        <f>VLOOKUP(2,C$87:D$92,2,FALSE)</f>
        <v>Rumänien</v>
      </c>
      <c r="C88" s="1">
        <f t="shared" si="21"/>
        <v>3</v>
      </c>
      <c r="D88" s="3" t="str">
        <f>IF(B$67="",M88,"T3M2")</f>
        <v>Schweden</v>
      </c>
      <c r="E88" s="2">
        <v>5</v>
      </c>
      <c r="F88" s="8">
        <f ca="1">IF(B$66="",5,INT(RAND()*1000000))</f>
        <v>794670</v>
      </c>
      <c r="M88" s="77" t="s">
        <v>197</v>
      </c>
      <c r="BC88" s="1"/>
      <c r="BD88" s="3"/>
      <c r="BF88" s="8"/>
    </row>
    <row r="89" spans="2:84" s="19" customFormat="1" ht="12.75">
      <c r="B89" s="2" t="str">
        <f>VLOOKUP(3,C$87:D$92,2,FALSE)</f>
        <v>Schweden</v>
      </c>
      <c r="C89" s="1">
        <f t="shared" si="21"/>
        <v>5</v>
      </c>
      <c r="D89" s="3" t="str">
        <f>IF(B$67="",M89,"T3M3")</f>
        <v>Polen</v>
      </c>
      <c r="E89" s="2">
        <v>4</v>
      </c>
      <c r="F89" s="8">
        <f ca="1">IF(B$66="",4,INT(RAND()*1000000))</f>
        <v>229593</v>
      </c>
      <c r="G89" s="18"/>
      <c r="H89" s="18"/>
      <c r="I89" s="18"/>
      <c r="J89" s="18"/>
      <c r="K89" s="18"/>
      <c r="M89" s="77" t="s">
        <v>190</v>
      </c>
      <c r="P89" s="18"/>
      <c r="Q89" s="18"/>
      <c r="R89" s="18"/>
      <c r="S89" s="149"/>
      <c r="T89" s="150"/>
      <c r="U89" s="149"/>
      <c r="V89" s="151"/>
      <c r="W89" s="151"/>
      <c r="X89" s="151"/>
      <c r="Y89" s="151"/>
      <c r="Z89" s="151"/>
      <c r="AA89" s="151"/>
      <c r="AB89" s="151"/>
      <c r="AC89" s="151"/>
      <c r="AD89" s="123"/>
      <c r="AE89" s="140"/>
      <c r="AF89" s="123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B89" s="2"/>
      <c r="BC89" s="1"/>
      <c r="BD89" s="3"/>
      <c r="BE89" s="2"/>
      <c r="BF89" s="8"/>
      <c r="BG89" s="18"/>
      <c r="BH89" s="18"/>
      <c r="BI89" s="18"/>
      <c r="BJ89" s="18"/>
      <c r="BK89" s="18"/>
      <c r="BM89" s="77"/>
      <c r="BP89" s="18"/>
      <c r="BQ89" s="18"/>
      <c r="BR89" s="18"/>
      <c r="BS89" s="18"/>
      <c r="BT89" s="20"/>
      <c r="BU89" s="18"/>
      <c r="BY89" s="151"/>
      <c r="CD89" s="2"/>
      <c r="CE89" s="10"/>
      <c r="CF89" s="2"/>
    </row>
    <row r="90" spans="2:73" ht="12.75">
      <c r="B90" s="2" t="str">
        <f>VLOOKUP(4,C$87:D$92,2,FALSE)</f>
        <v>Ungarn</v>
      </c>
      <c r="C90" s="1">
        <f t="shared" si="21"/>
        <v>2</v>
      </c>
      <c r="D90" s="3" t="str">
        <f>IF(B$67="",M90,"T3M4")</f>
        <v>Rumänien</v>
      </c>
      <c r="E90" s="2">
        <v>3</v>
      </c>
      <c r="F90" s="8">
        <f ca="1">IF(B$66="",3,INT(RAND()*1000000))</f>
        <v>843335</v>
      </c>
      <c r="H90" s="1"/>
      <c r="I90" s="1"/>
      <c r="J90" s="1"/>
      <c r="K90" s="1"/>
      <c r="M90" s="77" t="s">
        <v>191</v>
      </c>
      <c r="P90" s="1"/>
      <c r="Q90" s="1"/>
      <c r="R90" s="1"/>
      <c r="S90" s="138"/>
      <c r="T90" s="131"/>
      <c r="U90" s="131"/>
      <c r="BC90" s="1"/>
      <c r="BD90" s="3"/>
      <c r="BF90" s="8"/>
      <c r="BH90" s="1"/>
      <c r="BI90" s="1"/>
      <c r="BJ90" s="1"/>
      <c r="BK90" s="1"/>
      <c r="BP90" s="1"/>
      <c r="BQ90" s="1"/>
      <c r="BR90" s="1"/>
      <c r="BS90" s="6"/>
      <c r="BT90" s="1"/>
      <c r="BU90" s="1"/>
    </row>
    <row r="91" spans="2:73" ht="12.75">
      <c r="B91" s="2" t="str">
        <f>VLOOKUP(5,C$87:D$92,2,FALSE)</f>
        <v>Polen</v>
      </c>
      <c r="C91" s="1">
        <f t="shared" si="21"/>
        <v>1</v>
      </c>
      <c r="D91" s="3" t="str">
        <f>IF(B$67="",M91,"T3M5")</f>
        <v>Slowakei</v>
      </c>
      <c r="E91" s="2">
        <v>2</v>
      </c>
      <c r="F91" s="8">
        <f ca="1">IF(B$66="",2,INT(RAND()*1000000))</f>
        <v>860545</v>
      </c>
      <c r="H91" s="1"/>
      <c r="I91" s="1"/>
      <c r="J91" s="1"/>
      <c r="K91" s="1"/>
      <c r="M91" s="77" t="s">
        <v>193</v>
      </c>
      <c r="P91" s="1"/>
      <c r="Q91" s="1"/>
      <c r="R91" s="1"/>
      <c r="S91" s="138"/>
      <c r="T91" s="131"/>
      <c r="U91" s="131"/>
      <c r="BC91" s="1"/>
      <c r="BD91" s="3"/>
      <c r="BF91" s="8"/>
      <c r="BH91" s="1"/>
      <c r="BI91" s="1"/>
      <c r="BJ91" s="1"/>
      <c r="BK91" s="1"/>
      <c r="BP91" s="1"/>
      <c r="BQ91" s="1"/>
      <c r="BR91" s="1"/>
      <c r="BS91" s="6"/>
      <c r="BT91" s="1"/>
      <c r="BU91" s="1"/>
    </row>
    <row r="92" spans="2:73" ht="12.75">
      <c r="B92" s="2" t="str">
        <f>VLOOKUP(6,C$87:D$92,2,FALSE)</f>
        <v>Tschechien</v>
      </c>
      <c r="C92" s="1">
        <f t="shared" si="21"/>
        <v>4</v>
      </c>
      <c r="D92" s="3" t="str">
        <f>IF(B$67="",M92,"T3M6")</f>
        <v>Ungarn</v>
      </c>
      <c r="E92" s="2">
        <v>1</v>
      </c>
      <c r="F92" s="8">
        <f ca="1">IF(B$66="",1,INT(RAND()*1000000))</f>
        <v>513297</v>
      </c>
      <c r="H92" s="1"/>
      <c r="I92" s="1"/>
      <c r="J92" s="1"/>
      <c r="K92" s="1"/>
      <c r="M92" s="77" t="s">
        <v>198</v>
      </c>
      <c r="P92" s="1"/>
      <c r="Q92" s="1"/>
      <c r="R92" s="1"/>
      <c r="S92" s="138"/>
      <c r="T92" s="131"/>
      <c r="U92" s="131"/>
      <c r="BC92" s="1"/>
      <c r="BD92" s="3"/>
      <c r="BF92" s="8"/>
      <c r="BH92" s="1"/>
      <c r="BI92" s="1"/>
      <c r="BJ92" s="1"/>
      <c r="BK92" s="1"/>
      <c r="BP92" s="1"/>
      <c r="BQ92" s="1"/>
      <c r="BR92" s="1"/>
      <c r="BS92" s="6"/>
      <c r="BT92" s="1"/>
      <c r="BU92" s="1"/>
    </row>
    <row r="93" spans="3:58" ht="12.75">
      <c r="C93" s="1"/>
      <c r="D93" s="3"/>
      <c r="F93" s="8"/>
      <c r="BC93" s="1"/>
      <c r="BD93" s="3"/>
      <c r="BF93" s="8"/>
    </row>
    <row r="94" spans="2:65" ht="12.75">
      <c r="B94" s="17" t="s">
        <v>69</v>
      </c>
      <c r="C94" s="21" t="s">
        <v>8</v>
      </c>
      <c r="D94" s="22" t="s">
        <v>64</v>
      </c>
      <c r="E94" s="23"/>
      <c r="F94" s="21" t="s">
        <v>4</v>
      </c>
      <c r="M94" s="76" t="s">
        <v>65</v>
      </c>
      <c r="BB94" s="17"/>
      <c r="BC94" s="21"/>
      <c r="BD94" s="22"/>
      <c r="BE94" s="23"/>
      <c r="BF94" s="21"/>
      <c r="BM94" s="76"/>
    </row>
    <row r="95" spans="2:58" ht="12.75">
      <c r="B95" s="2" t="str">
        <f>VLOOKUP(1,C$95:D$100,2,FALSE)</f>
        <v>Nordirland</v>
      </c>
      <c r="C95" s="1">
        <f aca="true" t="shared" si="22" ref="C95:C100">RANK(F95,$F$95:$F$100)</f>
        <v>6</v>
      </c>
      <c r="D95" s="3" t="str">
        <f>IF(B$67="",M95,"T4M1")</f>
        <v>Türkei</v>
      </c>
      <c r="E95" s="2">
        <v>6</v>
      </c>
      <c r="F95" s="8">
        <f ca="1">IF(B$66="",6,INT(RAND()*1000000))</f>
        <v>3281</v>
      </c>
      <c r="M95" s="77" t="s">
        <v>192</v>
      </c>
      <c r="BC95" s="1"/>
      <c r="BD95" s="3"/>
      <c r="BF95" s="8"/>
    </row>
    <row r="96" spans="2:58" ht="12.75">
      <c r="B96" s="2" t="str">
        <f>VLOOKUP(2,C$95:D$100,2,FALSE)</f>
        <v>Irland</v>
      </c>
      <c r="C96" s="1">
        <f t="shared" si="22"/>
        <v>2</v>
      </c>
      <c r="D96" s="3" t="str">
        <f>IF(B$67="",M96,"T4M2")</f>
        <v>Irland</v>
      </c>
      <c r="E96" s="2">
        <v>5</v>
      </c>
      <c r="F96" s="8">
        <f ca="1">IF(B$66="",5,INT(RAND()*1000000))</f>
        <v>786016</v>
      </c>
      <c r="M96" s="77" t="s">
        <v>196</v>
      </c>
      <c r="BC96" s="1"/>
      <c r="BD96" s="3"/>
      <c r="BF96" s="8"/>
    </row>
    <row r="97" spans="2:58" ht="12.75">
      <c r="B97" s="2" t="str">
        <f>VLOOKUP(3,C$95:D$100,2,FALSE)</f>
        <v>Island</v>
      </c>
      <c r="C97" s="1">
        <f t="shared" si="22"/>
        <v>3</v>
      </c>
      <c r="D97" s="3" t="str">
        <f>IF(B$67="",M97,"T4M3")</f>
        <v>Island</v>
      </c>
      <c r="E97" s="2">
        <v>4</v>
      </c>
      <c r="F97" s="8">
        <f ca="1">IF(B$66="",4,INT(RAND()*1000000))</f>
        <v>645911</v>
      </c>
      <c r="M97" s="77" t="s">
        <v>185</v>
      </c>
      <c r="BC97" s="1"/>
      <c r="BD97" s="3"/>
      <c r="BF97" s="8"/>
    </row>
    <row r="98" spans="2:58" ht="12.75">
      <c r="B98" s="2" t="str">
        <f>VLOOKUP(4,C$95:D$100,2,FALSE)</f>
        <v>Albanien</v>
      </c>
      <c r="C98" s="1">
        <f t="shared" si="22"/>
        <v>5</v>
      </c>
      <c r="D98" s="3" t="str">
        <f>IF(B$67="",M98,"T4M4")</f>
        <v>Wales</v>
      </c>
      <c r="E98" s="2">
        <v>3</v>
      </c>
      <c r="F98" s="8">
        <f ca="1">IF(B$66="",3,INT(RAND()*1000000))</f>
        <v>165722</v>
      </c>
      <c r="M98" s="77" t="s">
        <v>186</v>
      </c>
      <c r="BC98" s="1"/>
      <c r="BD98" s="3"/>
      <c r="BF98" s="8"/>
    </row>
    <row r="99" spans="2:58" ht="12.75">
      <c r="B99" s="2" t="str">
        <f>VLOOKUP(5,C$95:D$100,2,FALSE)</f>
        <v>Wales</v>
      </c>
      <c r="C99" s="1">
        <f t="shared" si="22"/>
        <v>4</v>
      </c>
      <c r="D99" s="3" t="str">
        <f>IF(B$67="",M99,"T4M5")</f>
        <v>Albanien</v>
      </c>
      <c r="E99" s="2">
        <v>2</v>
      </c>
      <c r="F99" s="8">
        <f ca="1">IF(B$66="",2,INT(RAND()*1000000))</f>
        <v>394010</v>
      </c>
      <c r="M99" s="77" t="s">
        <v>187</v>
      </c>
      <c r="BC99" s="1"/>
      <c r="BD99" s="3"/>
      <c r="BF99" s="8"/>
    </row>
    <row r="100" spans="2:58" ht="12.75">
      <c r="B100" s="2" t="str">
        <f>VLOOKUP(6,C$95:D$100,2,FALSE)</f>
        <v>Türkei</v>
      </c>
      <c r="C100" s="1">
        <f t="shared" si="22"/>
        <v>1</v>
      </c>
      <c r="D100" s="3" t="str">
        <f>IF(B$67="",M100,"T4M6")</f>
        <v>Nordirland</v>
      </c>
      <c r="E100" s="2">
        <v>1</v>
      </c>
      <c r="F100" s="8">
        <f ca="1">IF(B$66="",1,INT(RAND()*1000000))</f>
        <v>806646</v>
      </c>
      <c r="M100" s="77" t="s">
        <v>188</v>
      </c>
      <c r="BC100" s="1"/>
      <c r="BD100" s="3"/>
      <c r="BF100" s="8"/>
    </row>
    <row r="101" ht="12.75">
      <c r="D101" s="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67"/>
  <sheetViews>
    <sheetView workbookViewId="0" topLeftCell="A1">
      <selection activeCell="H63" sqref="H63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123" hidden="1" customWidth="1"/>
    <col min="23" max="23" width="1.7109375" style="123" hidden="1" customWidth="1"/>
    <col min="24" max="24" width="3.00390625" style="123" hidden="1" customWidth="1"/>
    <col min="25" max="25" width="14.28125" style="123" hidden="1" customWidth="1"/>
    <col min="26" max="26" width="2.28125" style="123" hidden="1" customWidth="1"/>
    <col min="27" max="27" width="3.28125" style="123" hidden="1" customWidth="1"/>
    <col min="28" max="28" width="3.00390625" style="123" hidden="1" customWidth="1"/>
    <col min="29" max="29" width="4.421875" style="123" hidden="1" customWidth="1"/>
    <col min="30" max="30" width="19.28125" style="123" hidden="1" customWidth="1"/>
    <col min="31" max="31" width="3.140625" style="140" hidden="1" customWidth="1"/>
    <col min="32" max="32" width="3.57421875" style="123" hidden="1" customWidth="1"/>
    <col min="33" max="36" width="2.8515625" style="123" hidden="1" customWidth="1"/>
    <col min="37" max="37" width="3.140625" style="123" hidden="1" customWidth="1"/>
    <col min="38" max="38" width="6.421875" style="123" hidden="1" customWidth="1"/>
    <col min="39" max="42" width="2.8515625" style="123" hidden="1" customWidth="1"/>
    <col min="43" max="43" width="7.7109375" style="123" hidden="1" customWidth="1"/>
    <col min="44" max="47" width="3.00390625" style="123" hidden="1" customWidth="1"/>
    <col min="48" max="48" width="3.140625" style="123" hidden="1" customWidth="1"/>
    <col min="49" max="52" width="11.421875" style="123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5" customWidth="1"/>
    <col min="61" max="61" width="1.57421875" style="15" customWidth="1"/>
    <col min="62" max="62" width="3.57421875" style="15" customWidth="1"/>
    <col min="63" max="63" width="3.00390625" style="9" customWidth="1"/>
    <col min="64" max="64" width="2.00390625" style="2" customWidth="1"/>
    <col min="65" max="65" width="14.28125" style="11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123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10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2" customFormat="1" ht="14.25" thickBot="1" thickTop="1">
      <c r="A1" s="12" t="s">
        <v>70</v>
      </c>
      <c r="B1" s="50" t="s">
        <v>0</v>
      </c>
      <c r="C1" s="43" t="s">
        <v>1</v>
      </c>
      <c r="D1" s="24" t="s">
        <v>2</v>
      </c>
      <c r="E1" s="21"/>
      <c r="F1" s="24"/>
      <c r="G1" s="112"/>
      <c r="H1" s="113"/>
      <c r="I1" s="27"/>
      <c r="J1" s="28"/>
      <c r="K1" s="29"/>
      <c r="L1" s="24"/>
      <c r="M1" s="69" t="s">
        <v>3</v>
      </c>
      <c r="N1" s="24" t="s">
        <v>4</v>
      </c>
      <c r="O1" s="24" t="s">
        <v>5</v>
      </c>
      <c r="P1" s="24" t="s">
        <v>6</v>
      </c>
      <c r="Q1" s="24" t="s">
        <v>7</v>
      </c>
      <c r="R1" s="24"/>
      <c r="S1" s="123"/>
      <c r="T1" s="123"/>
      <c r="U1" s="123"/>
      <c r="V1" s="123"/>
      <c r="W1" s="124"/>
      <c r="X1" s="124" t="s">
        <v>8</v>
      </c>
      <c r="Y1" s="125" t="s">
        <v>9</v>
      </c>
      <c r="Z1" s="124" t="s">
        <v>4</v>
      </c>
      <c r="AA1" s="124" t="s">
        <v>5</v>
      </c>
      <c r="AB1" s="124" t="s">
        <v>6</v>
      </c>
      <c r="AC1" s="124" t="s">
        <v>7</v>
      </c>
      <c r="AD1" s="124"/>
      <c r="AE1" s="27" t="s">
        <v>10</v>
      </c>
      <c r="AF1" s="80" t="s">
        <v>11</v>
      </c>
      <c r="AG1" s="80"/>
      <c r="AH1" s="80"/>
      <c r="AI1" s="80"/>
      <c r="AJ1" s="80" t="s">
        <v>12</v>
      </c>
      <c r="AK1" s="125" t="s">
        <v>13</v>
      </c>
      <c r="AL1" s="80" t="s">
        <v>14</v>
      </c>
      <c r="AM1" s="80"/>
      <c r="AN1" s="80"/>
      <c r="AO1" s="80"/>
      <c r="AP1" s="80" t="s">
        <v>15</v>
      </c>
      <c r="AQ1" s="80" t="s">
        <v>16</v>
      </c>
      <c r="AR1" s="80"/>
      <c r="AS1" s="80"/>
      <c r="AT1" s="80"/>
      <c r="AU1" s="126" t="s">
        <v>17</v>
      </c>
      <c r="AV1" s="125" t="s">
        <v>18</v>
      </c>
      <c r="AW1" s="127"/>
      <c r="AX1" s="128"/>
      <c r="AY1" s="128"/>
      <c r="AZ1" s="128"/>
      <c r="BB1" s="156" t="s">
        <v>0</v>
      </c>
      <c r="BC1" s="157" t="s">
        <v>32</v>
      </c>
      <c r="BD1" s="24" t="s">
        <v>2</v>
      </c>
      <c r="BE1" s="21"/>
      <c r="BF1" s="24"/>
      <c r="BG1" s="112"/>
      <c r="BH1" s="113"/>
      <c r="BI1" s="27"/>
      <c r="BJ1" s="28"/>
      <c r="BK1" s="29"/>
      <c r="BL1" s="24"/>
      <c r="BM1" s="69" t="s">
        <v>3</v>
      </c>
      <c r="BN1" s="24" t="s">
        <v>4</v>
      </c>
      <c r="BO1" s="24" t="s">
        <v>5</v>
      </c>
      <c r="BP1" s="24" t="s">
        <v>6</v>
      </c>
      <c r="BQ1" s="24" t="s">
        <v>7</v>
      </c>
      <c r="BR1" s="24"/>
      <c r="BS1" s="2"/>
      <c r="BT1" s="2"/>
      <c r="BU1" s="2"/>
      <c r="BV1" s="2"/>
      <c r="BW1" s="24"/>
      <c r="BX1" s="24" t="s">
        <v>8</v>
      </c>
      <c r="BY1" s="125" t="s">
        <v>9</v>
      </c>
      <c r="BZ1" s="24" t="s">
        <v>4</v>
      </c>
      <c r="CA1" s="24" t="s">
        <v>5</v>
      </c>
      <c r="CB1" s="24" t="s">
        <v>6</v>
      </c>
      <c r="CC1" s="24" t="s">
        <v>7</v>
      </c>
      <c r="CD1" s="24"/>
      <c r="CE1" s="29" t="s">
        <v>10</v>
      </c>
      <c r="CF1" s="22" t="s">
        <v>11</v>
      </c>
      <c r="CG1" s="22"/>
      <c r="CH1" s="22"/>
      <c r="CI1" s="22"/>
      <c r="CJ1" s="22" t="s">
        <v>12</v>
      </c>
      <c r="CK1" s="30" t="s">
        <v>13</v>
      </c>
      <c r="CL1" s="22" t="s">
        <v>14</v>
      </c>
      <c r="CM1" s="22"/>
      <c r="CN1" s="22"/>
      <c r="CO1" s="22"/>
      <c r="CP1" s="22" t="s">
        <v>15</v>
      </c>
      <c r="CQ1" s="22" t="s">
        <v>16</v>
      </c>
      <c r="CR1" s="22"/>
      <c r="CS1" s="22"/>
      <c r="CT1" s="22"/>
      <c r="CU1" s="23" t="s">
        <v>17</v>
      </c>
      <c r="CV1" s="30" t="s">
        <v>18</v>
      </c>
    </row>
    <row r="2" spans="2:100" ht="13.5" thickTop="1">
      <c r="B2" s="3" t="s">
        <v>19</v>
      </c>
      <c r="C2" s="3" t="s">
        <v>20</v>
      </c>
      <c r="L2" s="1"/>
      <c r="M2" s="11" t="str">
        <f>VLOOKUP(1,$X$2:$AC$5,2,FALSE)</f>
        <v>Frankreich</v>
      </c>
      <c r="N2" s="2">
        <f>VLOOKUP(1,$X$2:$AC$5,3,FALSE)</f>
        <v>6</v>
      </c>
      <c r="O2" s="2">
        <f>VLOOKUP(1,$X$2:$AC$5,4,FALSE)</f>
        <v>2</v>
      </c>
      <c r="P2" s="2">
        <f>VLOOKUP(1,$X$2:$AC$5,5,FALSE)</f>
        <v>1</v>
      </c>
      <c r="Q2" s="2">
        <f>VLOOKUP(1,$X$2:$AC$5,6,FALSE)</f>
        <v>1</v>
      </c>
      <c r="S2" s="129"/>
      <c r="T2" s="130">
        <f>IF(H3="",0,IF(K3=$B$63,IF(H3&gt;J3,3,IF(H3=J3,1,0)),0))</f>
        <v>3</v>
      </c>
      <c r="U2" s="130">
        <f>IF(H5="",0,IF(K5=$B$63,IF(H5&gt;J5,3,IF(H5=J5,1,0)),0))</f>
        <v>3</v>
      </c>
      <c r="V2" s="130">
        <f>IF(J7="",0,IF(K7=$B$63,IF(H7&lt;J7,3,IF(H7=J7,1,0)),0))</f>
        <v>0</v>
      </c>
      <c r="W2" s="131"/>
      <c r="X2" s="185">
        <f>RANK(AD2,AD2:AD5)+COUNTIF(AD2:AD2,AD2)-1</f>
        <v>1</v>
      </c>
      <c r="Y2" s="132" t="s">
        <v>67</v>
      </c>
      <c r="Z2" s="131">
        <f>SUM(S2:V2)</f>
        <v>6</v>
      </c>
      <c r="AA2" s="131">
        <f>SUM(S6:V6)</f>
        <v>2</v>
      </c>
      <c r="AB2" s="131">
        <f>SUM(S6:S9)</f>
        <v>1</v>
      </c>
      <c r="AC2" s="131">
        <f>AA2-AB2</f>
        <v>1</v>
      </c>
      <c r="AD2" s="133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601020003010101</v>
      </c>
      <c r="AE2" s="134"/>
      <c r="AF2" s="135"/>
      <c r="AG2" s="135">
        <f>IF($Z2=$Z3,$T2-$S3,0)</f>
        <v>3</v>
      </c>
      <c r="AH2" s="135">
        <f>IF($Z2=$Z4,$U2-$S4,0)</f>
        <v>0</v>
      </c>
      <c r="AI2" s="135">
        <f>IF($Z2=$Z5,$V2-$S5,0)</f>
        <v>0</v>
      </c>
      <c r="AJ2" s="135">
        <f>SUM(AF2:AI2)</f>
        <v>3</v>
      </c>
      <c r="AK2" s="134"/>
      <c r="AL2" s="135"/>
      <c r="AM2" s="135">
        <f>IF($Z2=$Z3,$T6-$S7,0)</f>
        <v>1</v>
      </c>
      <c r="AN2" s="135">
        <f>IF($Z2=$Z4,$U6-$S8,0)</f>
        <v>0</v>
      </c>
      <c r="AO2" s="135">
        <f>IF($Z2=$Z5,$V6-$S9,0)</f>
        <v>0</v>
      </c>
      <c r="AP2" s="135">
        <f>SUM(AL2:AO2)</f>
        <v>1</v>
      </c>
      <c r="AQ2" s="135"/>
      <c r="AR2" s="135">
        <f>IF($Z2=$Z3,$T6,0)</f>
        <v>1</v>
      </c>
      <c r="AS2" s="135">
        <f>IF($Z2=$Z4,$U6,0)</f>
        <v>0</v>
      </c>
      <c r="AT2" s="135">
        <f>IF($Z2=$Z5,$V6,0)</f>
        <v>0</v>
      </c>
      <c r="AU2" s="135">
        <f>SUM(AQ2:AT2)</f>
        <v>1</v>
      </c>
      <c r="AV2" s="184">
        <f>IF(AND(COUNTIF(K3:K8,$B$63)=COUNTA(H3:H8),COUNTIF(K3:K8,$B$63)=COUNTA(J3:J8)),IF(AU2=AU3,T6-S7,IF(AU2=AU4,U6-S8,IF(AU2=AU5,V6-S9,4))),4)</f>
        <v>1</v>
      </c>
      <c r="AW2" s="133"/>
      <c r="BB2" s="3" t="s">
        <v>19</v>
      </c>
      <c r="BC2" s="3" t="s">
        <v>20</v>
      </c>
      <c r="BL2" s="1"/>
      <c r="BM2" s="11" t="str">
        <f>VLOOKUP(1,$BX$2:$CC$5,2,FALSE)</f>
        <v>Spanien</v>
      </c>
      <c r="BN2" s="2">
        <f>VLOOKUP(1,$BX$2:$CC$5,3,FALSE)</f>
        <v>6</v>
      </c>
      <c r="BO2" s="2">
        <f>VLOOKUP(1,$BX$2:$CC$5,4,FALSE)</f>
        <v>2</v>
      </c>
      <c r="BP2" s="2">
        <f>VLOOKUP(1,$BX$2:$CC$5,5,FALSE)</f>
        <v>1</v>
      </c>
      <c r="BQ2" s="2">
        <f>VLOOKUP(1,$BX$2:$CC$5,6,FALSE)</f>
        <v>1</v>
      </c>
      <c r="BS2" s="129"/>
      <c r="BT2" s="130">
        <f>IF(BH3="",0,IF(BK3=$B$63,IF(BH3&gt;BJ3,3,IF(BH3=BJ3,1,0)),0))</f>
        <v>3</v>
      </c>
      <c r="BU2" s="130">
        <f>IF(BH5="",0,IF(BK5=$B$63,IF(BH5&gt;BJ5,3,IF(BH5=BJ5,1,0)),0))</f>
        <v>3</v>
      </c>
      <c r="BV2" s="130">
        <f>IF(BJ7="",0,IF(BK7=$B$63,IF(BH7&lt;BJ7,3,IF(BH7=BJ7,1,0)),0))</f>
        <v>0</v>
      </c>
      <c r="BW2" s="1"/>
      <c r="BX2" s="185">
        <f>RANK(CD2,CD2:CD5)+COUNTIF(CD2:CD2,CD2)-1</f>
        <v>1</v>
      </c>
      <c r="BY2" s="132" t="s">
        <v>176</v>
      </c>
      <c r="BZ2" s="1">
        <f>SUM(BS2:BV2)</f>
        <v>6</v>
      </c>
      <c r="CA2" s="1">
        <f>SUM(BS6:BV6)</f>
        <v>2</v>
      </c>
      <c r="CB2" s="1">
        <f>SUM(BS6:BS9)</f>
        <v>1</v>
      </c>
      <c r="CC2" s="1">
        <f>CA2-CB2</f>
        <v>1</v>
      </c>
      <c r="CD2" s="33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601020003010101</v>
      </c>
      <c r="CE2" s="5"/>
      <c r="CF2" s="34"/>
      <c r="CG2" s="34">
        <f>IF($BZ2=$BZ3,$BT2-$BS3,0)</f>
        <v>3</v>
      </c>
      <c r="CH2" s="34">
        <f>IF($BZ2=$BZ4,$BU2-$BS4,0)</f>
        <v>0</v>
      </c>
      <c r="CI2" s="34">
        <f>IF($BZ2=$BZ5,$BV2-$BS5,0)</f>
        <v>0</v>
      </c>
      <c r="CJ2" s="34">
        <f>SUM(CF2:CI2)</f>
        <v>3</v>
      </c>
      <c r="CK2" s="5"/>
      <c r="CL2" s="34"/>
      <c r="CM2" s="34">
        <f>IF($BZ2=$BZ3,$BT6-$BS7,0)</f>
        <v>1</v>
      </c>
      <c r="CN2" s="34">
        <f>IF($BZ2=$BZ4,$BU6-$BS8,0)</f>
        <v>0</v>
      </c>
      <c r="CO2" s="34">
        <f>IF($BZ2=$BZ5,$BV6-$BS9,0)</f>
        <v>0</v>
      </c>
      <c r="CP2" s="34">
        <f>SUM(CL2:CO2)</f>
        <v>1</v>
      </c>
      <c r="CQ2" s="34"/>
      <c r="CR2" s="34">
        <f>IF($BZ2=$BZ3,$BT6,0)</f>
        <v>1</v>
      </c>
      <c r="CS2" s="34">
        <f>IF($BZ2=$BZ4,$BU6,0)</f>
        <v>0</v>
      </c>
      <c r="CT2" s="34">
        <f>IF($BZ2=$BZ5,$BV6,0)</f>
        <v>0</v>
      </c>
      <c r="CU2" s="34">
        <f>SUM(CQ2:CT2)</f>
        <v>1</v>
      </c>
      <c r="CV2" s="184">
        <f>IF(AND(COUNTIF(BK3:BK8,$B$63)=COUNTA(BH3:BH8),COUNTIF(BK3:BK8,$B$63)=COUNTA(BJ3:BJ8)),IF(CU2=CU3,BT6-BS7,IF(CU2=CU4,BU6-BS8,IF(CU2=CU5,BV6-BS9,4))),4)</f>
        <v>1</v>
      </c>
    </row>
    <row r="3" spans="1:100" ht="12.75">
      <c r="A3" s="2">
        <v>1</v>
      </c>
      <c r="B3" s="7">
        <v>42531.875</v>
      </c>
      <c r="C3" s="4" t="s">
        <v>136</v>
      </c>
      <c r="D3" s="125" t="str">
        <f>Y2</f>
        <v>Frankreich</v>
      </c>
      <c r="E3" s="80" t="s">
        <v>21</v>
      </c>
      <c r="F3" s="125" t="str">
        <f>Y3</f>
        <v>Rumänien</v>
      </c>
      <c r="G3" s="124"/>
      <c r="H3" s="136">
        <f aca="true" ca="1" t="shared" si="0" ref="H3:H8">IF($B$64="",1,INT(RAND()*5)+INT(RAND()*3)*INT(RAND()*2))</f>
        <v>1</v>
      </c>
      <c r="I3" s="13" t="s">
        <v>22</v>
      </c>
      <c r="J3" s="136">
        <f aca="true" ca="1" t="shared" si="1" ref="J3:J8">IF($B$64="",0,INT(RAND()*5)+INT(RAND()*3)*INT(RAND()*2))</f>
        <v>0</v>
      </c>
      <c r="K3" s="9" t="s">
        <v>23</v>
      </c>
      <c r="L3" s="1"/>
      <c r="M3" s="11" t="str">
        <f>VLOOKUP(2,$X$2:$AC$5,2,FALSE)</f>
        <v>Rumänien</v>
      </c>
      <c r="N3" s="2">
        <f>VLOOKUP(2,$X$2:$AC$5,3,FALSE)</f>
        <v>6</v>
      </c>
      <c r="O3" s="2">
        <f>VLOOKUP(2,$X$2:$AC$5,4,FALSE)</f>
        <v>2</v>
      </c>
      <c r="P3" s="2">
        <f>VLOOKUP(2,$X$2:$AC$5,5,FALSE)</f>
        <v>1</v>
      </c>
      <c r="Q3" s="2">
        <f>VLOOKUP(2,$X$2:$AC$5,6,FALSE)</f>
        <v>1</v>
      </c>
      <c r="S3" s="130">
        <f>IF(J3="",0,IF(K3=$B$63,IF(H3&lt;J3,3,IF(H3=J3,1,0)),0))</f>
        <v>0</v>
      </c>
      <c r="T3" s="129"/>
      <c r="U3" s="130">
        <f>IF(H8="",0,IF(K8=$B$63,IF(H8&gt;J8,3,IF(H8=J8,1,0)),0))</f>
        <v>3</v>
      </c>
      <c r="V3" s="130">
        <f>IF(H6="",0,IF(K6=$B$63,IF(H6&gt;J6,3,IF(H6=J6,1,0)),0))</f>
        <v>3</v>
      </c>
      <c r="W3" s="131"/>
      <c r="X3" s="185">
        <f>RANK(AD3,AD2:AD5)+COUNTIF(AD2:AD3,AD3)-1</f>
        <v>2</v>
      </c>
      <c r="Y3" s="132" t="s">
        <v>191</v>
      </c>
      <c r="Z3" s="131">
        <f>SUM(S3:V3)</f>
        <v>6</v>
      </c>
      <c r="AA3" s="131">
        <f>SUM(S7:V7)</f>
        <v>2</v>
      </c>
      <c r="AB3" s="131">
        <f>SUM(T6:T9)</f>
        <v>1</v>
      </c>
      <c r="AC3" s="131">
        <f>AA3-AB3</f>
        <v>1</v>
      </c>
      <c r="AD3" s="133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601019996990001</v>
      </c>
      <c r="AE3" s="134"/>
      <c r="AF3" s="135">
        <f>IF($Z3=$Z2,$S3-$T2,0)</f>
        <v>-3</v>
      </c>
      <c r="AG3" s="135"/>
      <c r="AH3" s="135">
        <f>IF($Z3=$Z4,$U3-$T4,0)</f>
        <v>0</v>
      </c>
      <c r="AI3" s="135">
        <f>IF($Z3=$Z5,$V3-$T5,0)</f>
        <v>0</v>
      </c>
      <c r="AJ3" s="135">
        <f>SUM(AF3:AI3)</f>
        <v>-3</v>
      </c>
      <c r="AK3" s="134"/>
      <c r="AL3" s="135">
        <f>IF($Z3=$Z2,$S7-$T6,0)</f>
        <v>-1</v>
      </c>
      <c r="AM3" s="135"/>
      <c r="AN3" s="135">
        <f>IF($Z3=$Z4,$U7-$T8,0)</f>
        <v>0</v>
      </c>
      <c r="AO3" s="135">
        <f>IF($Z3=$Z5,$V7-$T9,0)</f>
        <v>0</v>
      </c>
      <c r="AP3" s="135">
        <f>SUM(AL3:AO3)</f>
        <v>-1</v>
      </c>
      <c r="AQ3" s="135">
        <f>IF($Z3=$Z2,$S7,0)</f>
        <v>0</v>
      </c>
      <c r="AR3" s="135"/>
      <c r="AS3" s="135">
        <f>IF($Z3=$Z4,$U7,0)</f>
        <v>0</v>
      </c>
      <c r="AT3" s="135">
        <f>IF($Z3=$Z5,$V7,0)</f>
        <v>0</v>
      </c>
      <c r="AU3" s="135">
        <f>SUM(AQ3:AT3)</f>
        <v>0</v>
      </c>
      <c r="AV3" s="184">
        <f>IF(AND(COUNTIF(K3:K8,$B$63)=COUNTA(H3:H8),COUNTIF(K3:K8,$B$63)=COUNTA(J3:J8)),IF(AU3=AU2,S7-T6,IF(AU3=AU4,U7-T8,IF(AU3=AU5,V7-T9,3))),3)</f>
        <v>1</v>
      </c>
      <c r="AW3" s="133"/>
      <c r="BA3" s="2">
        <v>7</v>
      </c>
      <c r="BB3" s="7">
        <v>42534.625</v>
      </c>
      <c r="BC3" s="4" t="s">
        <v>144</v>
      </c>
      <c r="BD3" s="125" t="str">
        <f>BY2</f>
        <v>Spanien</v>
      </c>
      <c r="BE3" s="80" t="s">
        <v>21</v>
      </c>
      <c r="BF3" s="125" t="str">
        <f>BY3</f>
        <v>Tschechien</v>
      </c>
      <c r="BG3" s="124"/>
      <c r="BH3" s="136">
        <f aca="true" ca="1" t="shared" si="2" ref="BH3:BH8">IF($B$64="",1,INT(RAND()*5)+INT(RAND()*3)*INT(RAND()*2))</f>
        <v>1</v>
      </c>
      <c r="BI3" s="13" t="s">
        <v>22</v>
      </c>
      <c r="BJ3" s="136">
        <f aca="true" ca="1" t="shared" si="3" ref="BJ3:BJ8">IF($B$64="",0,INT(RAND()*5)+INT(RAND()*3)*INT(RAND()*2))</f>
        <v>0</v>
      </c>
      <c r="BK3" s="9" t="s">
        <v>23</v>
      </c>
      <c r="BL3" s="1"/>
      <c r="BM3" s="11" t="str">
        <f>VLOOKUP(2,$BX$2:$CC$5,2,FALSE)</f>
        <v>Tschechien</v>
      </c>
      <c r="BN3" s="2">
        <f>VLOOKUP(2,$BX$2:$CC$5,3,FALSE)</f>
        <v>6</v>
      </c>
      <c r="BO3" s="2">
        <f>VLOOKUP(2,$BX$2:$CC$5,4,FALSE)</f>
        <v>2</v>
      </c>
      <c r="BP3" s="2">
        <f>VLOOKUP(2,$BX$2:$CC$5,5,FALSE)</f>
        <v>1</v>
      </c>
      <c r="BQ3" s="2">
        <f>VLOOKUP(2,$BX$2:$CC$5,6,FALSE)</f>
        <v>1</v>
      </c>
      <c r="BS3" s="130">
        <f>IF(BJ3="",0,IF(BK3=$B$63,IF(BH3&lt;BJ3,3,IF(BH3=BJ3,1,0)),0))</f>
        <v>0</v>
      </c>
      <c r="BT3" s="129"/>
      <c r="BU3" s="130">
        <f>IF(BH8="",0,IF(BK8=$B$63,IF(BH8&gt;BJ8,3,IF(BH8=BJ8,1,0)),0))</f>
        <v>3</v>
      </c>
      <c r="BV3" s="130">
        <f>IF(BH6="",0,IF(BK6=$B$63,IF(BH6&gt;BJ6,3,IF(BH6=BJ6,1,0)),0))</f>
        <v>3</v>
      </c>
      <c r="BW3" s="1"/>
      <c r="BX3" s="185">
        <f>RANK(CD3,CD2:CD5)+COUNTIF(CD2:CD3,CD3)-1</f>
        <v>2</v>
      </c>
      <c r="BY3" s="132" t="s">
        <v>189</v>
      </c>
      <c r="BZ3" s="1">
        <f>SUM(BS3:BV3)</f>
        <v>6</v>
      </c>
      <c r="CA3" s="1">
        <f>SUM(BS7:BV7)</f>
        <v>2</v>
      </c>
      <c r="CB3" s="1">
        <f>SUM(BT6:BT9)</f>
        <v>1</v>
      </c>
      <c r="CC3" s="1">
        <f>CA3-CB3</f>
        <v>1</v>
      </c>
      <c r="CD3" s="33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601019996990001</v>
      </c>
      <c r="CE3" s="5"/>
      <c r="CF3" s="34">
        <f>IF($BZ3=$BZ2,$BS3-$BT2,0)</f>
        <v>-3</v>
      </c>
      <c r="CG3" s="34"/>
      <c r="CH3" s="34">
        <f>IF($BZ3=$BZ4,$BU3-$BT4,0)</f>
        <v>0</v>
      </c>
      <c r="CI3" s="34">
        <f>IF($BZ3=$BZ5,$BV3-$BT5,0)</f>
        <v>0</v>
      </c>
      <c r="CJ3" s="34">
        <f>SUM(CF3:CI3)</f>
        <v>-3</v>
      </c>
      <c r="CK3" s="5"/>
      <c r="CL3" s="34">
        <f>IF($BZ3=$BZ2,$BS7-$BT6,0)</f>
        <v>-1</v>
      </c>
      <c r="CM3" s="34"/>
      <c r="CN3" s="34">
        <f>IF($BZ3=$BZ4,$BU7-$BT8,0)</f>
        <v>0</v>
      </c>
      <c r="CO3" s="34">
        <f>IF($BZ3=$BZ5,$BV7-$BT9,0)</f>
        <v>0</v>
      </c>
      <c r="CP3" s="34">
        <f>SUM(CL3:CO3)</f>
        <v>-1</v>
      </c>
      <c r="CQ3" s="34">
        <f>IF($BZ3=$BZ2,$BS7,0)</f>
        <v>0</v>
      </c>
      <c r="CR3" s="34"/>
      <c r="CS3" s="34">
        <f>IF($BZ3=$BZ4,$BU7,0)</f>
        <v>0</v>
      </c>
      <c r="CT3" s="34">
        <f>IF($BZ3=$BZ5,$BV7,0)</f>
        <v>0</v>
      </c>
      <c r="CU3" s="34">
        <f>SUM(CQ3:CT3)</f>
        <v>0</v>
      </c>
      <c r="CV3" s="184">
        <f>IF(AND(COUNTIF(BK3:BK8,$B$63)=COUNTA(BH3:BH8),COUNTIF(BK3:BK8,$B$63)=COUNTA(BJ3:BJ8)),IF(CU3=CU2,BS7-BT6,IF(CU3=CU4,BU7-BT8,IF(CU3=CU5,BV7-BT9,3))),3)</f>
        <v>1</v>
      </c>
    </row>
    <row r="4" spans="1:100" ht="12.75">
      <c r="A4" s="2">
        <f>A3+1</f>
        <v>2</v>
      </c>
      <c r="B4" s="4">
        <v>42532.625</v>
      </c>
      <c r="C4" s="4" t="s">
        <v>137</v>
      </c>
      <c r="D4" s="125" t="str">
        <f>Y4</f>
        <v>Albanien</v>
      </c>
      <c r="E4" s="80" t="s">
        <v>21</v>
      </c>
      <c r="F4" s="125" t="str">
        <f>Y5</f>
        <v>Schweiz</v>
      </c>
      <c r="G4" s="124"/>
      <c r="H4" s="137">
        <f ca="1" t="shared" si="0"/>
        <v>1</v>
      </c>
      <c r="I4" s="13" t="s">
        <v>22</v>
      </c>
      <c r="J4" s="136">
        <f ca="1" t="shared" si="1"/>
        <v>0</v>
      </c>
      <c r="K4" s="9" t="s">
        <v>23</v>
      </c>
      <c r="L4" s="1"/>
      <c r="M4" s="11" t="str">
        <f>VLOOKUP(3,$X$2:$AC$5,2,FALSE)</f>
        <v>Albanien</v>
      </c>
      <c r="N4" s="2">
        <f>VLOOKUP(3,$X$2:$AC$5,3,FALSE)</f>
        <v>3</v>
      </c>
      <c r="O4" s="2">
        <f>VLOOKUP(3,$X$2:$AC$5,4,FALSE)</f>
        <v>1</v>
      </c>
      <c r="P4" s="2">
        <f>VLOOKUP(3,$X$2:$AC$5,5,FALSE)</f>
        <v>2</v>
      </c>
      <c r="Q4" s="2">
        <f>VLOOKUP(3,$X$2:$AC$5,6,FALSE)</f>
        <v>-1</v>
      </c>
      <c r="S4" s="130">
        <f>IF(J5="",0,IF(K5=$B$63,IF(H5&lt;J5,3,IF(H5=J5,1,0)),0))</f>
        <v>0</v>
      </c>
      <c r="T4" s="130">
        <f>IF(J8="",0,IF(K8=$B$63,IF(H8&lt;J8,3,IF(H8=J8,1,0)),0))</f>
        <v>0</v>
      </c>
      <c r="U4" s="129"/>
      <c r="V4" s="130">
        <f>IF(H4="",0,IF(K4=$B$63,IF(H4&gt;J4,3,IF(H4=J4,1,0)),0))</f>
        <v>3</v>
      </c>
      <c r="W4" s="131"/>
      <c r="X4" s="185">
        <f>RANK(AD4,AD2:AD5)+COUNTIF(AD2:AD4,AD4)-1</f>
        <v>3</v>
      </c>
      <c r="Y4" s="132" t="s">
        <v>187</v>
      </c>
      <c r="Z4" s="131">
        <f>SUM(S4:V4)</f>
        <v>3</v>
      </c>
      <c r="AA4" s="131">
        <f>SUM(S8:V8)</f>
        <v>1</v>
      </c>
      <c r="AB4" s="131">
        <f>SUM(U6:U9)</f>
        <v>2</v>
      </c>
      <c r="AC4" s="131">
        <f>AA4-AB4</f>
        <v>-1</v>
      </c>
      <c r="AD4" s="133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299010003010099</v>
      </c>
      <c r="AE4" s="134"/>
      <c r="AF4" s="135">
        <f>IF($Z4=$Z2,$S4-$U2,0)</f>
        <v>0</v>
      </c>
      <c r="AG4" s="135">
        <f>IF($Z4=$Z3,$T4-$U3,0)</f>
        <v>0</v>
      </c>
      <c r="AH4" s="135"/>
      <c r="AI4" s="135">
        <f>IF($Z4=$Z5,$V4-$U5,0)</f>
        <v>3</v>
      </c>
      <c r="AJ4" s="135">
        <f>SUM(AF4:AI4)</f>
        <v>3</v>
      </c>
      <c r="AK4" s="134"/>
      <c r="AL4" s="135">
        <f>IF($Z4=$Z2,$S8-$U6,0)</f>
        <v>0</v>
      </c>
      <c r="AM4" s="135">
        <f>IF($Z4=$Z3,$T8-$U7,0)</f>
        <v>0</v>
      </c>
      <c r="AN4" s="135"/>
      <c r="AO4" s="135">
        <f>IF($Z4=$Z5,$V8-$U9,0)</f>
        <v>1</v>
      </c>
      <c r="AP4" s="135">
        <f>SUM(AL4:AO4)</f>
        <v>1</v>
      </c>
      <c r="AQ4" s="135">
        <f>IF($Z4=$Z2,$S8,0)</f>
        <v>0</v>
      </c>
      <c r="AR4" s="135">
        <f>IF($Z4=$Z3,$T8,0)</f>
        <v>0</v>
      </c>
      <c r="AS4" s="135"/>
      <c r="AT4" s="135">
        <f>IF($Z4=$Z5,$V8,0)</f>
        <v>1</v>
      </c>
      <c r="AU4" s="135">
        <f>SUM(AQ4:AT4)</f>
        <v>1</v>
      </c>
      <c r="AV4" s="184">
        <f>IF(AND(COUNTIF(K3:K8,$B$63)=COUNTA(H3:H8),COUNTIF(K3:K8,$B$63)=COUNTA(J3:J8)),IF(AU4=AU2,S8-U6,IF(AU4=AU3,T8-U7,IF(AU4=AU5,V8-U9,2))),2)</f>
        <v>-1</v>
      </c>
      <c r="AW4" s="133"/>
      <c r="BA4" s="2">
        <v>8</v>
      </c>
      <c r="BB4" s="7">
        <v>42533.625</v>
      </c>
      <c r="BC4" s="4" t="s">
        <v>138</v>
      </c>
      <c r="BD4" s="125" t="str">
        <f>BY4</f>
        <v>Türkei</v>
      </c>
      <c r="BE4" s="80" t="s">
        <v>21</v>
      </c>
      <c r="BF4" s="125" t="str">
        <f>BY5</f>
        <v>Kroatien</v>
      </c>
      <c r="BG4" s="124"/>
      <c r="BH4" s="137">
        <f ca="1" t="shared" si="2"/>
        <v>1</v>
      </c>
      <c r="BI4" s="13" t="s">
        <v>22</v>
      </c>
      <c r="BJ4" s="136">
        <f ca="1" t="shared" si="3"/>
        <v>0</v>
      </c>
      <c r="BK4" s="9" t="s">
        <v>23</v>
      </c>
      <c r="BL4" s="1"/>
      <c r="BM4" s="11" t="str">
        <f>VLOOKUP(3,$BX$2:$CC$5,2,FALSE)</f>
        <v>Türkei</v>
      </c>
      <c r="BN4" s="2">
        <f>VLOOKUP(3,$BX$2:$CC$5,3,FALSE)</f>
        <v>3</v>
      </c>
      <c r="BO4" s="2">
        <f>VLOOKUP(3,$BX$2:$CC$5,4,FALSE)</f>
        <v>1</v>
      </c>
      <c r="BP4" s="2">
        <f>VLOOKUP(3,$BX$2:$CC$5,5,FALSE)</f>
        <v>2</v>
      </c>
      <c r="BQ4" s="2">
        <f>VLOOKUP(3,$BX$2:$CC$5,6,FALSE)</f>
        <v>-1</v>
      </c>
      <c r="BS4" s="130">
        <f>IF(BJ5="",0,IF(BK5=$B$63,IF(BH5&lt;BJ5,3,IF(BH5=BJ5,1,0)),0))</f>
        <v>0</v>
      </c>
      <c r="BT4" s="130">
        <f>IF(BJ8="",0,IF(BK8=$B$63,IF(BH8&lt;BJ8,3,IF(BH8=BJ8,1,0)),0))</f>
        <v>0</v>
      </c>
      <c r="BU4" s="129"/>
      <c r="BV4" s="130">
        <f>IF(BH4="",0,IF(BK4=$B$63,IF(BH4&gt;BJ4,3,IF(BH4=BJ4,1,0)),0))</f>
        <v>3</v>
      </c>
      <c r="BW4" s="1"/>
      <c r="BX4" s="185">
        <f>RANK(CD4,CD2:CD5)+COUNTIF(CD2:CD4,CD4)-1</f>
        <v>3</v>
      </c>
      <c r="BY4" s="132" t="s">
        <v>192</v>
      </c>
      <c r="BZ4" s="1">
        <f>SUM(BS4:BV4)</f>
        <v>3</v>
      </c>
      <c r="CA4" s="1">
        <f>SUM(BS8:BV8)</f>
        <v>1</v>
      </c>
      <c r="CB4" s="1">
        <f>SUM(BU6:BU9)</f>
        <v>2</v>
      </c>
      <c r="CC4" s="1">
        <f>CA4-CB4</f>
        <v>-1</v>
      </c>
      <c r="CD4" s="33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299010003010099</v>
      </c>
      <c r="CE4" s="5"/>
      <c r="CF4" s="34">
        <f>IF($BZ4=$BZ2,$BS4-$BU2,0)</f>
        <v>0</v>
      </c>
      <c r="CG4" s="34">
        <f>IF($BZ4=$BZ3,$BT4-$BU3,0)</f>
        <v>0</v>
      </c>
      <c r="CH4" s="34"/>
      <c r="CI4" s="34">
        <f>IF($BZ4=$BZ5,$BV4-$BU5,0)</f>
        <v>3</v>
      </c>
      <c r="CJ4" s="34">
        <f>SUM(CF4:CI4)</f>
        <v>3</v>
      </c>
      <c r="CK4" s="5"/>
      <c r="CL4" s="34">
        <f>IF($BZ4=$BZ2,$BS8-$BU6,0)</f>
        <v>0</v>
      </c>
      <c r="CM4" s="34">
        <f>IF($BZ4=$BZ3,$BT8-$BU7,0)</f>
        <v>0</v>
      </c>
      <c r="CN4" s="34"/>
      <c r="CO4" s="34">
        <f>IF($BZ4=$BZ5,$BV8-$BU9,0)</f>
        <v>1</v>
      </c>
      <c r="CP4" s="34">
        <f>SUM(CL4:CO4)</f>
        <v>1</v>
      </c>
      <c r="CQ4" s="34">
        <f>IF($BZ4=$BZ2,$BS8,0)</f>
        <v>0</v>
      </c>
      <c r="CR4" s="34">
        <f>IF($BZ4=$BZ3,$BT8,0)</f>
        <v>0</v>
      </c>
      <c r="CS4" s="34"/>
      <c r="CT4" s="34">
        <f>IF($BZ4=$BZ5,$BV8,0)</f>
        <v>1</v>
      </c>
      <c r="CU4" s="34">
        <f>SUM(CQ4:CT4)</f>
        <v>1</v>
      </c>
      <c r="CV4" s="184">
        <f>IF(AND(COUNTIF(BK3:BK8,$B$63)=COUNTA(BH3:BH8),COUNTIF(BK3:BK8,$B$63)=COUNTA(BJ3:BJ8)),IF(CU4=CU2,BS8-BU6,IF(CU4=CU3,BT8-BU7,IF(CU4=CU5,BV8-BU9,2))),2)</f>
        <v>-1</v>
      </c>
    </row>
    <row r="5" spans="1:100" ht="12.75">
      <c r="A5" s="2">
        <f>A3+12</f>
        <v>13</v>
      </c>
      <c r="B5" s="7">
        <v>42536.875</v>
      </c>
      <c r="C5" s="4" t="s">
        <v>139</v>
      </c>
      <c r="D5" s="125" t="str">
        <f>Y2</f>
        <v>Frankreich</v>
      </c>
      <c r="E5" s="80" t="s">
        <v>21</v>
      </c>
      <c r="F5" s="125" t="str">
        <f>Y4</f>
        <v>Albanien</v>
      </c>
      <c r="G5" s="124"/>
      <c r="H5" s="137">
        <f ca="1" t="shared" si="0"/>
        <v>1</v>
      </c>
      <c r="I5" s="13" t="s">
        <v>22</v>
      </c>
      <c r="J5" s="136">
        <f ca="1" t="shared" si="1"/>
        <v>0</v>
      </c>
      <c r="K5" s="9" t="s">
        <v>23</v>
      </c>
      <c r="L5" s="1"/>
      <c r="M5" s="11" t="str">
        <f>VLOOKUP(4,$X$2:$AC$5,2,FALSE)</f>
        <v>Schweiz</v>
      </c>
      <c r="N5" s="2">
        <f>VLOOKUP(4,$X$2:$AC$5,3,FALSE)</f>
        <v>3</v>
      </c>
      <c r="O5" s="2">
        <f>VLOOKUP(4,$X$2:$AC$5,4,FALSE)</f>
        <v>1</v>
      </c>
      <c r="P5" s="2">
        <f>VLOOKUP(4,$X$2:$AC$5,5,FALSE)</f>
        <v>2</v>
      </c>
      <c r="Q5" s="2">
        <f>VLOOKUP(4,$X$2:$AC$5,6,FALSE)</f>
        <v>-1</v>
      </c>
      <c r="S5" s="130">
        <f>IF(H7="",0,IF(K7=$B$63,IF(H7&gt;J7,3,IF(H7=J7,1,0)),0))</f>
        <v>3</v>
      </c>
      <c r="T5" s="130">
        <f>IF(J6="",0,IF(K6=$B$63,IF(H6&lt;J6,3,IF(H6=J6,1,0)),0))</f>
        <v>0</v>
      </c>
      <c r="U5" s="130">
        <f>IF(J4="",0,IF(K4=$B$63,IF(H4&lt;J4,3,IF(H4=J4,1,0)),0))</f>
        <v>0</v>
      </c>
      <c r="V5" s="129"/>
      <c r="W5" s="131"/>
      <c r="X5" s="185">
        <f>RANK(AD5,AD2:AD5)+COUNTIF(AD2:AD5,AD5)-1</f>
        <v>4</v>
      </c>
      <c r="Y5" s="132" t="s">
        <v>182</v>
      </c>
      <c r="Z5" s="131">
        <f>SUM(S5:V5)</f>
        <v>3</v>
      </c>
      <c r="AA5" s="131">
        <f>SUM(S9:V9)</f>
        <v>1</v>
      </c>
      <c r="AB5" s="131">
        <f>SUM(V6:V9)</f>
        <v>2</v>
      </c>
      <c r="AC5" s="131">
        <f>AA5-AB5</f>
        <v>-1</v>
      </c>
      <c r="AD5" s="133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299009996989999</v>
      </c>
      <c r="AE5" s="134"/>
      <c r="AF5" s="135">
        <f>IF($Z5=$Z2,$S5-$V2,0)</f>
        <v>0</v>
      </c>
      <c r="AG5" s="135">
        <f>IF($Z5=$Z3,$T5-$V3,0)</f>
        <v>0</v>
      </c>
      <c r="AH5" s="135">
        <f>IF($Z5=$Z4,$U5-$V4,0)</f>
        <v>-3</v>
      </c>
      <c r="AI5" s="135"/>
      <c r="AJ5" s="135">
        <f>SUM(AF5:AI5)</f>
        <v>-3</v>
      </c>
      <c r="AK5" s="134"/>
      <c r="AL5" s="135">
        <f>IF($Z5=$Z2,$S9-$V6,0)</f>
        <v>0</v>
      </c>
      <c r="AM5" s="135">
        <f>IF($Z5=$Z3,$T9-$V7,0)</f>
        <v>0</v>
      </c>
      <c r="AN5" s="135">
        <f>IF($Z5=$Z4,$U9-$V8,0)</f>
        <v>-1</v>
      </c>
      <c r="AO5" s="135"/>
      <c r="AP5" s="135">
        <f>SUM(AL5:AO5)</f>
        <v>-1</v>
      </c>
      <c r="AQ5" s="135">
        <f>IF($Z5=$Z2,$S9,0)</f>
        <v>0</v>
      </c>
      <c r="AR5" s="135">
        <f>IF($Z5=$Z3,$T9,0)</f>
        <v>0</v>
      </c>
      <c r="AS5" s="135">
        <f>IF($Z5=$Z4,$U9,0)</f>
        <v>0</v>
      </c>
      <c r="AT5" s="135"/>
      <c r="AU5" s="135">
        <f>SUM(AQ5:AT5)</f>
        <v>0</v>
      </c>
      <c r="AV5" s="184">
        <f>IF(AND(COUNTIF(K3:K8,$B$63)=COUNTA(H3:H8),COUNTIF(K3:K8,$B$63)=COUNTA(J3:J8)),IF(AU5=AU2,S9-V6,IF(AU5=AU3,T9-V7,IF(AU5=AU4,U9-V8,1))),1)</f>
        <v>-1</v>
      </c>
      <c r="AW5" s="133"/>
      <c r="BA5" s="2">
        <f>BA3+12</f>
        <v>19</v>
      </c>
      <c r="BB5" s="7">
        <v>42538.875</v>
      </c>
      <c r="BC5" s="4" t="s">
        <v>145</v>
      </c>
      <c r="BD5" s="125" t="str">
        <f>BY2</f>
        <v>Spanien</v>
      </c>
      <c r="BE5" s="80" t="s">
        <v>21</v>
      </c>
      <c r="BF5" s="125" t="str">
        <f>BY4</f>
        <v>Türkei</v>
      </c>
      <c r="BG5" s="124"/>
      <c r="BH5" s="137">
        <f ca="1" t="shared" si="2"/>
        <v>1</v>
      </c>
      <c r="BI5" s="13" t="s">
        <v>22</v>
      </c>
      <c r="BJ5" s="136">
        <f ca="1" t="shared" si="3"/>
        <v>0</v>
      </c>
      <c r="BK5" s="9" t="s">
        <v>23</v>
      </c>
      <c r="BL5" s="1"/>
      <c r="BM5" s="11" t="str">
        <f>VLOOKUP(4,$BX$2:$CC$5,2,FALSE)</f>
        <v>Kroatien</v>
      </c>
      <c r="BN5" s="2">
        <f>VLOOKUP(4,$BX$2:$CC$5,3,FALSE)</f>
        <v>3</v>
      </c>
      <c r="BO5" s="2">
        <f>VLOOKUP(4,$BX$2:$CC$5,4,FALSE)</f>
        <v>1</v>
      </c>
      <c r="BP5" s="2">
        <f>VLOOKUP(4,$BX$2:$CC$5,5,FALSE)</f>
        <v>2</v>
      </c>
      <c r="BQ5" s="2">
        <f>VLOOKUP(4,$BX$2:$CC$5,6,FALSE)</f>
        <v>-1</v>
      </c>
      <c r="BS5" s="130">
        <f>IF(BH7="",0,IF(BK7=$B$63,IF(BH7&gt;BJ7,3,IF(BH7=BJ7,1,0)),0))</f>
        <v>3</v>
      </c>
      <c r="BT5" s="130">
        <f>IF(BJ6="",0,IF(BK6=$B$63,IF(BH6&lt;BJ6,3,IF(BH6=BJ6,1,0)),0))</f>
        <v>0</v>
      </c>
      <c r="BU5" s="130">
        <f>IF(BJ4="",0,IF(BK4=$B$63,IF(BH4&lt;BJ4,3,IF(BH4=BJ4,1,0)),0))</f>
        <v>0</v>
      </c>
      <c r="BV5" s="129"/>
      <c r="BW5" s="1"/>
      <c r="BX5" s="185">
        <f>RANK(CD5,CD2:CD5)+COUNTIF(CD2:CD5,CD5)-1</f>
        <v>4</v>
      </c>
      <c r="BY5" s="132" t="s">
        <v>184</v>
      </c>
      <c r="BZ5" s="1">
        <f>SUM(BS5:BV5)</f>
        <v>3</v>
      </c>
      <c r="CA5" s="1">
        <f>SUM(BS9:BV9)</f>
        <v>1</v>
      </c>
      <c r="CB5" s="1">
        <f>SUM(BV6:BV9)</f>
        <v>2</v>
      </c>
      <c r="CC5" s="1">
        <f>CA5-CB5</f>
        <v>-1</v>
      </c>
      <c r="CD5" s="33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299009996989999</v>
      </c>
      <c r="CE5" s="5"/>
      <c r="CF5" s="34">
        <f>IF($BZ5=$BZ2,$BS5-$BV2,0)</f>
        <v>0</v>
      </c>
      <c r="CG5" s="34">
        <f>IF($BZ5=$BZ3,$BT5-$BV3,0)</f>
        <v>0</v>
      </c>
      <c r="CH5" s="34">
        <f>IF($BZ5=$BZ4,$BU5-$BV4,0)</f>
        <v>-3</v>
      </c>
      <c r="CI5" s="34"/>
      <c r="CJ5" s="34">
        <f>SUM(CF5:CI5)</f>
        <v>-3</v>
      </c>
      <c r="CK5" s="5"/>
      <c r="CL5" s="34">
        <f>IF($BZ5=$BZ2,$BS9-$BV6,0)</f>
        <v>0</v>
      </c>
      <c r="CM5" s="34">
        <f>IF($BZ5=$BZ3,$BT9-$BV7,0)</f>
        <v>0</v>
      </c>
      <c r="CN5" s="34">
        <f>IF($BZ5=$BZ4,$BU9-$BV8,0)</f>
        <v>-1</v>
      </c>
      <c r="CO5" s="34"/>
      <c r="CP5" s="34">
        <f>SUM(CL5:CO5)</f>
        <v>-1</v>
      </c>
      <c r="CQ5" s="34">
        <f>IF($BZ5=$BZ2,$BS9,0)</f>
        <v>0</v>
      </c>
      <c r="CR5" s="34">
        <f>IF($BZ5=$BZ3,$BT9,0)</f>
        <v>0</v>
      </c>
      <c r="CS5" s="34">
        <f>IF($BZ5=$BZ4,$BU9,0)</f>
        <v>0</v>
      </c>
      <c r="CT5" s="34"/>
      <c r="CU5" s="34">
        <f>SUM(CQ5:CT5)</f>
        <v>0</v>
      </c>
      <c r="CV5" s="184">
        <f>IF(AND(COUNTIF(BK3:BK8,$B$63)=COUNTA(BH3:BH8),COUNTIF(BK3:BK8,$B$63)=COUNTA(BJ3:BJ8)),IF(CU5=CU2,BS9-BV6,IF(CU5=CU3,BT9-BV7,IF(CU5=CU4,BU9-BV8,1))),1)</f>
        <v>-1</v>
      </c>
    </row>
    <row r="6" spans="1:100" ht="12.75">
      <c r="A6" s="2">
        <f>A4+12</f>
        <v>14</v>
      </c>
      <c r="B6" s="183">
        <v>42536.75</v>
      </c>
      <c r="C6" s="4" t="s">
        <v>138</v>
      </c>
      <c r="D6" s="125" t="str">
        <f>Y3</f>
        <v>Rumänien</v>
      </c>
      <c r="E6" s="80" t="s">
        <v>21</v>
      </c>
      <c r="F6" s="125" t="str">
        <f>Y5</f>
        <v>Schweiz</v>
      </c>
      <c r="G6" s="124"/>
      <c r="H6" s="137">
        <f ca="1" t="shared" si="0"/>
        <v>1</v>
      </c>
      <c r="I6" s="13" t="s">
        <v>22</v>
      </c>
      <c r="J6" s="136">
        <f ca="1" t="shared" si="1"/>
        <v>0</v>
      </c>
      <c r="K6" s="9" t="s">
        <v>23</v>
      </c>
      <c r="L6" s="1"/>
      <c r="N6" s="1"/>
      <c r="O6" s="1"/>
      <c r="P6" s="1"/>
      <c r="S6" s="129"/>
      <c r="T6" s="130">
        <f>IF(K3=$B$63,H3,0)</f>
        <v>1</v>
      </c>
      <c r="U6" s="130">
        <f>IF(K5=$B$63,H5,0)</f>
        <v>1</v>
      </c>
      <c r="V6" s="130">
        <f>IF(K7=$B$63,J7,0)</f>
        <v>0</v>
      </c>
      <c r="W6" s="131"/>
      <c r="X6" s="131"/>
      <c r="Y6" s="131"/>
      <c r="Z6" s="131"/>
      <c r="AA6" s="131"/>
      <c r="AB6" s="131"/>
      <c r="AC6" s="131"/>
      <c r="AD6" s="138"/>
      <c r="AE6" s="139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V6" s="135"/>
      <c r="AW6" s="133"/>
      <c r="BA6" s="2">
        <f>BA4+12</f>
        <v>20</v>
      </c>
      <c r="BB6" s="7">
        <v>42538.75</v>
      </c>
      <c r="BC6" s="4" t="s">
        <v>143</v>
      </c>
      <c r="BD6" s="125" t="str">
        <f>BY3</f>
        <v>Tschechien</v>
      </c>
      <c r="BE6" s="80" t="s">
        <v>21</v>
      </c>
      <c r="BF6" s="125" t="str">
        <f>BY5</f>
        <v>Kroatien</v>
      </c>
      <c r="BG6" s="124"/>
      <c r="BH6" s="137">
        <f ca="1" t="shared" si="2"/>
        <v>1</v>
      </c>
      <c r="BI6" s="13" t="s">
        <v>22</v>
      </c>
      <c r="BJ6" s="136">
        <f ca="1" t="shared" si="3"/>
        <v>0</v>
      </c>
      <c r="BK6" s="9" t="s">
        <v>23</v>
      </c>
      <c r="BL6" s="1"/>
      <c r="BN6" s="1"/>
      <c r="BO6" s="1"/>
      <c r="BP6" s="1"/>
      <c r="BS6" s="129"/>
      <c r="BT6" s="130">
        <f>IF(BK3=$B$63,BH3,0)</f>
        <v>1</v>
      </c>
      <c r="BU6" s="130">
        <f>IF(BK5=$B$63,BH5,0)</f>
        <v>1</v>
      </c>
      <c r="BV6" s="130">
        <f>IF(BK7=$B$63,BJ7,0)</f>
        <v>0</v>
      </c>
      <c r="BW6" s="1"/>
      <c r="BX6" s="1"/>
      <c r="BY6" s="131"/>
      <c r="BZ6" s="1"/>
      <c r="CA6" s="1"/>
      <c r="CB6" s="1"/>
      <c r="CC6" s="1"/>
      <c r="CD6" s="6"/>
      <c r="CE6" s="9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V6" s="34"/>
    </row>
    <row r="7" spans="1:100" ht="12.75">
      <c r="A7" s="2">
        <f>A5+12</f>
        <v>25</v>
      </c>
      <c r="B7" s="7">
        <v>42540.875</v>
      </c>
      <c r="C7" s="4" t="s">
        <v>140</v>
      </c>
      <c r="D7" s="125" t="str">
        <f>Y5</f>
        <v>Schweiz</v>
      </c>
      <c r="E7" s="80" t="s">
        <v>21</v>
      </c>
      <c r="F7" s="125" t="str">
        <f>Y2</f>
        <v>Frankreich</v>
      </c>
      <c r="G7" s="123"/>
      <c r="H7" s="136">
        <f ca="1" t="shared" si="0"/>
        <v>1</v>
      </c>
      <c r="I7" s="15" t="s">
        <v>22</v>
      </c>
      <c r="J7" s="137">
        <f ca="1" t="shared" si="1"/>
        <v>0</v>
      </c>
      <c r="K7" s="9" t="s">
        <v>23</v>
      </c>
      <c r="M7" s="70" t="str">
        <f>IF(N2&gt;0,M2,"")</f>
        <v>Frankreich</v>
      </c>
      <c r="N7" s="2" t="s">
        <v>24</v>
      </c>
      <c r="P7" s="51"/>
      <c r="S7" s="130">
        <f>IF(K3=$B$63,J3,0)</f>
        <v>0</v>
      </c>
      <c r="T7" s="129"/>
      <c r="U7" s="130">
        <f>IF(K8=$B$63,H8,0)</f>
        <v>1</v>
      </c>
      <c r="V7" s="130">
        <f>IF(K6=$B$63,H6,0)</f>
        <v>1</v>
      </c>
      <c r="AD7" s="123" t="s">
        <v>119</v>
      </c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V7" s="141"/>
      <c r="AW7" s="133"/>
      <c r="BA7" s="2">
        <f>BA5+12</f>
        <v>31</v>
      </c>
      <c r="BB7" s="7">
        <v>42542.875</v>
      </c>
      <c r="BC7" s="4" t="s">
        <v>142</v>
      </c>
      <c r="BD7" s="125" t="str">
        <f>BY5</f>
        <v>Kroatien</v>
      </c>
      <c r="BE7" s="80" t="s">
        <v>21</v>
      </c>
      <c r="BF7" s="125" t="str">
        <f>BY2</f>
        <v>Spanien</v>
      </c>
      <c r="BG7" s="123"/>
      <c r="BH7" s="136">
        <f ca="1" t="shared" si="2"/>
        <v>1</v>
      </c>
      <c r="BI7" s="15" t="s">
        <v>22</v>
      </c>
      <c r="BJ7" s="137">
        <f ca="1" t="shared" si="3"/>
        <v>0</v>
      </c>
      <c r="BK7" s="9" t="s">
        <v>23</v>
      </c>
      <c r="BM7" s="157" t="str">
        <f>IF(BN2&gt;0,BM2,"")</f>
        <v>Spanien</v>
      </c>
      <c r="BN7" s="2" t="s">
        <v>33</v>
      </c>
      <c r="BP7" s="51"/>
      <c r="BS7" s="130">
        <f>IF(BK3=$B$63,BJ3,0)</f>
        <v>0</v>
      </c>
      <c r="BT7" s="129"/>
      <c r="BU7" s="130">
        <f>IF(BK8=$B$63,BH8,0)</f>
        <v>1</v>
      </c>
      <c r="BV7" s="130">
        <f>IF(BK6=$B$63,BH6,0)</f>
        <v>1</v>
      </c>
      <c r="CD7" s="2" t="s">
        <v>119</v>
      </c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V7" s="35"/>
    </row>
    <row r="8" spans="1:100" ht="12.75">
      <c r="A8" s="2">
        <f>A6+12</f>
        <v>26</v>
      </c>
      <c r="B8" s="7">
        <v>42540.875</v>
      </c>
      <c r="C8" s="4" t="s">
        <v>141</v>
      </c>
      <c r="D8" s="125" t="str">
        <f>Y3</f>
        <v>Rumänien</v>
      </c>
      <c r="E8" s="80" t="s">
        <v>21</v>
      </c>
      <c r="F8" s="125" t="str">
        <f>Y4</f>
        <v>Albanien</v>
      </c>
      <c r="G8" s="123"/>
      <c r="H8" s="137">
        <f ca="1" t="shared" si="0"/>
        <v>1</v>
      </c>
      <c r="I8" s="13" t="s">
        <v>22</v>
      </c>
      <c r="J8" s="137">
        <f ca="1" t="shared" si="1"/>
        <v>0</v>
      </c>
      <c r="K8" s="9" t="s">
        <v>23</v>
      </c>
      <c r="M8" s="70" t="str">
        <f>IF(N3&gt;0,M3,"")</f>
        <v>Rumänien</v>
      </c>
      <c r="N8" s="2" t="s">
        <v>25</v>
      </c>
      <c r="O8" s="52"/>
      <c r="P8" s="53"/>
      <c r="S8" s="130">
        <f>IF(K5=$B$63,J5,0)</f>
        <v>0</v>
      </c>
      <c r="T8" s="130">
        <f>IF(K8=$B$63,J8,0)</f>
        <v>0</v>
      </c>
      <c r="U8" s="129"/>
      <c r="V8" s="130">
        <f>IF(K4=$B$63,H4,0)</f>
        <v>1</v>
      </c>
      <c r="AD8" s="123" t="s">
        <v>120</v>
      </c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V8" s="141"/>
      <c r="AW8" s="133"/>
      <c r="BA8" s="2">
        <f>BA6+12</f>
        <v>32</v>
      </c>
      <c r="BB8" s="7">
        <v>42542.875</v>
      </c>
      <c r="BC8" s="4" t="s">
        <v>137</v>
      </c>
      <c r="BD8" s="125" t="str">
        <f>BY3</f>
        <v>Tschechien</v>
      </c>
      <c r="BE8" s="80" t="s">
        <v>21</v>
      </c>
      <c r="BF8" s="125" t="str">
        <f>BY4</f>
        <v>Türkei</v>
      </c>
      <c r="BG8" s="123"/>
      <c r="BH8" s="137">
        <f ca="1" t="shared" si="2"/>
        <v>1</v>
      </c>
      <c r="BI8" s="13" t="s">
        <v>22</v>
      </c>
      <c r="BJ8" s="137">
        <f ca="1" t="shared" si="3"/>
        <v>0</v>
      </c>
      <c r="BK8" s="9" t="s">
        <v>23</v>
      </c>
      <c r="BM8" s="157" t="str">
        <f>IF(BN3&gt;0,BM3,"")</f>
        <v>Tschechien</v>
      </c>
      <c r="BN8" s="2" t="s">
        <v>34</v>
      </c>
      <c r="BO8" s="52"/>
      <c r="BP8" s="53"/>
      <c r="BS8" s="130">
        <f>IF(BK5=$B$63,BJ5,0)</f>
        <v>0</v>
      </c>
      <c r="BT8" s="130">
        <f>IF(BK8=$B$63,BJ8,0)</f>
        <v>0</v>
      </c>
      <c r="BU8" s="129"/>
      <c r="BV8" s="130">
        <f>IF(BK4=$B$63,BH4,0)</f>
        <v>1</v>
      </c>
      <c r="CD8" s="2" t="s">
        <v>120</v>
      </c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V8" s="35"/>
    </row>
    <row r="9" spans="4:100" ht="12.75">
      <c r="D9" s="123"/>
      <c r="E9" s="123"/>
      <c r="F9" s="123"/>
      <c r="G9" s="123"/>
      <c r="M9" s="70" t="str">
        <f>IF(N4&gt;0,M4,"")</f>
        <v>Albanien</v>
      </c>
      <c r="N9" s="2" t="s">
        <v>116</v>
      </c>
      <c r="S9" s="130">
        <f>IF(K7=$B$63,H7,0)</f>
        <v>1</v>
      </c>
      <c r="T9" s="130">
        <f>IF(K6=$B$63,J6,0)</f>
        <v>0</v>
      </c>
      <c r="U9" s="130">
        <f>IF(K4=$B$63,J4,0)</f>
        <v>0</v>
      </c>
      <c r="V9" s="129"/>
      <c r="AD9" s="2" t="s">
        <v>200</v>
      </c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V9" s="141"/>
      <c r="AW9" s="133"/>
      <c r="BD9" s="123"/>
      <c r="BE9" s="123"/>
      <c r="BF9" s="123"/>
      <c r="BG9" s="123"/>
      <c r="BM9" s="157" t="str">
        <f>IF(BN4&gt;0,BM4,"")</f>
        <v>Türkei</v>
      </c>
      <c r="BN9" s="2" t="s">
        <v>117</v>
      </c>
      <c r="BS9" s="130">
        <f>IF(BK7=$B$63,BH7,0)</f>
        <v>1</v>
      </c>
      <c r="BT9" s="130">
        <f>IF(BK6=$B$63,BJ6,0)</f>
        <v>0</v>
      </c>
      <c r="BU9" s="130">
        <f>IF(BK4=$B$63,BJ4,0)</f>
        <v>0</v>
      </c>
      <c r="BV9" s="129"/>
      <c r="CD9" s="2" t="s">
        <v>200</v>
      </c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V9" s="35"/>
    </row>
    <row r="10" spans="4:100" ht="6" customHeight="1">
      <c r="D10" s="123"/>
      <c r="E10" s="126"/>
      <c r="F10" s="128"/>
      <c r="G10" s="128"/>
      <c r="H10" s="123"/>
      <c r="I10" s="123"/>
      <c r="J10" s="123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V10" s="141"/>
      <c r="AW10" s="133"/>
      <c r="BD10" s="123"/>
      <c r="BE10" s="126"/>
      <c r="BF10" s="128"/>
      <c r="BG10" s="128"/>
      <c r="BH10" s="123"/>
      <c r="BI10" s="123"/>
      <c r="BJ10" s="123"/>
      <c r="BS10" s="123"/>
      <c r="BT10" s="123"/>
      <c r="BU10" s="123"/>
      <c r="BV10" s="123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V10" s="35"/>
    </row>
    <row r="11" spans="2:100" s="12" customFormat="1" ht="12.75">
      <c r="B11" s="62" t="s">
        <v>0</v>
      </c>
      <c r="C11" s="63" t="s">
        <v>26</v>
      </c>
      <c r="D11" s="124" t="s">
        <v>2</v>
      </c>
      <c r="E11" s="142"/>
      <c r="F11" s="124"/>
      <c r="G11" s="124"/>
      <c r="H11" s="28"/>
      <c r="I11" s="27"/>
      <c r="J11" s="28"/>
      <c r="K11" s="29"/>
      <c r="L11" s="24"/>
      <c r="M11" s="69" t="s">
        <v>3</v>
      </c>
      <c r="N11" s="24" t="s">
        <v>4</v>
      </c>
      <c r="O11" s="24" t="s">
        <v>5</v>
      </c>
      <c r="P11" s="24" t="s">
        <v>6</v>
      </c>
      <c r="Q11" s="24" t="s">
        <v>7</v>
      </c>
      <c r="R11" s="24"/>
      <c r="S11" s="123"/>
      <c r="T11" s="123"/>
      <c r="U11" s="123"/>
      <c r="V11" s="123"/>
      <c r="W11" s="124"/>
      <c r="X11" s="124" t="s">
        <v>8</v>
      </c>
      <c r="Y11" s="125" t="s">
        <v>9</v>
      </c>
      <c r="Z11" s="124" t="s">
        <v>4</v>
      </c>
      <c r="AA11" s="124" t="s">
        <v>5</v>
      </c>
      <c r="AB11" s="124" t="s">
        <v>6</v>
      </c>
      <c r="AC11" s="124" t="s">
        <v>7</v>
      </c>
      <c r="AD11" s="124"/>
      <c r="AE11" s="27" t="s">
        <v>10</v>
      </c>
      <c r="AF11" s="80" t="s">
        <v>11</v>
      </c>
      <c r="AG11" s="80"/>
      <c r="AH11" s="80"/>
      <c r="AI11" s="80"/>
      <c r="AJ11" s="80" t="s">
        <v>12</v>
      </c>
      <c r="AK11" s="125" t="s">
        <v>13</v>
      </c>
      <c r="AL11" s="80" t="s">
        <v>14</v>
      </c>
      <c r="AM11" s="80"/>
      <c r="AN11" s="80"/>
      <c r="AO11" s="80"/>
      <c r="AP11" s="80" t="s">
        <v>15</v>
      </c>
      <c r="AQ11" s="80" t="s">
        <v>16</v>
      </c>
      <c r="AR11" s="80"/>
      <c r="AS11" s="80"/>
      <c r="AT11" s="80"/>
      <c r="AU11" s="126" t="s">
        <v>17</v>
      </c>
      <c r="AV11" s="125" t="s">
        <v>18</v>
      </c>
      <c r="AW11" s="127"/>
      <c r="AX11" s="128"/>
      <c r="AY11" s="128"/>
      <c r="AZ11" s="128"/>
      <c r="BB11" s="25" t="s">
        <v>0</v>
      </c>
      <c r="BC11" s="74" t="s">
        <v>35</v>
      </c>
      <c r="BD11" s="124" t="s">
        <v>2</v>
      </c>
      <c r="BE11" s="142"/>
      <c r="BF11" s="124"/>
      <c r="BG11" s="124"/>
      <c r="BH11" s="28"/>
      <c r="BI11" s="27"/>
      <c r="BJ11" s="28"/>
      <c r="BK11" s="29"/>
      <c r="BL11" s="24"/>
      <c r="BM11" s="69" t="s">
        <v>3</v>
      </c>
      <c r="BN11" s="24" t="s">
        <v>4</v>
      </c>
      <c r="BO11" s="24" t="s">
        <v>5</v>
      </c>
      <c r="BP11" s="24" t="s">
        <v>6</v>
      </c>
      <c r="BQ11" s="24" t="s">
        <v>7</v>
      </c>
      <c r="BR11" s="24"/>
      <c r="BS11" s="123"/>
      <c r="BT11" s="123"/>
      <c r="BU11" s="123"/>
      <c r="BV11" s="123"/>
      <c r="BW11" s="24"/>
      <c r="BX11" s="24" t="s">
        <v>8</v>
      </c>
      <c r="BY11" s="125" t="s">
        <v>9</v>
      </c>
      <c r="BZ11" s="24" t="s">
        <v>4</v>
      </c>
      <c r="CA11" s="24" t="s">
        <v>5</v>
      </c>
      <c r="CB11" s="24" t="s">
        <v>6</v>
      </c>
      <c r="CC11" s="24" t="s">
        <v>7</v>
      </c>
      <c r="CD11" s="24"/>
      <c r="CE11" s="29" t="s">
        <v>10</v>
      </c>
      <c r="CF11" s="22" t="s">
        <v>11</v>
      </c>
      <c r="CG11" s="22"/>
      <c r="CH11" s="22"/>
      <c r="CI11" s="22"/>
      <c r="CJ11" s="22" t="s">
        <v>12</v>
      </c>
      <c r="CK11" s="30" t="s">
        <v>13</v>
      </c>
      <c r="CL11" s="22" t="s">
        <v>14</v>
      </c>
      <c r="CM11" s="22"/>
      <c r="CN11" s="22"/>
      <c r="CO11" s="22"/>
      <c r="CP11" s="22" t="s">
        <v>15</v>
      </c>
      <c r="CQ11" s="22" t="s">
        <v>16</v>
      </c>
      <c r="CR11" s="22"/>
      <c r="CS11" s="22"/>
      <c r="CT11" s="22"/>
      <c r="CU11" s="23" t="s">
        <v>17</v>
      </c>
      <c r="CV11" s="30" t="s">
        <v>18</v>
      </c>
    </row>
    <row r="12" spans="2:100" ht="12.75">
      <c r="B12" s="3" t="s">
        <v>19</v>
      </c>
      <c r="C12" s="3" t="s">
        <v>20</v>
      </c>
      <c r="D12" s="123"/>
      <c r="E12" s="123"/>
      <c r="F12" s="123"/>
      <c r="G12" s="123"/>
      <c r="L12" s="1"/>
      <c r="M12" s="11" t="str">
        <f>VLOOKUP(1,$X$12:$AC$15,2,FALSE)</f>
        <v>England</v>
      </c>
      <c r="N12" s="2">
        <f>VLOOKUP(1,$X$12:$AC$15,3,FALSE)</f>
        <v>6</v>
      </c>
      <c r="O12" s="2">
        <f>VLOOKUP(1,$X$12:$AC$15,4,FALSE)</f>
        <v>2</v>
      </c>
      <c r="P12" s="2">
        <f>VLOOKUP(1,$X$12:$AC$15,5,FALSE)</f>
        <v>1</v>
      </c>
      <c r="Q12" s="2">
        <f>VLOOKUP(1,$X$12:$AC$15,6,FALSE)</f>
        <v>1</v>
      </c>
      <c r="S12" s="129"/>
      <c r="T12" s="130">
        <f>IF(H13="",0,IF(K13=$B$63,IF(H13&gt;J13,3,IF(H13=J13,1,0)),0))</f>
        <v>3</v>
      </c>
      <c r="U12" s="130">
        <f>IF(H15="",0,IF(K15=$B$63,IF(H15&gt;J15,3,IF(H15=J15,1,0)),0))</f>
        <v>3</v>
      </c>
      <c r="V12" s="130">
        <f>IF(J17="",0,IF(K17=$B$63,IF(H17&lt;J17,3,IF(H17=J17,1,0)),0))</f>
        <v>0</v>
      </c>
      <c r="W12" s="131"/>
      <c r="X12" s="185">
        <f>RANK(AD12,AD12:AD15)+COUNTIF(AD12:AD12,AD12)-1</f>
        <v>1</v>
      </c>
      <c r="Y12" s="132" t="s">
        <v>177</v>
      </c>
      <c r="Z12" s="131">
        <f>SUM(S12:V12)</f>
        <v>6</v>
      </c>
      <c r="AA12" s="131">
        <f>SUM(S16:V16)</f>
        <v>2</v>
      </c>
      <c r="AB12" s="131">
        <f>SUM(S16:S19)</f>
        <v>1</v>
      </c>
      <c r="AC12" s="131">
        <f>AA12-AB12</f>
        <v>1</v>
      </c>
      <c r="AD12" s="133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601020003010101</v>
      </c>
      <c r="AE12" s="134"/>
      <c r="AF12" s="135"/>
      <c r="AG12" s="135">
        <f>IF($Z12=$Z13,$T12-$S13,0)</f>
        <v>3</v>
      </c>
      <c r="AH12" s="135">
        <f>IF($Z12=$Z14,$U12-$S14,0)</f>
        <v>0</v>
      </c>
      <c r="AI12" s="135">
        <f>IF($Z12=$Z15,$V12-$S15,0)</f>
        <v>0</v>
      </c>
      <c r="AJ12" s="135">
        <f>SUM(AF12:AI12)</f>
        <v>3</v>
      </c>
      <c r="AK12" s="134"/>
      <c r="AL12" s="135"/>
      <c r="AM12" s="135">
        <f>IF($Z12=$Z13,$T16-$S17,0)</f>
        <v>1</v>
      </c>
      <c r="AN12" s="135">
        <f>IF($Z12=$Z14,$U16-$S18,0)</f>
        <v>0</v>
      </c>
      <c r="AO12" s="135">
        <f>IF($Z12=$Z15,$V16-$S19,0)</f>
        <v>0</v>
      </c>
      <c r="AP12" s="135">
        <f>SUM(AL12:AO12)</f>
        <v>1</v>
      </c>
      <c r="AQ12" s="135"/>
      <c r="AR12" s="135">
        <f>IF($Z12=$Z13,$T16,0)</f>
        <v>1</v>
      </c>
      <c r="AS12" s="135">
        <f>IF($Z12=$Z14,$U16,0)</f>
        <v>0</v>
      </c>
      <c r="AT12" s="135">
        <f>IF($Z12=$Z15,$V16,0)</f>
        <v>0</v>
      </c>
      <c r="AU12" s="135">
        <f>SUM(AQ12:AT12)</f>
        <v>1</v>
      </c>
      <c r="AV12" s="184">
        <f>IF(AND(COUNTIF(K13:K18,$B$63)=COUNTA(H13:H18),COUNTIF(K13:K18,$B$63)=COUNTA(J13:J18)),IF(AU12=AU13,T16-S17,IF(AU12=AU14,U16-S18,IF(AU12=AU15,V16-S19,4))),4)</f>
        <v>1</v>
      </c>
      <c r="AW12" s="133"/>
      <c r="BB12" s="3" t="s">
        <v>19</v>
      </c>
      <c r="BC12" s="3" t="s">
        <v>20</v>
      </c>
      <c r="BD12" s="123"/>
      <c r="BE12" s="123"/>
      <c r="BF12" s="123"/>
      <c r="BG12" s="123"/>
      <c r="BL12" s="1"/>
      <c r="BM12" s="11" t="str">
        <f>VLOOKUP(1,$BX$12:$CC$15,2,FALSE)</f>
        <v>Belgien</v>
      </c>
      <c r="BN12" s="2">
        <f>VLOOKUP(1,$BX$12:$CC$15,3,FALSE)</f>
        <v>6</v>
      </c>
      <c r="BO12" s="2">
        <f>VLOOKUP(1,$BX$12:$CC$15,4,FALSE)</f>
        <v>2</v>
      </c>
      <c r="BP12" s="2">
        <f>VLOOKUP(1,$BX$12:$CC$15,5,FALSE)</f>
        <v>1</v>
      </c>
      <c r="BQ12" s="2">
        <f>VLOOKUP(1,$BX$12:$CC$15,6,FALSE)</f>
        <v>1</v>
      </c>
      <c r="BS12" s="129"/>
      <c r="BT12" s="130">
        <f>IF(BH13="",0,IF(BK13=$B$63,IF(BH13&gt;BJ13,3,IF(BH13=BJ13,1,0)),0))</f>
        <v>3</v>
      </c>
      <c r="BU12" s="130">
        <f>IF(BH15="",0,IF(BK15=$B$63,IF(BH15&gt;BJ15,3,IF(BH15=BJ15,1,0)),0))</f>
        <v>3</v>
      </c>
      <c r="BV12" s="130">
        <f>IF(BJ17="",0,IF(BK17=$B$63,IF(BH17&lt;BJ17,3,IF(BH17=BJ17,1,0)),0))</f>
        <v>0</v>
      </c>
      <c r="BW12" s="1"/>
      <c r="BX12" s="185">
        <f>RANK(CD12,CD12:CD15)+COUNTIF(CD12:CD12,CD12)-1</f>
        <v>1</v>
      </c>
      <c r="BY12" s="132" t="s">
        <v>179</v>
      </c>
      <c r="BZ12" s="1">
        <f>SUM(BS12:BV12)</f>
        <v>6</v>
      </c>
      <c r="CA12" s="1">
        <f>SUM(BS16:BV16)</f>
        <v>2</v>
      </c>
      <c r="CB12" s="1">
        <f>SUM(BS16:BS19)</f>
        <v>1</v>
      </c>
      <c r="CC12" s="1">
        <f>CA12-CB12</f>
        <v>1</v>
      </c>
      <c r="CD12" s="33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601020003010101</v>
      </c>
      <c r="CE12" s="5"/>
      <c r="CF12" s="34"/>
      <c r="CG12" s="34">
        <f>IF($BZ12=$BZ13,$BT12-$BS13,0)</f>
        <v>3</v>
      </c>
      <c r="CH12" s="34">
        <f>IF($BZ12=$BZ14,$BU12-$BS14,0)</f>
        <v>0</v>
      </c>
      <c r="CI12" s="34">
        <f>IF($BZ12=$BZ15,$BV12-$BS15,0)</f>
        <v>0</v>
      </c>
      <c r="CJ12" s="34">
        <f>SUM(CF12:CI12)</f>
        <v>3</v>
      </c>
      <c r="CK12" s="5"/>
      <c r="CL12" s="34"/>
      <c r="CM12" s="34">
        <f>IF($BZ12=$BZ13,$BT16-$BS17,0)</f>
        <v>1</v>
      </c>
      <c r="CN12" s="34">
        <f>IF($BZ12=$BZ14,$BU16-$BS18,0)</f>
        <v>0</v>
      </c>
      <c r="CO12" s="34">
        <f>IF($BZ12=$BZ15,$BV16-$BS19,0)</f>
        <v>0</v>
      </c>
      <c r="CP12" s="34">
        <f>SUM(CL12:CO12)</f>
        <v>1</v>
      </c>
      <c r="CQ12" s="34"/>
      <c r="CR12" s="34">
        <f>IF($BZ12=$BZ13,$BT16,0)</f>
        <v>1</v>
      </c>
      <c r="CS12" s="34">
        <f>IF($BZ12=$BZ14,$BU16,0)</f>
        <v>0</v>
      </c>
      <c r="CT12" s="34">
        <f>IF($BZ12=$BZ15,$BV16,0)</f>
        <v>0</v>
      </c>
      <c r="CU12" s="34">
        <f>SUM(CQ12:CT12)</f>
        <v>1</v>
      </c>
      <c r="CV12" s="184">
        <f>IF(AND(COUNTIF(BK13:BK18,$B$63)=COUNTA(BH13:BH18),COUNTIF(BK13:BK18,$B$63)=COUNTA(BJ13:BJ18)),IF(CU12=CU13,BT16-BS17,IF(CU12=CU14,BU16-BS18,IF(CU12=CU15,BV16-BS19,4))),4)</f>
        <v>1</v>
      </c>
    </row>
    <row r="13" spans="1:100" ht="12.75">
      <c r="A13" s="2">
        <v>3</v>
      </c>
      <c r="B13" s="7">
        <v>42532.875</v>
      </c>
      <c r="C13" s="4" t="s">
        <v>139</v>
      </c>
      <c r="D13" s="125" t="str">
        <f>Y12</f>
        <v>England</v>
      </c>
      <c r="E13" s="80" t="s">
        <v>21</v>
      </c>
      <c r="F13" s="125" t="str">
        <f>Y13</f>
        <v>Russland</v>
      </c>
      <c r="G13" s="124"/>
      <c r="H13" s="136">
        <f aca="true" ca="1" t="shared" si="4" ref="H13:H18">IF($B$64="",1,INT(RAND()*5)+INT(RAND()*3)*INT(RAND()*2))</f>
        <v>1</v>
      </c>
      <c r="I13" s="13" t="s">
        <v>22</v>
      </c>
      <c r="J13" s="136">
        <f aca="true" ca="1" t="shared" si="5" ref="J13:J18">IF($B$64="",0,INT(RAND()*5)+INT(RAND()*3)*INT(RAND()*2))</f>
        <v>0</v>
      </c>
      <c r="K13" s="9" t="s">
        <v>23</v>
      </c>
      <c r="L13" s="1"/>
      <c r="M13" s="11" t="str">
        <f>VLOOKUP(2,$X$12:$AC$15,2,FALSE)</f>
        <v>Russland</v>
      </c>
      <c r="N13" s="2">
        <f>VLOOKUP(2,$X$12:$AC$15,3,FALSE)</f>
        <v>6</v>
      </c>
      <c r="O13" s="2">
        <f>VLOOKUP(2,$X$12:$AC$15,4,FALSE)</f>
        <v>2</v>
      </c>
      <c r="P13" s="2">
        <f>VLOOKUP(2,$X$12:$AC$15,5,FALSE)</f>
        <v>1</v>
      </c>
      <c r="Q13" s="2">
        <f>VLOOKUP(2,$X$12:$AC$15,6,FALSE)</f>
        <v>1</v>
      </c>
      <c r="S13" s="130">
        <f>IF(J13="",0,IF(K13=$B$63,IF(H13&lt;J13,3,IF(H13=J13,1,0)),0))</f>
        <v>0</v>
      </c>
      <c r="T13" s="129"/>
      <c r="U13" s="130">
        <f>IF(H18="",0,IF(K18=$B$63,IF(H18&gt;J18,3,IF(H18=J18,1,0)),0))</f>
        <v>3</v>
      </c>
      <c r="V13" s="130">
        <f>IF(H16="",0,IF(K16=$B$63,IF(H16&gt;J16,3,IF(H16=J16,1,0)),0))</f>
        <v>3</v>
      </c>
      <c r="W13" s="131"/>
      <c r="X13" s="185">
        <f>RANK(AD13,AD12:AD15)+COUNTIF(AD12:AD13,AD13)-1</f>
        <v>2</v>
      </c>
      <c r="Y13" s="132" t="s">
        <v>181</v>
      </c>
      <c r="Z13" s="131">
        <f>SUM(S13:V13)</f>
        <v>6</v>
      </c>
      <c r="AA13" s="131">
        <f>SUM(S17:V17)</f>
        <v>2</v>
      </c>
      <c r="AB13" s="131">
        <f>SUM(T16:T19)</f>
        <v>1</v>
      </c>
      <c r="AC13" s="131">
        <f>AA13-AB13</f>
        <v>1</v>
      </c>
      <c r="AD13" s="133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601019996990001</v>
      </c>
      <c r="AE13" s="134"/>
      <c r="AF13" s="135">
        <f>IF($Z13=$Z12,$S13-$T12,0)</f>
        <v>-3</v>
      </c>
      <c r="AG13" s="135"/>
      <c r="AH13" s="135">
        <f>IF($Z13=$Z14,$U13-$T14,0)</f>
        <v>0</v>
      </c>
      <c r="AI13" s="135">
        <f>IF($Z13=$Z15,$V13-$T15,0)</f>
        <v>0</v>
      </c>
      <c r="AJ13" s="135">
        <f>SUM(AF13:AI13)</f>
        <v>-3</v>
      </c>
      <c r="AK13" s="134"/>
      <c r="AL13" s="135">
        <f>IF($Z13=$Z12,$S17-$T16,0)</f>
        <v>-1</v>
      </c>
      <c r="AM13" s="135"/>
      <c r="AN13" s="135">
        <f>IF($Z13=$Z14,$U17-$T18,0)</f>
        <v>0</v>
      </c>
      <c r="AO13" s="135">
        <f>IF($Z13=$Z15,$V17-$T19,0)</f>
        <v>0</v>
      </c>
      <c r="AP13" s="135">
        <f>SUM(AL13:AO13)</f>
        <v>-1</v>
      </c>
      <c r="AQ13" s="135">
        <f>IF($Z13=$Z12,$S17,0)</f>
        <v>0</v>
      </c>
      <c r="AR13" s="135"/>
      <c r="AS13" s="135">
        <f>IF($Z13=$Z14,$U17,0)</f>
        <v>0</v>
      </c>
      <c r="AT13" s="135">
        <f>IF($Z13=$Z15,$V17,0)</f>
        <v>0</v>
      </c>
      <c r="AU13" s="135">
        <f>SUM(AQ13:AT13)</f>
        <v>0</v>
      </c>
      <c r="AV13" s="184">
        <f>IF(AND(COUNTIF(K13:K18,$B$63)=COUNTA(H13:H18),COUNTIF(K13:K18,$B$63)=COUNTA(J13:J18)),IF(AU13=AU12,S17-T16,IF(AU13=AU14,U17-T18,IF(AU13=AU15,V17-T19,3))),3)</f>
        <v>1</v>
      </c>
      <c r="AW13" s="133"/>
      <c r="BA13" s="2">
        <v>9</v>
      </c>
      <c r="BB13" s="7">
        <v>42534.875</v>
      </c>
      <c r="BC13" s="4" t="s">
        <v>141</v>
      </c>
      <c r="BD13" s="125" t="str">
        <f>BY12</f>
        <v>Belgien</v>
      </c>
      <c r="BE13" s="80" t="s">
        <v>21</v>
      </c>
      <c r="BF13" s="125" t="str">
        <f>BY13</f>
        <v>Italien</v>
      </c>
      <c r="BG13" s="124"/>
      <c r="BH13" s="136">
        <f aca="true" ca="1" t="shared" si="6" ref="BH13:BH18">IF($B$64="",1,INT(RAND()*5)+INT(RAND()*3)*INT(RAND()*2))</f>
        <v>1</v>
      </c>
      <c r="BI13" s="13" t="s">
        <v>22</v>
      </c>
      <c r="BJ13" s="136">
        <f aca="true" ca="1" t="shared" si="7" ref="BJ13:BJ18">IF($B$64="",0,INT(RAND()*5)+INT(RAND()*3)*INT(RAND()*2))</f>
        <v>0</v>
      </c>
      <c r="BK13" s="9" t="s">
        <v>23</v>
      </c>
      <c r="BL13" s="1"/>
      <c r="BM13" s="11" t="str">
        <f>VLOOKUP(2,$BX$12:$CC$15,2,FALSE)</f>
        <v>Italien</v>
      </c>
      <c r="BN13" s="2">
        <f>VLOOKUP(2,$BX$12:$CC$15,3,FALSE)</f>
        <v>6</v>
      </c>
      <c r="BO13" s="2">
        <f>VLOOKUP(2,$BX$12:$CC$15,4,FALSE)</f>
        <v>2</v>
      </c>
      <c r="BP13" s="2">
        <f>VLOOKUP(2,$BX$12:$CC$15,5,FALSE)</f>
        <v>1</v>
      </c>
      <c r="BQ13" s="2">
        <f>VLOOKUP(2,$BX$12:$CC$15,6,FALSE)</f>
        <v>1</v>
      </c>
      <c r="BS13" s="130">
        <f>IF(BJ13="",0,IF(BK13=$B$63,IF(BH13&lt;BJ13,3,IF(BH13=BJ13,1,0)),0))</f>
        <v>0</v>
      </c>
      <c r="BT13" s="129"/>
      <c r="BU13" s="130">
        <f>IF(BH18="",0,IF(BK18=$B$63,IF(BH18&gt;BJ18,3,IF(BH18=BJ18,1,0)),0))</f>
        <v>3</v>
      </c>
      <c r="BV13" s="130">
        <f>IF(BH16="",0,IF(BK16=$B$63,IF(BH16&gt;BJ16,3,IF(BH16=BJ16,1,0)),0))</f>
        <v>3</v>
      </c>
      <c r="BW13" s="1"/>
      <c r="BX13" s="185">
        <f>RANK(CD13,CD12:CD15)+COUNTIF(CD12:CD13,CD13)-1</f>
        <v>2</v>
      </c>
      <c r="BY13" s="132" t="s">
        <v>180</v>
      </c>
      <c r="BZ13" s="1">
        <f>SUM(BS13:BV13)</f>
        <v>6</v>
      </c>
      <c r="CA13" s="1">
        <f>SUM(BS17:BV17)</f>
        <v>2</v>
      </c>
      <c r="CB13" s="1">
        <f>SUM(BT16:BT19)</f>
        <v>1</v>
      </c>
      <c r="CC13" s="1">
        <f>CA13-CB13</f>
        <v>1</v>
      </c>
      <c r="CD13" s="33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601019996990001</v>
      </c>
      <c r="CE13" s="5"/>
      <c r="CF13" s="34">
        <f>IF($BZ13=$BZ12,$BS13-$BT12,0)</f>
        <v>-3</v>
      </c>
      <c r="CG13" s="34"/>
      <c r="CH13" s="34">
        <f>IF($BZ13=$BZ14,$BU13-$BT14,0)</f>
        <v>0</v>
      </c>
      <c r="CI13" s="34">
        <f>IF($BZ13=$BZ15,$BV13-$BT15,0)</f>
        <v>0</v>
      </c>
      <c r="CJ13" s="34">
        <f>SUM(CF13:CI13)</f>
        <v>-3</v>
      </c>
      <c r="CK13" s="5"/>
      <c r="CL13" s="34">
        <f>IF($BZ13=$BZ12,$BS17-$BT16,0)</f>
        <v>-1</v>
      </c>
      <c r="CM13" s="34"/>
      <c r="CN13" s="34">
        <f>IF($BZ13=$BZ14,$BU17-$BT18,0)</f>
        <v>0</v>
      </c>
      <c r="CO13" s="34">
        <f>IF($BZ13=$BZ15,$BV17-$BT19,0)</f>
        <v>0</v>
      </c>
      <c r="CP13" s="34">
        <f>SUM(CL13:CO13)</f>
        <v>-1</v>
      </c>
      <c r="CQ13" s="34">
        <f>IF($BZ13=$BZ12,$BS17,0)</f>
        <v>0</v>
      </c>
      <c r="CR13" s="34"/>
      <c r="CS13" s="34">
        <f>IF($BZ13=$BZ14,$BU17,0)</f>
        <v>0</v>
      </c>
      <c r="CT13" s="34">
        <f>IF($BZ13=$BZ15,$BV17,0)</f>
        <v>0</v>
      </c>
      <c r="CU13" s="34">
        <f>SUM(CQ13:CT13)</f>
        <v>0</v>
      </c>
      <c r="CV13" s="184">
        <f>IF(AND(COUNTIF(BK13:BK18,$B$63)=COUNTA(BH13:BH18),COUNTIF(BK13:BK18,$B$63)=COUNTA(BJ13:BJ18)),IF(CU13=CU12,BS17-BT16,IF(CU13=CU14,BU17-BT18,IF(CU13=CU15,BV17-BT19,3))),3)</f>
        <v>1</v>
      </c>
    </row>
    <row r="14" spans="1:100" ht="12.75">
      <c r="A14" s="2">
        <v>4</v>
      </c>
      <c r="B14" s="7">
        <v>42532.75</v>
      </c>
      <c r="C14" s="4" t="s">
        <v>142</v>
      </c>
      <c r="D14" s="125" t="str">
        <f>Y14</f>
        <v>Wales</v>
      </c>
      <c r="E14" s="80" t="s">
        <v>21</v>
      </c>
      <c r="F14" s="125" t="str">
        <f>Y15</f>
        <v>Slowakei</v>
      </c>
      <c r="G14" s="124"/>
      <c r="H14" s="137">
        <f ca="1" t="shared" si="4"/>
        <v>1</v>
      </c>
      <c r="I14" s="13" t="s">
        <v>22</v>
      </c>
      <c r="J14" s="136">
        <f ca="1" t="shared" si="5"/>
        <v>0</v>
      </c>
      <c r="K14" s="9" t="s">
        <v>23</v>
      </c>
      <c r="L14" s="1"/>
      <c r="M14" s="11" t="str">
        <f>VLOOKUP(3,$X$12:$AC$15,2,FALSE)</f>
        <v>Wales</v>
      </c>
      <c r="N14" s="2">
        <f>VLOOKUP(3,$X$12:$AC$15,3,FALSE)</f>
        <v>3</v>
      </c>
      <c r="O14" s="2">
        <f>VLOOKUP(3,$X$12:$AC$15,4,FALSE)</f>
        <v>1</v>
      </c>
      <c r="P14" s="2">
        <f>VLOOKUP(3,$X$12:$AC$15,5,FALSE)</f>
        <v>2</v>
      </c>
      <c r="Q14" s="2">
        <f>VLOOKUP(3,$X$12:$AC$15,6,FALSE)</f>
        <v>-1</v>
      </c>
      <c r="S14" s="130">
        <f>IF(J15="",0,IF(K15=$B$63,IF(H15&lt;J15,3,IF(H15=J15,1,0)),0))</f>
        <v>0</v>
      </c>
      <c r="T14" s="130">
        <f>IF(J18="",0,IF(K18=$B$63,IF(H18&lt;J18,3,IF(H18=J18,1,0)),0))</f>
        <v>0</v>
      </c>
      <c r="U14" s="129"/>
      <c r="V14" s="130">
        <f>IF(H14="",0,IF(K14=$B$63,IF(H14&gt;J14,3,IF(H14=J14,1,0)),0))</f>
        <v>3</v>
      </c>
      <c r="W14" s="131"/>
      <c r="X14" s="185">
        <f>RANK(AD14,AD12:AD15)+COUNTIF(AD12:AD14,AD14)-1</f>
        <v>3</v>
      </c>
      <c r="Y14" s="132" t="s">
        <v>186</v>
      </c>
      <c r="Z14" s="131">
        <f>SUM(S14:V14)</f>
        <v>3</v>
      </c>
      <c r="AA14" s="131">
        <f>SUM(S18:V18)</f>
        <v>1</v>
      </c>
      <c r="AB14" s="131">
        <f>SUM(U16:U19)</f>
        <v>2</v>
      </c>
      <c r="AC14" s="131">
        <f>AA14-AB14</f>
        <v>-1</v>
      </c>
      <c r="AD14" s="133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299010003010099</v>
      </c>
      <c r="AE14" s="134"/>
      <c r="AF14" s="135">
        <f>IF($Z14=$Z12,$S14-$U12,0)</f>
        <v>0</v>
      </c>
      <c r="AG14" s="135">
        <f>IF($Z14=$Z13,$T14-$U13,0)</f>
        <v>0</v>
      </c>
      <c r="AH14" s="135"/>
      <c r="AI14" s="135">
        <f>IF($Z14=$Z15,$V14-$U15,0)</f>
        <v>3</v>
      </c>
      <c r="AJ14" s="135">
        <f>SUM(AF14:AI14)</f>
        <v>3</v>
      </c>
      <c r="AK14" s="134"/>
      <c r="AL14" s="135">
        <f>IF($Z14=$Z12,$S18-$U16,0)</f>
        <v>0</v>
      </c>
      <c r="AM14" s="135">
        <f>IF($Z14=$Z13,$T18-$U17,0)</f>
        <v>0</v>
      </c>
      <c r="AN14" s="135"/>
      <c r="AO14" s="135">
        <f>IF($Z14=$Z15,$V18-$U19,0)</f>
        <v>1</v>
      </c>
      <c r="AP14" s="135">
        <f>SUM(AL14:AO14)</f>
        <v>1</v>
      </c>
      <c r="AQ14" s="135">
        <f>IF($Z14=$Z12,$S18,0)</f>
        <v>0</v>
      </c>
      <c r="AR14" s="135">
        <f>IF($Z14=$Z13,$T18,0)</f>
        <v>0</v>
      </c>
      <c r="AS14" s="135"/>
      <c r="AT14" s="135">
        <f>IF($Z14=$Z15,$V18,0)</f>
        <v>1</v>
      </c>
      <c r="AU14" s="135">
        <f>SUM(AQ14:AT14)</f>
        <v>1</v>
      </c>
      <c r="AV14" s="184">
        <f>IF(AND(COUNTIF(K13:K18,$B$63)=COUNTA(H13:H18),COUNTIF(K13:K18,$B$63)=COUNTA(J13:J18)),IF(AU14=AU12,S18-U16,IF(AU14=AU13,T18-U17,IF(AU14=AU15,V18-U19,2))),2)</f>
        <v>-1</v>
      </c>
      <c r="AW14" s="133"/>
      <c r="BA14" s="2">
        <v>10</v>
      </c>
      <c r="BB14" s="7">
        <v>42534.75</v>
      </c>
      <c r="BC14" s="4" t="s">
        <v>136</v>
      </c>
      <c r="BD14" s="125" t="str">
        <f>BY14</f>
        <v>Irland</v>
      </c>
      <c r="BE14" s="80" t="s">
        <v>21</v>
      </c>
      <c r="BF14" s="125" t="str">
        <f>BY15</f>
        <v>Schweden</v>
      </c>
      <c r="BG14" s="124"/>
      <c r="BH14" s="137">
        <f ca="1" t="shared" si="6"/>
        <v>1</v>
      </c>
      <c r="BI14" s="13" t="s">
        <v>22</v>
      </c>
      <c r="BJ14" s="136">
        <f ca="1" t="shared" si="7"/>
        <v>0</v>
      </c>
      <c r="BK14" s="9" t="s">
        <v>23</v>
      </c>
      <c r="BL14" s="1"/>
      <c r="BM14" s="11" t="str">
        <f>VLOOKUP(3,$BX$12:$CC$15,2,FALSE)</f>
        <v>Irland</v>
      </c>
      <c r="BN14" s="2">
        <f>VLOOKUP(3,$BX$12:$CC$15,3,FALSE)</f>
        <v>3</v>
      </c>
      <c r="BO14" s="2">
        <f>VLOOKUP(3,$BX$12:$CC$15,4,FALSE)</f>
        <v>1</v>
      </c>
      <c r="BP14" s="2">
        <f>VLOOKUP(3,$BX$12:$CC$15,5,FALSE)</f>
        <v>2</v>
      </c>
      <c r="BQ14" s="2">
        <f>VLOOKUP(3,$BX$12:$CC$15,6,FALSE)</f>
        <v>-1</v>
      </c>
      <c r="BS14" s="130">
        <f>IF(BJ15="",0,IF(BK15=$B$63,IF(BH15&lt;BJ15,3,IF(BH15=BJ15,1,0)),0))</f>
        <v>0</v>
      </c>
      <c r="BT14" s="130">
        <f>IF(BJ18="",0,IF(BK18=$B$63,IF(BH18&lt;BJ18,3,IF(BH18=BJ18,1,0)),0))</f>
        <v>0</v>
      </c>
      <c r="BU14" s="129"/>
      <c r="BV14" s="130">
        <f>IF(BH14="",0,IF(BK14=$B$63,IF(BH14&gt;BJ14,3,IF(BH14=BJ14,1,0)),0))</f>
        <v>3</v>
      </c>
      <c r="BW14" s="1"/>
      <c r="BX14" s="185">
        <f>RANK(CD14,CD12:CD15)+COUNTIF(CD12:CD14,CD14)-1</f>
        <v>3</v>
      </c>
      <c r="BY14" s="132" t="s">
        <v>196</v>
      </c>
      <c r="BZ14" s="1">
        <f>SUM(BS14:BV14)</f>
        <v>3</v>
      </c>
      <c r="CA14" s="1">
        <f>SUM(BS18:BV18)</f>
        <v>1</v>
      </c>
      <c r="CB14" s="1">
        <f>SUM(BU16:BU19)</f>
        <v>2</v>
      </c>
      <c r="CC14" s="1">
        <f>CA14-CB14</f>
        <v>-1</v>
      </c>
      <c r="CD14" s="33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299010003010099</v>
      </c>
      <c r="CE14" s="5"/>
      <c r="CF14" s="34">
        <f>IF($BZ14=$BZ12,$BS14-$BU12,0)</f>
        <v>0</v>
      </c>
      <c r="CG14" s="34">
        <f>IF($BZ14=$BZ13,$BT14-$BU13,0)</f>
        <v>0</v>
      </c>
      <c r="CH14" s="34"/>
      <c r="CI14" s="34">
        <f>IF($BZ14=$BZ15,$BV14-$BU15,0)</f>
        <v>3</v>
      </c>
      <c r="CJ14" s="34">
        <f>SUM(CF14:CI14)</f>
        <v>3</v>
      </c>
      <c r="CK14" s="5"/>
      <c r="CL14" s="34">
        <f>IF($BZ14=$BZ12,$BS18-$BU16,0)</f>
        <v>0</v>
      </c>
      <c r="CM14" s="34">
        <f>IF($BZ14=$BZ13,$BT18-$BU17,0)</f>
        <v>0</v>
      </c>
      <c r="CN14" s="34"/>
      <c r="CO14" s="34">
        <f>IF($BZ14=$BZ15,$BV18-$BU19,0)</f>
        <v>1</v>
      </c>
      <c r="CP14" s="34">
        <f>SUM(CL14:CO14)</f>
        <v>1</v>
      </c>
      <c r="CQ14" s="34">
        <f>IF($BZ14=$BZ12,$BS18,0)</f>
        <v>0</v>
      </c>
      <c r="CR14" s="34">
        <f>IF($BZ14=$BZ13,$BT18,0)</f>
        <v>0</v>
      </c>
      <c r="CS14" s="34"/>
      <c r="CT14" s="34">
        <f>IF($BZ14=$BZ15,$BV18,0)</f>
        <v>1</v>
      </c>
      <c r="CU14" s="34">
        <f>SUM(CQ14:CT14)</f>
        <v>1</v>
      </c>
      <c r="CV14" s="184">
        <f>IF(AND(COUNTIF(BK13:BK18,$B$63)=COUNTA(BH13:BH18),COUNTIF(BK13:BK18,$B$63)=COUNTA(BJ13:BJ18)),IF(CU14=CU12,BS18-BU16,IF(CU14=CU13,BT18-BU17,IF(CU14=CU15,BV18-BU19,2))),2)</f>
        <v>-1</v>
      </c>
    </row>
    <row r="15" spans="1:100" ht="12.75">
      <c r="A15" s="2">
        <f>A13+12</f>
        <v>15</v>
      </c>
      <c r="B15" s="7">
        <v>42537.625</v>
      </c>
      <c r="C15" s="4" t="s">
        <v>137</v>
      </c>
      <c r="D15" s="125" t="str">
        <f>Y12</f>
        <v>England</v>
      </c>
      <c r="E15" s="80" t="s">
        <v>21</v>
      </c>
      <c r="F15" s="125" t="str">
        <f>Y14</f>
        <v>Wales</v>
      </c>
      <c r="G15" s="124"/>
      <c r="H15" s="137">
        <f ca="1" t="shared" si="4"/>
        <v>1</v>
      </c>
      <c r="I15" s="13" t="s">
        <v>22</v>
      </c>
      <c r="J15" s="136">
        <f ca="1" t="shared" si="5"/>
        <v>0</v>
      </c>
      <c r="K15" s="9" t="s">
        <v>23</v>
      </c>
      <c r="L15" s="1"/>
      <c r="M15" s="11" t="str">
        <f>VLOOKUP(4,$X$12:$AC$15,2,FALSE)</f>
        <v>Slowakei</v>
      </c>
      <c r="N15" s="2">
        <f>VLOOKUP(4,$X$12:$AC$15,3,FALSE)</f>
        <v>3</v>
      </c>
      <c r="O15" s="2">
        <f>VLOOKUP(4,$X$12:$AC$15,4,FALSE)</f>
        <v>1</v>
      </c>
      <c r="P15" s="2">
        <f>VLOOKUP(4,$X$12:$AC$15,5,FALSE)</f>
        <v>2</v>
      </c>
      <c r="Q15" s="2">
        <f>VLOOKUP(4,$X$12:$AC$15,6,FALSE)</f>
        <v>-1</v>
      </c>
      <c r="S15" s="130">
        <f>IF(H17="",0,IF(K17=$B$63,IF(H17&gt;J17,3,IF(H17=J17,1,0)),0))</f>
        <v>3</v>
      </c>
      <c r="T15" s="130">
        <f>IF(J16="",0,IF(K16=$B$63,IF(H16&lt;J16,3,IF(H16=J16,1,0)),0))</f>
        <v>0</v>
      </c>
      <c r="U15" s="130">
        <f>IF(J14="",0,IF(K14=$B$63,IF(H14&lt;J14,3,IF(H14=J14,1,0)),0))</f>
        <v>0</v>
      </c>
      <c r="V15" s="129"/>
      <c r="W15" s="131"/>
      <c r="X15" s="185">
        <f>RANK(AD15,AD12:AD15)+COUNTIF(AD12:AD15,AD15)-1</f>
        <v>4</v>
      </c>
      <c r="Y15" s="132" t="s">
        <v>193</v>
      </c>
      <c r="Z15" s="131">
        <f>SUM(S15:V15)</f>
        <v>3</v>
      </c>
      <c r="AA15" s="131">
        <f>SUM(S19:V19)</f>
        <v>1</v>
      </c>
      <c r="AB15" s="131">
        <f>SUM(V16:V19)</f>
        <v>2</v>
      </c>
      <c r="AC15" s="131">
        <f>AA15-AB15</f>
        <v>-1</v>
      </c>
      <c r="AD15" s="133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299009996989999</v>
      </c>
      <c r="AE15" s="134"/>
      <c r="AF15" s="135">
        <f>IF($Z15=$Z12,$S15-$V12,0)</f>
        <v>0</v>
      </c>
      <c r="AG15" s="135">
        <f>IF($Z15=$Z13,$T15-$V13,0)</f>
        <v>0</v>
      </c>
      <c r="AH15" s="135">
        <f>IF($Z15=$Z14,$U15-$V14,0)</f>
        <v>-3</v>
      </c>
      <c r="AI15" s="135"/>
      <c r="AJ15" s="135">
        <f>SUM(AF15:AI15)</f>
        <v>-3</v>
      </c>
      <c r="AK15" s="134"/>
      <c r="AL15" s="135">
        <f>IF($Z15=$Z12,$S19-$V16,0)</f>
        <v>0</v>
      </c>
      <c r="AM15" s="135">
        <f>IF($Z15=$Z13,$T19-$V17,0)</f>
        <v>0</v>
      </c>
      <c r="AN15" s="135">
        <f>IF($Z15=$Z14,$U19-$V18,0)</f>
        <v>-1</v>
      </c>
      <c r="AO15" s="135"/>
      <c r="AP15" s="135">
        <f>SUM(AL15:AO15)</f>
        <v>-1</v>
      </c>
      <c r="AQ15" s="135">
        <f>IF($Z15=$Z12,$S19,0)</f>
        <v>0</v>
      </c>
      <c r="AR15" s="135">
        <f>IF($Z15=$Z13,$T19,0)</f>
        <v>0</v>
      </c>
      <c r="AS15" s="135">
        <f>IF($Z15=$Z14,$U19,0)</f>
        <v>0</v>
      </c>
      <c r="AT15" s="135"/>
      <c r="AU15" s="135">
        <f>SUM(AQ15:AT15)</f>
        <v>0</v>
      </c>
      <c r="AV15" s="184">
        <f>IF(AND(COUNTIF(K13:K18,$B$63)=COUNTA(H13:H18),COUNTIF(K13:K18,$B$63)=COUNTA(J13:J18)),IF(AU15=AU12,S19-V16,IF(AU15=AU13,T19-V17,IF(AU15=AU14,U19-V18,1))),1)</f>
        <v>-1</v>
      </c>
      <c r="AW15" s="133"/>
      <c r="BA15" s="2">
        <f>BA13+12</f>
        <v>21</v>
      </c>
      <c r="BB15" s="7">
        <v>42539.625</v>
      </c>
      <c r="BC15" s="4" t="s">
        <v>142</v>
      </c>
      <c r="BD15" s="125" t="str">
        <f>BY12</f>
        <v>Belgien</v>
      </c>
      <c r="BE15" s="80" t="s">
        <v>21</v>
      </c>
      <c r="BF15" s="125" t="str">
        <f>BY14</f>
        <v>Irland</v>
      </c>
      <c r="BG15" s="124"/>
      <c r="BH15" s="137">
        <f ca="1" t="shared" si="6"/>
        <v>1</v>
      </c>
      <c r="BI15" s="13" t="s">
        <v>22</v>
      </c>
      <c r="BJ15" s="136">
        <f ca="1" t="shared" si="7"/>
        <v>0</v>
      </c>
      <c r="BK15" s="9" t="s">
        <v>23</v>
      </c>
      <c r="BL15" s="1"/>
      <c r="BM15" s="11" t="str">
        <f>VLOOKUP(4,$BX$12:CC$15,2,FALSE)</f>
        <v>Schweden</v>
      </c>
      <c r="BN15" s="2">
        <f>VLOOKUP(4,$BX$12:$CC$15,3,FALSE)</f>
        <v>3</v>
      </c>
      <c r="BO15" s="2">
        <f>VLOOKUP(4,$BX$12:$CC$15,4,FALSE)</f>
        <v>1</v>
      </c>
      <c r="BP15" s="2">
        <f>VLOOKUP(4,$BX$12:$CC$15,5,FALSE)</f>
        <v>2</v>
      </c>
      <c r="BQ15" s="2">
        <f>VLOOKUP(4,$BX$12:$CC$15,6,FALSE)</f>
        <v>-1</v>
      </c>
      <c r="BS15" s="130">
        <f>IF(BH17="",0,IF(BK17=$B$63,IF(BH17&gt;BJ17,3,IF(BH17=BJ17,1,0)),0))</f>
        <v>3</v>
      </c>
      <c r="BT15" s="130">
        <f>IF(BJ16="",0,IF(BK16=$B$63,IF(BH16&lt;BJ16,3,IF(BH16=BJ16,1,0)),0))</f>
        <v>0</v>
      </c>
      <c r="BU15" s="130">
        <f>IF(BJ14="",0,IF(BK14=$B$63,IF(BH14&lt;BJ14,3,IF(BH14=BJ14,1,0)),0))</f>
        <v>0</v>
      </c>
      <c r="BV15" s="129"/>
      <c r="BW15" s="1"/>
      <c r="BX15" s="185">
        <f>RANK(CD15,CD12:CD15)+COUNTIF(CD12:CD15,CD15)-1</f>
        <v>4</v>
      </c>
      <c r="BY15" s="132" t="s">
        <v>197</v>
      </c>
      <c r="BZ15" s="1">
        <f>SUM(BS15:BV15)</f>
        <v>3</v>
      </c>
      <c r="CA15" s="1">
        <f>SUM(BS19:BV19)</f>
        <v>1</v>
      </c>
      <c r="CB15" s="1">
        <f>SUM(BV16:BV19)</f>
        <v>2</v>
      </c>
      <c r="CC15" s="1">
        <f>CA15-CB15</f>
        <v>-1</v>
      </c>
      <c r="CD15" s="33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299009996989999</v>
      </c>
      <c r="CE15" s="5"/>
      <c r="CF15" s="34">
        <f>IF($BZ15=$BZ12,$BS15-$BV12,0)</f>
        <v>0</v>
      </c>
      <c r="CG15" s="34">
        <f>IF($BZ15=$BZ13,$BT15-$BV13,0)</f>
        <v>0</v>
      </c>
      <c r="CH15" s="34">
        <f>IF($BZ15=$BZ14,$BU15-$BV14,0)</f>
        <v>-3</v>
      </c>
      <c r="CI15" s="34"/>
      <c r="CJ15" s="34">
        <f>SUM(CF15:CI15)</f>
        <v>-3</v>
      </c>
      <c r="CK15" s="5"/>
      <c r="CL15" s="34">
        <f>IF($BZ15=$BZ12,$BS19-$BV16,0)</f>
        <v>0</v>
      </c>
      <c r="CM15" s="34">
        <f>IF($BZ15=$BZ13,$BT19-$BV17,0)</f>
        <v>0</v>
      </c>
      <c r="CN15" s="34">
        <f>IF($BZ15=$BZ14,$BU19-$BV18,0)</f>
        <v>-1</v>
      </c>
      <c r="CO15" s="34"/>
      <c r="CP15" s="34">
        <f>SUM(CL15:CO15)</f>
        <v>-1</v>
      </c>
      <c r="CQ15" s="34">
        <f>IF($BZ15=$BZ12,$BS19,0)</f>
        <v>0</v>
      </c>
      <c r="CR15" s="34">
        <f>IF($BZ15=$BZ13,$BT19,0)</f>
        <v>0</v>
      </c>
      <c r="CS15" s="34">
        <f>IF($BZ15=$BZ14,$BU19,0)</f>
        <v>0</v>
      </c>
      <c r="CT15" s="34"/>
      <c r="CU15" s="34">
        <f>SUM(CQ15:CT15)</f>
        <v>0</v>
      </c>
      <c r="CV15" s="184">
        <f>IF(AND(COUNTIF(BK13:BK18,$B$63)=COUNTA(BH13:BH18),COUNTIF(BK13:BK18,$B$63)=COUNTA(BJ13:BJ18)),IF(CU15=CU12,BS19-BV16,IF(CU15=CU13,BT19-BV17,IF(CU15=CU14,BU19-BV18,1))),1)</f>
        <v>-1</v>
      </c>
    </row>
    <row r="16" spans="1:100" ht="12.75">
      <c r="A16" s="2">
        <f>A14+12</f>
        <v>16</v>
      </c>
      <c r="B16" s="4">
        <v>42536.625</v>
      </c>
      <c r="C16" s="4" t="s">
        <v>140</v>
      </c>
      <c r="D16" s="125" t="str">
        <f>Y13</f>
        <v>Russland</v>
      </c>
      <c r="E16" s="80" t="s">
        <v>21</v>
      </c>
      <c r="F16" s="125" t="str">
        <f>Y15</f>
        <v>Slowakei</v>
      </c>
      <c r="G16" s="124"/>
      <c r="H16" s="137">
        <f ca="1" t="shared" si="4"/>
        <v>1</v>
      </c>
      <c r="I16" s="13" t="s">
        <v>22</v>
      </c>
      <c r="J16" s="136">
        <f ca="1" t="shared" si="5"/>
        <v>0</v>
      </c>
      <c r="K16" s="9" t="s">
        <v>23</v>
      </c>
      <c r="L16" s="1"/>
      <c r="N16" s="1"/>
      <c r="O16" s="1"/>
      <c r="P16" s="1"/>
      <c r="S16" s="129"/>
      <c r="T16" s="130">
        <f>IF(K13=$B$63,H13,0)</f>
        <v>1</v>
      </c>
      <c r="U16" s="130">
        <f>IF(K15=$B$63,H15,0)</f>
        <v>1</v>
      </c>
      <c r="V16" s="130">
        <f>IF(K17=$B$63,J17,0)</f>
        <v>0</v>
      </c>
      <c r="W16" s="131"/>
      <c r="X16" s="131"/>
      <c r="Y16" s="131"/>
      <c r="Z16" s="131"/>
      <c r="AA16" s="131"/>
      <c r="AB16" s="131"/>
      <c r="AC16" s="131"/>
      <c r="AD16" s="138"/>
      <c r="AE16" s="139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V16" s="135"/>
      <c r="AW16" s="133"/>
      <c r="BA16" s="2">
        <f>BA14+12</f>
        <v>22</v>
      </c>
      <c r="BB16" s="7">
        <v>42538.625</v>
      </c>
      <c r="BC16" s="4" t="s">
        <v>144</v>
      </c>
      <c r="BD16" s="125" t="str">
        <f>BY13</f>
        <v>Italien</v>
      </c>
      <c r="BE16" s="80" t="s">
        <v>21</v>
      </c>
      <c r="BF16" s="125" t="str">
        <f>BY15</f>
        <v>Schweden</v>
      </c>
      <c r="BG16" s="124"/>
      <c r="BH16" s="137">
        <f ca="1" t="shared" si="6"/>
        <v>1</v>
      </c>
      <c r="BI16" s="13" t="s">
        <v>22</v>
      </c>
      <c r="BJ16" s="136">
        <f ca="1" t="shared" si="7"/>
        <v>0</v>
      </c>
      <c r="BK16" s="9" t="s">
        <v>23</v>
      </c>
      <c r="BL16" s="1"/>
      <c r="BN16" s="1"/>
      <c r="BO16" s="1"/>
      <c r="BP16" s="1"/>
      <c r="BS16" s="129"/>
      <c r="BT16" s="130">
        <f>IF(BK13=$B$63,BH13,0)</f>
        <v>1</v>
      </c>
      <c r="BU16" s="130">
        <f>IF(BK15=$B$63,BH15,0)</f>
        <v>1</v>
      </c>
      <c r="BV16" s="130">
        <f>IF(BK17=$B$63,BJ17,0)</f>
        <v>0</v>
      </c>
      <c r="BW16" s="1"/>
      <c r="BX16" s="1"/>
      <c r="BY16" s="131"/>
      <c r="BZ16" s="1"/>
      <c r="CA16" s="1"/>
      <c r="CB16" s="1"/>
      <c r="CC16" s="1"/>
      <c r="CD16" s="6"/>
      <c r="CE16" s="9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V16" s="34"/>
    </row>
    <row r="17" spans="1:100" ht="12.75">
      <c r="A17" s="2">
        <f>A15+12</f>
        <v>27</v>
      </c>
      <c r="B17" s="7">
        <v>42541.875</v>
      </c>
      <c r="C17" s="4" t="s">
        <v>143</v>
      </c>
      <c r="D17" s="125" t="str">
        <f>Y15</f>
        <v>Slowakei</v>
      </c>
      <c r="E17" s="80" t="s">
        <v>21</v>
      </c>
      <c r="F17" s="125" t="str">
        <f>Y12</f>
        <v>England</v>
      </c>
      <c r="G17" s="123"/>
      <c r="H17" s="136">
        <f ca="1" t="shared" si="4"/>
        <v>1</v>
      </c>
      <c r="I17" s="13" t="s">
        <v>22</v>
      </c>
      <c r="J17" s="137">
        <f ca="1" t="shared" si="5"/>
        <v>0</v>
      </c>
      <c r="K17" s="9" t="s">
        <v>23</v>
      </c>
      <c r="M17" s="71" t="str">
        <f>IF(N12&gt;0,M12,"")</f>
        <v>England</v>
      </c>
      <c r="N17" s="2" t="s">
        <v>27</v>
      </c>
      <c r="P17" s="51"/>
      <c r="S17" s="130">
        <f>IF(K13=$B$63,J13,0)</f>
        <v>0</v>
      </c>
      <c r="T17" s="129"/>
      <c r="U17" s="130">
        <f>IF(K18=$B$63,H18,0)</f>
        <v>1</v>
      </c>
      <c r="V17" s="130">
        <f>IF(K16=$B$63,H16,0)</f>
        <v>1</v>
      </c>
      <c r="AD17" s="123" t="s">
        <v>119</v>
      </c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V17" s="141"/>
      <c r="AW17" s="133"/>
      <c r="BA17" s="2">
        <f>BA15+12</f>
        <v>33</v>
      </c>
      <c r="BB17" s="7">
        <v>42543.875</v>
      </c>
      <c r="BC17" s="4" t="s">
        <v>145</v>
      </c>
      <c r="BD17" s="125" t="str">
        <f>BY15</f>
        <v>Schweden</v>
      </c>
      <c r="BE17" s="80" t="s">
        <v>21</v>
      </c>
      <c r="BF17" s="125" t="str">
        <f>BY12</f>
        <v>Belgien</v>
      </c>
      <c r="BG17" s="123"/>
      <c r="BH17" s="136">
        <f ca="1" t="shared" si="6"/>
        <v>1</v>
      </c>
      <c r="BI17" s="13" t="s">
        <v>22</v>
      </c>
      <c r="BJ17" s="137">
        <f ca="1" t="shared" si="7"/>
        <v>0</v>
      </c>
      <c r="BK17" s="9" t="s">
        <v>23</v>
      </c>
      <c r="BM17" s="74" t="str">
        <f>IF(BN12&gt;0,BM12,"")</f>
        <v>Belgien</v>
      </c>
      <c r="BN17" s="2" t="s">
        <v>36</v>
      </c>
      <c r="BP17" s="51"/>
      <c r="BS17" s="130">
        <f>IF(BK13=$B$63,BJ13,0)</f>
        <v>0</v>
      </c>
      <c r="BT17" s="129"/>
      <c r="BU17" s="130">
        <f>IF(BK18=$B$63,BH18,0)</f>
        <v>1</v>
      </c>
      <c r="BV17" s="130">
        <f>IF(BK16=$B$63,BH16,0)</f>
        <v>1</v>
      </c>
      <c r="CD17" s="2" t="s">
        <v>119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V17" s="35"/>
    </row>
    <row r="18" spans="1:100" ht="12.75">
      <c r="A18" s="2">
        <f>A16+12</f>
        <v>28</v>
      </c>
      <c r="B18" s="7">
        <v>42541.875</v>
      </c>
      <c r="C18" s="4" t="s">
        <v>144</v>
      </c>
      <c r="D18" s="125" t="str">
        <f>Y13</f>
        <v>Russland</v>
      </c>
      <c r="E18" s="80" t="s">
        <v>21</v>
      </c>
      <c r="F18" s="125" t="str">
        <f>Y14</f>
        <v>Wales</v>
      </c>
      <c r="G18" s="123"/>
      <c r="H18" s="137">
        <f ca="1" t="shared" si="4"/>
        <v>1</v>
      </c>
      <c r="I18" s="13" t="s">
        <v>22</v>
      </c>
      <c r="J18" s="137">
        <f ca="1" t="shared" si="5"/>
        <v>0</v>
      </c>
      <c r="K18" s="9" t="s">
        <v>23</v>
      </c>
      <c r="M18" s="71" t="str">
        <f>IF(N13&gt;0,M13,"")</f>
        <v>Russland</v>
      </c>
      <c r="N18" s="2" t="s">
        <v>28</v>
      </c>
      <c r="O18" s="52"/>
      <c r="P18" s="53"/>
      <c r="S18" s="130">
        <f>IF(K15=$B$63,J15,0)</f>
        <v>0</v>
      </c>
      <c r="T18" s="130">
        <f>IF(K18=$B$63,J18,0)</f>
        <v>0</v>
      </c>
      <c r="U18" s="129"/>
      <c r="V18" s="130">
        <f>IF(K14=$B$63,H14,0)</f>
        <v>1</v>
      </c>
      <c r="AD18" s="123" t="s">
        <v>120</v>
      </c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V18" s="141"/>
      <c r="AW18" s="133"/>
      <c r="BA18" s="2">
        <f>BA16+12</f>
        <v>34</v>
      </c>
      <c r="BB18" s="7">
        <v>42543.875</v>
      </c>
      <c r="BC18" s="4" t="s">
        <v>140</v>
      </c>
      <c r="BD18" s="125" t="str">
        <f>BY13</f>
        <v>Italien</v>
      </c>
      <c r="BE18" s="80" t="s">
        <v>21</v>
      </c>
      <c r="BF18" s="125" t="str">
        <f>BY14</f>
        <v>Irland</v>
      </c>
      <c r="BG18" s="123"/>
      <c r="BH18" s="137">
        <f ca="1" t="shared" si="6"/>
        <v>1</v>
      </c>
      <c r="BI18" s="13" t="s">
        <v>22</v>
      </c>
      <c r="BJ18" s="137">
        <f ca="1" t="shared" si="7"/>
        <v>0</v>
      </c>
      <c r="BK18" s="9" t="s">
        <v>23</v>
      </c>
      <c r="BM18" s="74" t="str">
        <f>IF(BN13&gt;0,BM13,"")</f>
        <v>Italien</v>
      </c>
      <c r="BN18" s="2" t="s">
        <v>37</v>
      </c>
      <c r="BO18" s="52"/>
      <c r="BP18" s="53"/>
      <c r="BS18" s="130">
        <f>IF(BK15=$B$63,BJ15,0)</f>
        <v>0</v>
      </c>
      <c r="BT18" s="130">
        <f>IF(BK18=$B$63,BJ18,0)</f>
        <v>0</v>
      </c>
      <c r="BU18" s="129"/>
      <c r="BV18" s="130">
        <f>IF(BK14=$B$63,BH14,0)</f>
        <v>1</v>
      </c>
      <c r="CD18" s="2" t="s">
        <v>120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V18" s="35"/>
    </row>
    <row r="19" spans="4:100" ht="12.75">
      <c r="D19" s="123"/>
      <c r="E19" s="123"/>
      <c r="F19" s="123"/>
      <c r="G19" s="123"/>
      <c r="M19" s="71" t="str">
        <f>IF(N14&gt;0,M14,"")</f>
        <v>Wales</v>
      </c>
      <c r="N19" s="2" t="s">
        <v>76</v>
      </c>
      <c r="S19" s="130">
        <f>IF(K17=$B$63,H17,0)</f>
        <v>1</v>
      </c>
      <c r="T19" s="130">
        <f>IF(K16=$B$63,J16,0)</f>
        <v>0</v>
      </c>
      <c r="U19" s="130">
        <f>IF(K14=$B$63,J14,0)</f>
        <v>0</v>
      </c>
      <c r="V19" s="129"/>
      <c r="AD19" s="2" t="s">
        <v>200</v>
      </c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V19" s="141"/>
      <c r="AW19" s="133"/>
      <c r="BB19" s="2" t="s">
        <v>2</v>
      </c>
      <c r="BD19" s="123"/>
      <c r="BE19" s="123"/>
      <c r="BF19" s="123"/>
      <c r="BG19" s="123"/>
      <c r="BM19" s="74" t="str">
        <f>IF(BN14&gt;0,BM14,"")</f>
        <v>Irland</v>
      </c>
      <c r="BN19" s="2" t="s">
        <v>77</v>
      </c>
      <c r="BS19" s="130">
        <f>IF(BK17=$B$63,BH17,0)</f>
        <v>1</v>
      </c>
      <c r="BT19" s="130">
        <f>IF(BK16=$B$63,BJ16,0)</f>
        <v>0</v>
      </c>
      <c r="BU19" s="130">
        <f>IF(BK14=$B$63,BJ14,0)</f>
        <v>0</v>
      </c>
      <c r="BV19" s="129"/>
      <c r="CD19" s="2" t="s">
        <v>200</v>
      </c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V19" s="35"/>
    </row>
    <row r="20" spans="4:100" ht="6" customHeight="1">
      <c r="D20" s="123"/>
      <c r="E20" s="126"/>
      <c r="F20" s="128"/>
      <c r="G20" s="128"/>
      <c r="H20" s="123"/>
      <c r="I20" s="123"/>
      <c r="J20" s="123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V20" s="141"/>
      <c r="AW20" s="133"/>
      <c r="BD20" s="123"/>
      <c r="BE20" s="126"/>
      <c r="BF20" s="128"/>
      <c r="BG20" s="128"/>
      <c r="BH20" s="123"/>
      <c r="BI20" s="123"/>
      <c r="BJ20" s="123"/>
      <c r="BS20" s="123"/>
      <c r="BT20" s="123"/>
      <c r="BU20" s="123"/>
      <c r="BV20" s="123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V20" s="35"/>
    </row>
    <row r="21" spans="2:100" s="12" customFormat="1" ht="12.75">
      <c r="B21" s="49" t="s">
        <v>0</v>
      </c>
      <c r="C21" s="40" t="s">
        <v>29</v>
      </c>
      <c r="D21" s="124" t="s">
        <v>2</v>
      </c>
      <c r="E21" s="142"/>
      <c r="F21" s="124"/>
      <c r="G21" s="124"/>
      <c r="H21" s="28"/>
      <c r="I21" s="27"/>
      <c r="J21" s="28"/>
      <c r="K21" s="29"/>
      <c r="L21" s="24"/>
      <c r="M21" s="69" t="s">
        <v>3</v>
      </c>
      <c r="N21" s="24" t="s">
        <v>4</v>
      </c>
      <c r="O21" s="24" t="s">
        <v>5</v>
      </c>
      <c r="P21" s="24" t="s">
        <v>6</v>
      </c>
      <c r="Q21" s="24" t="s">
        <v>7</v>
      </c>
      <c r="R21" s="24"/>
      <c r="S21" s="123"/>
      <c r="T21" s="123"/>
      <c r="U21" s="123"/>
      <c r="V21" s="123"/>
      <c r="W21" s="124"/>
      <c r="X21" s="124" t="s">
        <v>8</v>
      </c>
      <c r="Y21" s="125" t="s">
        <v>9</v>
      </c>
      <c r="Z21" s="124" t="s">
        <v>4</v>
      </c>
      <c r="AA21" s="124" t="s">
        <v>5</v>
      </c>
      <c r="AB21" s="124" t="s">
        <v>6</v>
      </c>
      <c r="AC21" s="124" t="s">
        <v>7</v>
      </c>
      <c r="AD21" s="124"/>
      <c r="AE21" s="27" t="s">
        <v>10</v>
      </c>
      <c r="AF21" s="80" t="s">
        <v>11</v>
      </c>
      <c r="AG21" s="80"/>
      <c r="AH21" s="80"/>
      <c r="AI21" s="80"/>
      <c r="AJ21" s="80" t="s">
        <v>12</v>
      </c>
      <c r="AK21" s="125" t="s">
        <v>13</v>
      </c>
      <c r="AL21" s="80" t="s">
        <v>14</v>
      </c>
      <c r="AM21" s="80"/>
      <c r="AN21" s="80"/>
      <c r="AO21" s="80"/>
      <c r="AP21" s="80" t="s">
        <v>15</v>
      </c>
      <c r="AQ21" s="80" t="s">
        <v>16</v>
      </c>
      <c r="AR21" s="80"/>
      <c r="AS21" s="80"/>
      <c r="AT21" s="80"/>
      <c r="AU21" s="126" t="s">
        <v>17</v>
      </c>
      <c r="AV21" s="125" t="s">
        <v>18</v>
      </c>
      <c r="AW21" s="127"/>
      <c r="AX21" s="128"/>
      <c r="AY21" s="128"/>
      <c r="AZ21" s="128"/>
      <c r="BB21" s="64" t="s">
        <v>0</v>
      </c>
      <c r="BC21" s="75" t="s">
        <v>38</v>
      </c>
      <c r="BD21" s="124" t="s">
        <v>2</v>
      </c>
      <c r="BE21" s="142"/>
      <c r="BF21" s="124"/>
      <c r="BG21" s="124"/>
      <c r="BH21" s="28"/>
      <c r="BI21" s="27"/>
      <c r="BJ21" s="28"/>
      <c r="BK21" s="29"/>
      <c r="BL21" s="24"/>
      <c r="BM21" s="69" t="s">
        <v>3</v>
      </c>
      <c r="BN21" s="24" t="s">
        <v>4</v>
      </c>
      <c r="BO21" s="24" t="s">
        <v>5</v>
      </c>
      <c r="BP21" s="24" t="s">
        <v>6</v>
      </c>
      <c r="BQ21" s="24" t="s">
        <v>7</v>
      </c>
      <c r="BR21" s="24"/>
      <c r="BS21" s="123"/>
      <c r="BT21" s="123"/>
      <c r="BU21" s="123"/>
      <c r="BV21" s="123"/>
      <c r="BW21" s="24"/>
      <c r="BX21" s="24" t="s">
        <v>8</v>
      </c>
      <c r="BY21" s="125" t="s">
        <v>9</v>
      </c>
      <c r="BZ21" s="24" t="s">
        <v>4</v>
      </c>
      <c r="CA21" s="24" t="s">
        <v>5</v>
      </c>
      <c r="CB21" s="24" t="s">
        <v>6</v>
      </c>
      <c r="CC21" s="24" t="s">
        <v>7</v>
      </c>
      <c r="CD21" s="24"/>
      <c r="CE21" s="29" t="s">
        <v>10</v>
      </c>
      <c r="CF21" s="22" t="s">
        <v>11</v>
      </c>
      <c r="CG21" s="22"/>
      <c r="CH21" s="22"/>
      <c r="CI21" s="22"/>
      <c r="CJ21" s="22" t="s">
        <v>12</v>
      </c>
      <c r="CK21" s="30" t="s">
        <v>13</v>
      </c>
      <c r="CL21" s="22" t="s">
        <v>14</v>
      </c>
      <c r="CM21" s="22"/>
      <c r="CN21" s="22"/>
      <c r="CO21" s="22"/>
      <c r="CP21" s="22" t="s">
        <v>15</v>
      </c>
      <c r="CQ21" s="22" t="s">
        <v>16</v>
      </c>
      <c r="CR21" s="22"/>
      <c r="CS21" s="22"/>
      <c r="CT21" s="22"/>
      <c r="CU21" s="23" t="s">
        <v>17</v>
      </c>
      <c r="CV21" s="30" t="s">
        <v>18</v>
      </c>
    </row>
    <row r="22" spans="2:100" ht="12.75">
      <c r="B22" s="3" t="s">
        <v>19</v>
      </c>
      <c r="C22" s="3" t="s">
        <v>20</v>
      </c>
      <c r="D22" s="123"/>
      <c r="E22" s="123"/>
      <c r="F22" s="123"/>
      <c r="G22" s="123"/>
      <c r="L22" s="1"/>
      <c r="M22" s="11" t="str">
        <f>VLOOKUP(1,$X$22:$AC$25,2,FALSE)</f>
        <v>Deutschland</v>
      </c>
      <c r="N22" s="2">
        <f>VLOOKUP(1,$X$22:$AC$25,3,FALSE)</f>
        <v>6</v>
      </c>
      <c r="O22" s="2">
        <f>VLOOKUP(1,$X$22:$AC$25,4,FALSE)</f>
        <v>2</v>
      </c>
      <c r="P22" s="2">
        <f>VLOOKUP(1,$X$22:$AC$25,5,FALSE)</f>
        <v>1</v>
      </c>
      <c r="Q22" s="2">
        <f>VLOOKUP(1,$X$22:$AC$25,6,FALSE)</f>
        <v>1</v>
      </c>
      <c r="S22" s="129"/>
      <c r="T22" s="130">
        <f>IF(H23="",0,IF(K23=$B$63,IF(H23&gt;J23,3,IF(H23=J23,1,0)),0))</f>
        <v>3</v>
      </c>
      <c r="U22" s="130">
        <f>IF(H25="",0,IF(K25=$B$63,IF(H25&gt;J25,3,IF(H25=J25,1,0)),0))</f>
        <v>3</v>
      </c>
      <c r="V22" s="130">
        <f>IF(J27="",0,IF(K27=$B$63,IF(H27&lt;J27,3,IF(H27=J27,1,0)),0))</f>
        <v>0</v>
      </c>
      <c r="W22" s="131"/>
      <c r="X22" s="185">
        <f>RANK(AD22,AD22:AD25)+COUNTIF(AD22:AD22,AD22)-1</f>
        <v>1</v>
      </c>
      <c r="Y22" s="132" t="s">
        <v>175</v>
      </c>
      <c r="Z22" s="131">
        <f>SUM(S22:V22)</f>
        <v>6</v>
      </c>
      <c r="AA22" s="131">
        <f>SUM(S26:V26)</f>
        <v>2</v>
      </c>
      <c r="AB22" s="131">
        <f>SUM(S26:S29)</f>
        <v>1</v>
      </c>
      <c r="AC22" s="131">
        <f>AA22-AB22</f>
        <v>1</v>
      </c>
      <c r="AD22" s="133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601020003010101</v>
      </c>
      <c r="AE22" s="134"/>
      <c r="AF22" s="135"/>
      <c r="AG22" s="135">
        <f>IF($Z22=$Z23,$T22-$S23,0)</f>
        <v>3</v>
      </c>
      <c r="AH22" s="135">
        <f>IF($Z22=$Z24,$U22-$S24,0)</f>
        <v>0</v>
      </c>
      <c r="AI22" s="135">
        <f>IF($Z22=$Z25,$V22-$S25,0)</f>
        <v>0</v>
      </c>
      <c r="AJ22" s="135">
        <f>SUM(AF22:AI22)</f>
        <v>3</v>
      </c>
      <c r="AK22" s="134"/>
      <c r="AL22" s="135"/>
      <c r="AM22" s="135">
        <f>IF($Z22=$Z23,$T26-$S27,0)</f>
        <v>1</v>
      </c>
      <c r="AN22" s="135">
        <f>IF($Z22=$Z24,$U26-$S28,0)</f>
        <v>0</v>
      </c>
      <c r="AO22" s="135">
        <f>IF($Z22=$Z25,$V26-$S29,0)</f>
        <v>0</v>
      </c>
      <c r="AP22" s="135">
        <f>SUM(AL22:AO22)</f>
        <v>1</v>
      </c>
      <c r="AQ22" s="135"/>
      <c r="AR22" s="135">
        <f>IF($Z22=$Z23,$T26,0)</f>
        <v>1</v>
      </c>
      <c r="AS22" s="135">
        <f>IF($Z22=$Z24,$U26,0)</f>
        <v>0</v>
      </c>
      <c r="AT22" s="135">
        <f>IF($Z22=$Z25,$V26,0)</f>
        <v>0</v>
      </c>
      <c r="AU22" s="135">
        <f>SUM(AQ22:AT22)</f>
        <v>1</v>
      </c>
      <c r="AV22" s="184">
        <f>IF(AND(COUNTIF(K23:K28,$B$63)=COUNTA(H23:H28),COUNTIF(K23:K28,$B$63)=COUNTA(J23:J28)),IF(AU22=AU23,T26-S27,IF(AU22=AU24,U26-S28,IF(AU22=AU25,V26-S29,4))),4)</f>
        <v>1</v>
      </c>
      <c r="AW22" s="133"/>
      <c r="BB22" s="3" t="s">
        <v>19</v>
      </c>
      <c r="BC22" s="3" t="s">
        <v>20</v>
      </c>
      <c r="BD22" s="123"/>
      <c r="BE22" s="123"/>
      <c r="BF22" s="123"/>
      <c r="BG22" s="123"/>
      <c r="BL22" s="1"/>
      <c r="BM22" s="11" t="str">
        <f>VLOOKUP(1,$BX$22:$CC$25,2,FALSE)</f>
        <v>Portugal</v>
      </c>
      <c r="BN22" s="2">
        <f>VLOOKUP(1,$BX$22:$CC$25,3,FALSE)</f>
        <v>6</v>
      </c>
      <c r="BO22" s="2">
        <f>VLOOKUP(1,$BX$22:$CC$25,4,FALSE)</f>
        <v>2</v>
      </c>
      <c r="BP22" s="2">
        <f>VLOOKUP(1,$BX$22:$CC$25,5,FALSE)</f>
        <v>1</v>
      </c>
      <c r="BQ22" s="2">
        <f>VLOOKUP(1,$BX$22:$CC$25,6,FALSE)</f>
        <v>1</v>
      </c>
      <c r="BS22" s="129"/>
      <c r="BT22" s="130">
        <f>IF(BH23="",0,IF(BK23=$B$63,IF(BH23&gt;BJ23,3,IF(BH23=BJ23,1,0)),0))</f>
        <v>3</v>
      </c>
      <c r="BU22" s="130">
        <f>IF(BH25="",0,IF(BK25=$B$63,IF(BH25&gt;BJ25,3,IF(BH25=BJ25,1,0)),0))</f>
        <v>3</v>
      </c>
      <c r="BV22" s="130">
        <f>IF(BJ27="",0,IF(BK27=$B$63,IF(BH27&lt;BJ27,3,IF(BH27=BJ27,1,0)),0))</f>
        <v>0</v>
      </c>
      <c r="BW22" s="1"/>
      <c r="BX22" s="185">
        <f>RANK(CD22,CD22:CD25)+COUNTIF(CD22:CD22,CD22)-1</f>
        <v>1</v>
      </c>
      <c r="BY22" s="132" t="s">
        <v>178</v>
      </c>
      <c r="BZ22" s="1">
        <f>SUM(BS22:BV22)</f>
        <v>6</v>
      </c>
      <c r="CA22" s="1">
        <f>SUM(BS26:BV26)</f>
        <v>2</v>
      </c>
      <c r="CB22" s="1">
        <f>SUM(BS26:BS29)</f>
        <v>1</v>
      </c>
      <c r="CC22" s="1">
        <f>CA22-CB22</f>
        <v>1</v>
      </c>
      <c r="CD22" s="33">
        <f>IF(BP$28="",CE22*10000000000000000+BZ22*100000000000000+CC22*1000000000000+CA22*10000000000+CK22*100000000+CJ22*1000000+CP22*10000+CU22*100+CV22,CE22*10000000000000000+BZ22*100000000000000+CK22*1000000000000+CJ22*10000000000+CP22*100000000+CU22*1000000+CC22*10000+CA22*100+CV22)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601020003010101</v>
      </c>
      <c r="CE22" s="5"/>
      <c r="CF22" s="34"/>
      <c r="CG22" s="34">
        <f>IF($BZ22=$BZ23,$BT22-$BS23,0)</f>
        <v>3</v>
      </c>
      <c r="CH22" s="34">
        <f>IF($BZ22=$BZ24,$BU22-$BS24,0)</f>
        <v>0</v>
      </c>
      <c r="CI22" s="34">
        <f>IF($BZ22=$BZ25,$BV22-$BS25,0)</f>
        <v>0</v>
      </c>
      <c r="CJ22" s="34">
        <f>SUM(CF22:CI22)</f>
        <v>3</v>
      </c>
      <c r="CK22" s="5"/>
      <c r="CL22" s="34"/>
      <c r="CM22" s="34">
        <f>IF($BZ22=$BZ23,$BT26-$BS27,0)</f>
        <v>1</v>
      </c>
      <c r="CN22" s="34">
        <f>IF($BZ22=$BZ24,$BU26-$BS28,0)</f>
        <v>0</v>
      </c>
      <c r="CO22" s="34">
        <f>IF($BZ22=$BZ25,$BV26-$BS29,0)</f>
        <v>0</v>
      </c>
      <c r="CP22" s="34">
        <f>SUM(CL22:CO22)</f>
        <v>1</v>
      </c>
      <c r="CQ22" s="34"/>
      <c r="CR22" s="34">
        <f>IF($BZ22=$BZ23,$BT26,0)</f>
        <v>1</v>
      </c>
      <c r="CS22" s="34">
        <f>IF($BZ22=$BZ24,$BU26,0)</f>
        <v>0</v>
      </c>
      <c r="CT22" s="34">
        <f>IF($BZ22=$BZ25,$BV26,0)</f>
        <v>0</v>
      </c>
      <c r="CU22" s="34">
        <f>SUM(CQ22:CT22)</f>
        <v>1</v>
      </c>
      <c r="CV22" s="184">
        <f>IF(AND(COUNTIF(BK23:BK28,$B$63)=COUNTA(BH23:BH28),COUNTIF(BK23:BK28,$B$63)=COUNTA(BJ23:BJ28)),IF(CU22=CU23,BT26-BS27,IF(CU22=CU24,BU26-BS28,IF(CU22=CU25,BV26-BS29,4))),4)</f>
        <v>1</v>
      </c>
    </row>
    <row r="23" spans="1:100" ht="12.75">
      <c r="A23" s="2">
        <v>5</v>
      </c>
      <c r="B23" s="7">
        <v>42533.875</v>
      </c>
      <c r="C23" s="4" t="s">
        <v>140</v>
      </c>
      <c r="D23" s="125" t="str">
        <f>Y22</f>
        <v>Deutschland</v>
      </c>
      <c r="E23" s="80" t="s">
        <v>21</v>
      </c>
      <c r="F23" s="125" t="str">
        <f>Y23</f>
        <v>Ukraine</v>
      </c>
      <c r="G23" s="124"/>
      <c r="H23" s="136">
        <f aca="true" ca="1" t="shared" si="8" ref="H23:H28">IF($B$64="",1,INT(RAND()*5)+INT(RAND()*3)*INT(RAND()*2))</f>
        <v>1</v>
      </c>
      <c r="I23" s="13" t="s">
        <v>22</v>
      </c>
      <c r="J23" s="136">
        <f aca="true" ca="1" t="shared" si="9" ref="J23:J28">IF($B$64="",0,INT(RAND()*5)+INT(RAND()*3)*INT(RAND()*2))</f>
        <v>0</v>
      </c>
      <c r="K23" s="9" t="s">
        <v>23</v>
      </c>
      <c r="L23" s="1"/>
      <c r="M23" s="11" t="str">
        <f>VLOOKUP(2,$X$22:$AC$25,2,FALSE)</f>
        <v>Ukraine</v>
      </c>
      <c r="N23" s="2">
        <f>VLOOKUP(2,$X$22:$AC$25,3,FALSE)</f>
        <v>6</v>
      </c>
      <c r="O23" s="2">
        <f>VLOOKUP(2,$X$22:$AC$25,4,FALSE)</f>
        <v>2</v>
      </c>
      <c r="P23" s="2">
        <f>VLOOKUP(2,$X$22:$AC$25,5,FALSE)</f>
        <v>1</v>
      </c>
      <c r="Q23" s="2">
        <f>VLOOKUP(2,$X$22:$AC$25,6,FALSE)</f>
        <v>1</v>
      </c>
      <c r="S23" s="130">
        <f>IF(J23="",0,IF(K23=$B$63,IF(H23&lt;J23,3,IF(H23=J23,1,0)),0))</f>
        <v>0</v>
      </c>
      <c r="T23" s="129"/>
      <c r="U23" s="130">
        <f>IF(H28="",0,IF(K28=$B$63,IF(H28&gt;J28,3,IF(H28=J28,1,0)),0))</f>
        <v>3</v>
      </c>
      <c r="V23" s="130">
        <f>IF(H26="",0,IF(K26=$B$63,IF(H26&gt;J26,3,IF(H26=J26,1,0)),0))</f>
        <v>3</v>
      </c>
      <c r="W23" s="131"/>
      <c r="X23" s="185">
        <f>RANK(AD23,AD22:AD25)+COUNTIF(AD22:AD23,AD23)-1</f>
        <v>2</v>
      </c>
      <c r="Y23" s="132" t="s">
        <v>199</v>
      </c>
      <c r="Z23" s="131">
        <f>SUM(S23:V23)</f>
        <v>6</v>
      </c>
      <c r="AA23" s="131">
        <f>SUM(S27:V27)</f>
        <v>2</v>
      </c>
      <c r="AB23" s="131">
        <f>SUM(T26:T29)</f>
        <v>1</v>
      </c>
      <c r="AC23" s="131">
        <f>AA23-AB23</f>
        <v>1</v>
      </c>
      <c r="AD23" s="133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601019996990001</v>
      </c>
      <c r="AE23" s="134"/>
      <c r="AF23" s="135">
        <f>IF($Z23=$Z22,$S23-$T22,0)</f>
        <v>-3</v>
      </c>
      <c r="AG23" s="135"/>
      <c r="AH23" s="135">
        <f>IF($Z23=$Z24,$U23-$T24,0)</f>
        <v>0</v>
      </c>
      <c r="AI23" s="135">
        <f>IF($Z23=$Z25,$V23-$T25,0)</f>
        <v>0</v>
      </c>
      <c r="AJ23" s="135">
        <f>SUM(AF23:AI23)</f>
        <v>-3</v>
      </c>
      <c r="AK23" s="134"/>
      <c r="AL23" s="135">
        <f>IF($Z23=$Z22,$S27-$T26,0)</f>
        <v>-1</v>
      </c>
      <c r="AM23" s="135"/>
      <c r="AN23" s="135">
        <f>IF($Z23=$Z24,$U27-$T28,0)</f>
        <v>0</v>
      </c>
      <c r="AO23" s="135">
        <f>IF($Z23=$Z25,$V27-$T29,0)</f>
        <v>0</v>
      </c>
      <c r="AP23" s="135">
        <f>SUM(AL23:AO23)</f>
        <v>-1</v>
      </c>
      <c r="AQ23" s="135">
        <f>IF($Z23=$Z22,$S27,0)</f>
        <v>0</v>
      </c>
      <c r="AR23" s="135"/>
      <c r="AS23" s="135">
        <f>IF($Z23=$Z24,$U27,0)</f>
        <v>0</v>
      </c>
      <c r="AT23" s="135">
        <f>IF($Z23=$Z25,$V27,0)</f>
        <v>0</v>
      </c>
      <c r="AU23" s="135">
        <f>SUM(AQ23:AT23)</f>
        <v>0</v>
      </c>
      <c r="AV23" s="184">
        <f>IF(AND(COUNTIF(K23:K28,$B$63)=COUNTA(H23:H28),COUNTIF(K23:K28,$B$63)=COUNTA(J23:J28)),IF(AU23=AU22,S27-T26,IF(AU23=AU24,U27-T28,IF(AU23=AU25,V27-T29,3))),3)</f>
        <v>1</v>
      </c>
      <c r="AW23" s="133"/>
      <c r="BA23" s="2">
        <v>11</v>
      </c>
      <c r="BB23" s="7">
        <v>42535.875</v>
      </c>
      <c r="BC23" s="4" t="s">
        <v>143</v>
      </c>
      <c r="BD23" s="125" t="str">
        <f>BY22</f>
        <v>Portugal</v>
      </c>
      <c r="BE23" s="80" t="s">
        <v>21</v>
      </c>
      <c r="BF23" s="125" t="str">
        <f>BY23</f>
        <v>Island</v>
      </c>
      <c r="BG23" s="124"/>
      <c r="BH23" s="136">
        <f aca="true" ca="1" t="shared" si="10" ref="BH23:BH28">IF($B$64="",1,INT(RAND()*5)+INT(RAND()*3)*INT(RAND()*2))</f>
        <v>1</v>
      </c>
      <c r="BI23" s="13" t="s">
        <v>22</v>
      </c>
      <c r="BJ23" s="136">
        <f aca="true" ca="1" t="shared" si="11" ref="BJ23:BJ28">IF($B$64="",0,INT(RAND()*5)+INT(RAND()*3)*INT(RAND()*2))</f>
        <v>0</v>
      </c>
      <c r="BK23" s="9" t="s">
        <v>23</v>
      </c>
      <c r="BL23" s="1"/>
      <c r="BM23" s="11" t="str">
        <f>VLOOKUP(2,$BX$22:$CC$25,2,FALSE)</f>
        <v>Island</v>
      </c>
      <c r="BN23" s="2">
        <f>VLOOKUP(2,$BX$22:$CC$25,3,FALSE)</f>
        <v>6</v>
      </c>
      <c r="BO23" s="2">
        <f>VLOOKUP(2,$BX$22:$CC$25,4,FALSE)</f>
        <v>2</v>
      </c>
      <c r="BP23" s="2">
        <f>VLOOKUP(2,$BX$22:$CC$25,5,FALSE)</f>
        <v>1</v>
      </c>
      <c r="BQ23" s="2">
        <f>VLOOKUP(2,$BX$22:$CC$25,6,FALSE)</f>
        <v>1</v>
      </c>
      <c r="BS23" s="130">
        <f>IF(BJ23="",0,IF(BK23=$B$63,IF(BH23&lt;BJ23,3,IF(BH23=BJ23,1,0)),0))</f>
        <v>0</v>
      </c>
      <c r="BT23" s="129"/>
      <c r="BU23" s="130">
        <f>IF(BH28="",0,IF(BK28=$B$63,IF(BH28&gt;BJ28,3,IF(BH28=BJ28,1,0)),0))</f>
        <v>3</v>
      </c>
      <c r="BV23" s="130">
        <f>IF(BH26="",0,IF(BK26=$B$63,IF(BH26&gt;BJ26,3,IF(BH26=BJ26,1,0)),0))</f>
        <v>3</v>
      </c>
      <c r="BW23" s="1"/>
      <c r="BX23" s="185">
        <f>RANK(CD23,CD22:CD25)+COUNTIF(CD22:CD23,CD23)-1</f>
        <v>2</v>
      </c>
      <c r="BY23" s="132" t="s">
        <v>185</v>
      </c>
      <c r="BZ23" s="1">
        <f>SUM(BS23:BV23)</f>
        <v>6</v>
      </c>
      <c r="CA23" s="1">
        <f>SUM(BS27:BV27)</f>
        <v>2</v>
      </c>
      <c r="CB23" s="1">
        <f>SUM(BT26:BT29)</f>
        <v>1</v>
      </c>
      <c r="CC23" s="1">
        <f>CA23-CB23</f>
        <v>1</v>
      </c>
      <c r="CD23" s="33">
        <f>IF(BP$28="",CE23*10000000000000000+BZ23*100000000000000+CC23*1000000000000+CA23*10000000000+CK23*100000000+CJ23*1000000+CP23*10000+CU23*100+CV23,CE23*10000000000000000+BZ23*100000000000000+CK23*1000000000000+CJ23*10000000000+CP23*100000000+CU23*1000000+CC23*10000+CA23*100+CV23)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601019996990001</v>
      </c>
      <c r="CE23" s="5"/>
      <c r="CF23" s="34">
        <f>IF($BZ23=$BZ22,$BS23-$BT22,0)</f>
        <v>-3</v>
      </c>
      <c r="CG23" s="34"/>
      <c r="CH23" s="34">
        <f>IF($BZ23=$BZ24,$BU23-$BT24,0)</f>
        <v>0</v>
      </c>
      <c r="CI23" s="34">
        <f>IF($BZ23=$BZ25,$BV23-$BT25,0)</f>
        <v>0</v>
      </c>
      <c r="CJ23" s="34">
        <f>SUM(CF23:CI23)</f>
        <v>-3</v>
      </c>
      <c r="CK23" s="5"/>
      <c r="CL23" s="34">
        <f>IF($BZ23=$BZ22,$BS27-$BT26,0)</f>
        <v>-1</v>
      </c>
      <c r="CM23" s="34"/>
      <c r="CN23" s="34">
        <f>IF($BZ23=$BZ24,$BU27-$BT28,0)</f>
        <v>0</v>
      </c>
      <c r="CO23" s="34">
        <f>IF($BZ23=$BZ25,$BV27-$BT29,0)</f>
        <v>0</v>
      </c>
      <c r="CP23" s="34">
        <f>SUM(CL23:CO23)</f>
        <v>-1</v>
      </c>
      <c r="CQ23" s="34">
        <f>IF($BZ23=$BZ22,$BS27,0)</f>
        <v>0</v>
      </c>
      <c r="CR23" s="34"/>
      <c r="CS23" s="34">
        <f>IF($BZ23=$BZ24,$BU27,0)</f>
        <v>0</v>
      </c>
      <c r="CT23" s="34">
        <f>IF($BZ23=$BZ25,$BV27,0)</f>
        <v>0</v>
      </c>
      <c r="CU23" s="34">
        <f>SUM(CQ23:CT23)</f>
        <v>0</v>
      </c>
      <c r="CV23" s="184">
        <f>IF(AND(COUNTIF(BK23:BK28,$B$63)=COUNTA(BH23:BH28),COUNTIF(BK23:BK28,$B$63)=COUNTA(BJ23:BJ28)),IF(CU23=CU22,BS27-BT26,IF(CU23=CU24,BU27-BT28,IF(CU23=CU25,BV27-BT29,3))),3)</f>
        <v>1</v>
      </c>
    </row>
    <row r="24" spans="1:100" ht="12.75">
      <c r="A24" s="2">
        <v>6</v>
      </c>
      <c r="B24" s="7">
        <v>42533.75</v>
      </c>
      <c r="C24" s="4" t="s">
        <v>145</v>
      </c>
      <c r="D24" s="125" t="str">
        <f>Y24</f>
        <v>Polen</v>
      </c>
      <c r="E24" s="80" t="s">
        <v>21</v>
      </c>
      <c r="F24" s="125" t="str">
        <f>Y25</f>
        <v>Nordirland</v>
      </c>
      <c r="G24" s="124"/>
      <c r="H24" s="137">
        <f ca="1" t="shared" si="8"/>
        <v>1</v>
      </c>
      <c r="I24" s="13" t="s">
        <v>22</v>
      </c>
      <c r="J24" s="136">
        <f ca="1" t="shared" si="9"/>
        <v>0</v>
      </c>
      <c r="K24" s="9" t="s">
        <v>23</v>
      </c>
      <c r="L24" s="1"/>
      <c r="M24" s="11" t="str">
        <f>VLOOKUP(3,$X$22:$AC$25,2,FALSE)</f>
        <v>Polen</v>
      </c>
      <c r="N24" s="2">
        <f>VLOOKUP(3,$X$22:$AC$25,3,FALSE)</f>
        <v>3</v>
      </c>
      <c r="O24" s="2">
        <f>VLOOKUP(3,$X$22:$AC$25,4,FALSE)</f>
        <v>1</v>
      </c>
      <c r="P24" s="2">
        <f>VLOOKUP(3,$X$22:$AC$25,5,FALSE)</f>
        <v>2</v>
      </c>
      <c r="Q24" s="2">
        <f>VLOOKUP(3,$X$22:$AC$25,6,FALSE)</f>
        <v>-1</v>
      </c>
      <c r="S24" s="130">
        <f>IF(J25="",0,IF(K25=$B$63,IF(H25&lt;J25,3,IF(H25=J25,1,0)),0))</f>
        <v>0</v>
      </c>
      <c r="T24" s="130">
        <f>IF(J28="",0,IF(K28=$B$63,IF(H28&lt;J28,3,IF(H28=J28,1,0)),0))</f>
        <v>0</v>
      </c>
      <c r="U24" s="129"/>
      <c r="V24" s="130">
        <f>IF(H24="",0,IF(K24=$B$63,IF(H24&gt;J24,3,IF(H24=J24,1,0)),0))</f>
        <v>3</v>
      </c>
      <c r="W24" s="131"/>
      <c r="X24" s="185">
        <f>RANK(AD24,AD22:AD25)+COUNTIF(AD22:AD24,AD24)-1</f>
        <v>3</v>
      </c>
      <c r="Y24" s="132" t="s">
        <v>190</v>
      </c>
      <c r="Z24" s="131">
        <f>SUM(S24:V24)</f>
        <v>3</v>
      </c>
      <c r="AA24" s="131">
        <f>SUM(S28:V28)</f>
        <v>1</v>
      </c>
      <c r="AB24" s="131">
        <f>SUM(U26:U29)</f>
        <v>2</v>
      </c>
      <c r="AC24" s="131">
        <f>AA24-AB24</f>
        <v>-1</v>
      </c>
      <c r="AD24" s="133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299010003010099</v>
      </c>
      <c r="AE24" s="134"/>
      <c r="AF24" s="135">
        <f>IF($Z24=$Z22,$S24-$U22,0)</f>
        <v>0</v>
      </c>
      <c r="AG24" s="135">
        <f>IF($Z24=$Z23,$T24-$U23,0)</f>
        <v>0</v>
      </c>
      <c r="AH24" s="135"/>
      <c r="AI24" s="135">
        <f>IF($Z24=$Z25,$V24-$U25,0)</f>
        <v>3</v>
      </c>
      <c r="AJ24" s="135">
        <f>SUM(AF24:AI24)</f>
        <v>3</v>
      </c>
      <c r="AK24" s="134"/>
      <c r="AL24" s="135">
        <f>IF($Z24=$Z22,$S28-$U26,0)</f>
        <v>0</v>
      </c>
      <c r="AM24" s="135">
        <f>IF($Z24=$Z23,$T28-$U27,0)</f>
        <v>0</v>
      </c>
      <c r="AN24" s="135"/>
      <c r="AO24" s="135">
        <f>IF($Z24=$Z25,$V28-$U29,0)</f>
        <v>1</v>
      </c>
      <c r="AP24" s="135">
        <f>SUM(AL24:AO24)</f>
        <v>1</v>
      </c>
      <c r="AQ24" s="135">
        <f>IF($Z24=$Z22,$S28,0)</f>
        <v>0</v>
      </c>
      <c r="AR24" s="135">
        <f>IF($Z24=$Z23,$T28,0)</f>
        <v>0</v>
      </c>
      <c r="AS24" s="135"/>
      <c r="AT24" s="135">
        <f>IF($Z24=$Z25,$V28,0)</f>
        <v>1</v>
      </c>
      <c r="AU24" s="135">
        <f>SUM(AQ24:AT24)</f>
        <v>1</v>
      </c>
      <c r="AV24" s="184">
        <f>IF(AND(COUNTIF(K23:K28,$B$63)=COUNTA(H23:H28),COUNTIF(K23:K28,$B$63)=COUNTA(J23:J28)),IF(AU24=AU22,S28-U26,IF(AU24=AU23,T28-U27,IF(AU24=AU25,V28-U29,2))),2)</f>
        <v>-1</v>
      </c>
      <c r="AW24" s="133"/>
      <c r="BA24" s="2">
        <v>12</v>
      </c>
      <c r="BB24" s="4">
        <v>42535.75</v>
      </c>
      <c r="BC24" s="4" t="s">
        <v>142</v>
      </c>
      <c r="BD24" s="125" t="str">
        <f>BY24</f>
        <v>Österreich</v>
      </c>
      <c r="BE24" s="80" t="s">
        <v>21</v>
      </c>
      <c r="BF24" s="125" t="str">
        <f>BY25</f>
        <v>Ungarn</v>
      </c>
      <c r="BG24" s="124"/>
      <c r="BH24" s="137">
        <f ca="1" t="shared" si="10"/>
        <v>1</v>
      </c>
      <c r="BI24" s="13" t="s">
        <v>22</v>
      </c>
      <c r="BJ24" s="136">
        <f ca="1" t="shared" si="11"/>
        <v>0</v>
      </c>
      <c r="BK24" s="9" t="s">
        <v>23</v>
      </c>
      <c r="BL24" s="1"/>
      <c r="BM24" s="11" t="str">
        <f>VLOOKUP(3,$BX$22:$CC$25,2,FALSE)</f>
        <v>Österreich</v>
      </c>
      <c r="BN24" s="2">
        <f>VLOOKUP(3,$BX$22:$CC$25,3,FALSE)</f>
        <v>3</v>
      </c>
      <c r="BO24" s="2">
        <f>VLOOKUP(3,$BX$22:$CC$25,4,FALSE)</f>
        <v>1</v>
      </c>
      <c r="BP24" s="2">
        <f>VLOOKUP(3,$BX$22:$CC$25,5,FALSE)</f>
        <v>2</v>
      </c>
      <c r="BQ24" s="2">
        <f>VLOOKUP(3,$BX$22:$CC$25,6,FALSE)</f>
        <v>-1</v>
      </c>
      <c r="BS24" s="130">
        <f>IF(BJ25="",0,IF(BK25=$B$63,IF(BH25&lt;BJ25,3,IF(BH25=BJ25,1,0)),0))</f>
        <v>0</v>
      </c>
      <c r="BT24" s="130">
        <f>IF(BJ28="",0,IF(BK28=$B$63,IF(BH28&lt;BJ28,3,IF(BH28=BJ28,1,0)),0))</f>
        <v>0</v>
      </c>
      <c r="BU24" s="129"/>
      <c r="BV24" s="130">
        <f>IF(BH24="",0,IF(BK24=$B$63,IF(BH24&gt;BJ24,3,IF(BH24=BJ24,1,0)),0))</f>
        <v>3</v>
      </c>
      <c r="BW24" s="1"/>
      <c r="BX24" s="185">
        <f>RANK(CD24,CD22:CD25)+COUNTIF(CD22:CD24,CD24)-1</f>
        <v>3</v>
      </c>
      <c r="BY24" s="132" t="s">
        <v>183</v>
      </c>
      <c r="BZ24" s="1">
        <f>SUM(BS24:BV24)</f>
        <v>3</v>
      </c>
      <c r="CA24" s="1">
        <f>SUM(BS28:BV28)</f>
        <v>1</v>
      </c>
      <c r="CB24" s="1">
        <f>SUM(BU26:BU29)</f>
        <v>2</v>
      </c>
      <c r="CC24" s="1">
        <f>CA24-CB24</f>
        <v>-1</v>
      </c>
      <c r="CD24" s="33">
        <f>IF(BP$28="",CE24*10000000000000000+BZ24*100000000000000+CC24*1000000000000+CA24*10000000000+CK24*100000000+CJ24*1000000+CP24*10000+CU24*100+CV24,CE24*10000000000000000+BZ24*100000000000000+CK24*1000000000000+CJ24*10000000000+CP24*100000000+CU24*1000000+CC24*10000+CA24*100+CV24)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299010003010099</v>
      </c>
      <c r="CE24" s="5"/>
      <c r="CF24" s="34">
        <f>IF($BZ24=$BZ22,$BS24-$BU22,0)</f>
        <v>0</v>
      </c>
      <c r="CG24" s="34">
        <f>IF($BZ24=$BZ23,$BT24-$BU23,0)</f>
        <v>0</v>
      </c>
      <c r="CH24" s="34"/>
      <c r="CI24" s="34">
        <f>IF($BZ24=$BZ25,$BV24-$BU25,0)</f>
        <v>3</v>
      </c>
      <c r="CJ24" s="34">
        <f>SUM(CF24:CI24)</f>
        <v>3</v>
      </c>
      <c r="CK24" s="5"/>
      <c r="CL24" s="34">
        <f>IF($BZ24=$BZ22,$BS28-$BU26,0)</f>
        <v>0</v>
      </c>
      <c r="CM24" s="34">
        <f>IF($BZ24=$BZ23,$BT28-$BU27,0)</f>
        <v>0</v>
      </c>
      <c r="CN24" s="34"/>
      <c r="CO24" s="34">
        <f>IF($BZ24=$BZ25,$BV28-$BU29,0)</f>
        <v>1</v>
      </c>
      <c r="CP24" s="34">
        <f>SUM(CL24:CO24)</f>
        <v>1</v>
      </c>
      <c r="CQ24" s="34">
        <f>IF($BZ24=$BZ22,$BS28,0)</f>
        <v>0</v>
      </c>
      <c r="CR24" s="34">
        <f>IF($BZ24=$BZ23,$BT28,0)</f>
        <v>0</v>
      </c>
      <c r="CS24" s="34"/>
      <c r="CT24" s="34">
        <f>IF($BZ24=$BZ25,$BV28,0)</f>
        <v>1</v>
      </c>
      <c r="CU24" s="34">
        <f>SUM(CQ24:CT24)</f>
        <v>1</v>
      </c>
      <c r="CV24" s="184">
        <f>IF(AND(COUNTIF(BK23:BK28,$B$63)=COUNTA(BH23:BH28),COUNTIF(BK23:BK28,$B$63)=COUNTA(BJ23:BJ28)),IF(CU24=CU22,BS28-BU26,IF(CU24=CU23,BT28-BU27,IF(CU24=CU25,BV28-BU29,2))),2)</f>
        <v>-1</v>
      </c>
    </row>
    <row r="25" spans="1:100" ht="12.75">
      <c r="A25" s="2">
        <f>A23+12</f>
        <v>17</v>
      </c>
      <c r="B25" s="7">
        <v>42537.875</v>
      </c>
      <c r="C25" s="4" t="s">
        <v>136</v>
      </c>
      <c r="D25" s="125" t="str">
        <f>Y22</f>
        <v>Deutschland</v>
      </c>
      <c r="E25" s="80" t="s">
        <v>21</v>
      </c>
      <c r="F25" s="125" t="str">
        <f>Y24</f>
        <v>Polen</v>
      </c>
      <c r="G25" s="124"/>
      <c r="H25" s="137">
        <f ca="1" t="shared" si="8"/>
        <v>1</v>
      </c>
      <c r="I25" s="13" t="s">
        <v>22</v>
      </c>
      <c r="J25" s="136">
        <f ca="1" t="shared" si="9"/>
        <v>0</v>
      </c>
      <c r="K25" s="9" t="s">
        <v>23</v>
      </c>
      <c r="L25" s="1"/>
      <c r="M25" s="11" t="str">
        <f>VLOOKUP(4,$X$22:$AC$25,2,FALSE)</f>
        <v>Nordirland</v>
      </c>
      <c r="N25" s="2">
        <f>VLOOKUP(4,$X$22:$AC$25,3,FALSE)</f>
        <v>3</v>
      </c>
      <c r="O25" s="2">
        <f>VLOOKUP(4,$X$22:$AC$25,4,FALSE)</f>
        <v>1</v>
      </c>
      <c r="P25" s="2">
        <f>VLOOKUP(4,$X$22:$AC$25,5,FALSE)</f>
        <v>2</v>
      </c>
      <c r="Q25" s="2">
        <f>VLOOKUP(4,$X$22:$AC$25,6,FALSE)</f>
        <v>-1</v>
      </c>
      <c r="S25" s="130">
        <f>IF(H27="",0,IF(K27=$B$63,IF(H27&gt;J27,3,IF(H27=J27,1,0)),0))</f>
        <v>3</v>
      </c>
      <c r="T25" s="130">
        <f>IF(J26="",0,IF(K26=$B$63,IF(H26&lt;J26,3,IF(H26=J26,1,0)),0))</f>
        <v>0</v>
      </c>
      <c r="U25" s="130">
        <f>IF(J24="",0,IF(K24=$B$63,IF(H24&lt;J24,3,IF(H24=J24,1,0)),0))</f>
        <v>0</v>
      </c>
      <c r="V25" s="129"/>
      <c r="W25" s="131"/>
      <c r="X25" s="185">
        <f>RANK(AD25,AD22:AD25)+COUNTIF(AD22:AD25,AD25)-1</f>
        <v>4</v>
      </c>
      <c r="Y25" s="132" t="s">
        <v>188</v>
      </c>
      <c r="Z25" s="131">
        <f>SUM(S25:V25)</f>
        <v>3</v>
      </c>
      <c r="AA25" s="131">
        <f>SUM(S29:V29)</f>
        <v>1</v>
      </c>
      <c r="AB25" s="131">
        <f>SUM(V26:V29)</f>
        <v>2</v>
      </c>
      <c r="AC25" s="131">
        <f>AA25-AB25</f>
        <v>-1</v>
      </c>
      <c r="AD25" s="133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299009996989999</v>
      </c>
      <c r="AE25" s="134"/>
      <c r="AF25" s="135">
        <f>IF($Z25=$Z22,$S25-$V22,0)</f>
        <v>0</v>
      </c>
      <c r="AG25" s="135">
        <f>IF($Z25=$Z23,$T25-$V23,0)</f>
        <v>0</v>
      </c>
      <c r="AH25" s="135">
        <f>IF($Z25=$Z24,$U25-$V24,0)</f>
        <v>-3</v>
      </c>
      <c r="AI25" s="135"/>
      <c r="AJ25" s="135">
        <f>SUM(AF25:AI25)</f>
        <v>-3</v>
      </c>
      <c r="AK25" s="134"/>
      <c r="AL25" s="135">
        <f>IF($Z25=$Z22,$S29-$V26,0)</f>
        <v>0</v>
      </c>
      <c r="AM25" s="135">
        <f>IF($Z25=$Z23,$T29-$V27,0)</f>
        <v>0</v>
      </c>
      <c r="AN25" s="135">
        <f>IF($Z25=$Z24,$U29-$V28,0)</f>
        <v>-1</v>
      </c>
      <c r="AO25" s="135"/>
      <c r="AP25" s="135">
        <f>SUM(AL25:AO25)</f>
        <v>-1</v>
      </c>
      <c r="AQ25" s="135">
        <f>IF($Z25=$Z22,$S29,0)</f>
        <v>0</v>
      </c>
      <c r="AR25" s="135">
        <f>IF($Z25=$Z23,$T29,0)</f>
        <v>0</v>
      </c>
      <c r="AS25" s="135">
        <f>IF($Z25=$Z24,$U29,0)</f>
        <v>0</v>
      </c>
      <c r="AT25" s="135"/>
      <c r="AU25" s="135">
        <f>SUM(AQ25:AT25)</f>
        <v>0</v>
      </c>
      <c r="AV25" s="184">
        <f>IF(AND(COUNTIF(K23:K28,$B$63)=COUNTA(H23:H28),COUNTIF(K23:K28,$B$63)=COUNTA(J23:J28)),IF(AU25=AU22,S29-V26,IF(AU25=AU23,T29-V27,IF(AU25=AU24,U29-V28,1))),1)</f>
        <v>-1</v>
      </c>
      <c r="AW25" s="133"/>
      <c r="BA25" s="2">
        <f>BA23+12</f>
        <v>23</v>
      </c>
      <c r="BB25" s="7">
        <v>42539.875</v>
      </c>
      <c r="BC25" s="4" t="s">
        <v>138</v>
      </c>
      <c r="BD25" s="125" t="str">
        <f>BY22</f>
        <v>Portugal</v>
      </c>
      <c r="BE25" s="80" t="s">
        <v>21</v>
      </c>
      <c r="BF25" s="125" t="str">
        <f>BY24</f>
        <v>Österreich</v>
      </c>
      <c r="BG25" s="124"/>
      <c r="BH25" s="137">
        <f ca="1" t="shared" si="10"/>
        <v>1</v>
      </c>
      <c r="BI25" s="13" t="s">
        <v>22</v>
      </c>
      <c r="BJ25" s="136">
        <f ca="1" t="shared" si="11"/>
        <v>0</v>
      </c>
      <c r="BK25" s="9" t="s">
        <v>23</v>
      </c>
      <c r="BL25" s="1"/>
      <c r="BM25" s="11" t="str">
        <f>VLOOKUP(4,$BX$22:$CC$25,2,FALSE)</f>
        <v>Ungarn</v>
      </c>
      <c r="BN25" s="2">
        <f>VLOOKUP(4,$BX$22:$CC$25,3,FALSE)</f>
        <v>3</v>
      </c>
      <c r="BO25" s="2">
        <f>VLOOKUP(4,$BX$22:$CC$25,4,FALSE)</f>
        <v>1</v>
      </c>
      <c r="BP25" s="2">
        <f>VLOOKUP(4,$BX$22:$CC$25,5,FALSE)</f>
        <v>2</v>
      </c>
      <c r="BQ25" s="2">
        <f>VLOOKUP(4,$BX$22:$CC$25,6,FALSE)</f>
        <v>-1</v>
      </c>
      <c r="BS25" s="130">
        <f>IF(BH27="",0,IF(BK27=$B$63,IF(BH27&gt;BJ27,3,IF(BH27=BJ27,1,0)),0))</f>
        <v>3</v>
      </c>
      <c r="BT25" s="130">
        <f>IF(BJ26="",0,IF(BK26=$B$63,IF(BH26&lt;BJ26,3,IF(BH26=BJ26,1,0)),0))</f>
        <v>0</v>
      </c>
      <c r="BU25" s="130">
        <f>IF(BJ24="",0,IF(BK24=$B$63,IF(BH24&lt;BJ24,3,IF(BH24=BJ24,1,0)),0))</f>
        <v>0</v>
      </c>
      <c r="BV25" s="129"/>
      <c r="BW25" s="1"/>
      <c r="BX25" s="185">
        <f>RANK(CD25,CD22:CD25)+COUNTIF(CD22:CD25,CD25)-1</f>
        <v>4</v>
      </c>
      <c r="BY25" s="132" t="s">
        <v>198</v>
      </c>
      <c r="BZ25" s="1">
        <f>SUM(BS25:BV25)</f>
        <v>3</v>
      </c>
      <c r="CA25" s="1">
        <f>SUM(BS29:BV29)</f>
        <v>1</v>
      </c>
      <c r="CB25" s="1">
        <f>SUM(BV26:BV29)</f>
        <v>2</v>
      </c>
      <c r="CC25" s="1">
        <f>CA25-CB25</f>
        <v>-1</v>
      </c>
      <c r="CD25" s="33">
        <f>IF(BP$28="",CE25*10000000000000000+BZ25*100000000000000+CC25*1000000000000+CA25*10000000000+CK25*100000000+CJ25*1000000+CP25*10000+CU25*100+CV25,CE25*10000000000000000+BZ25*100000000000000+CK25*1000000000000+CJ25*10000000000+CP25*100000000+CU25*1000000+CC25*10000+CA25*100+CV25)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299009996989999</v>
      </c>
      <c r="CE25" s="5"/>
      <c r="CF25" s="34">
        <f>IF($BZ25=$BZ22,$BS25-$BV22,0)</f>
        <v>0</v>
      </c>
      <c r="CG25" s="34">
        <f>IF($BZ25=$BZ23,$BT25-$BV23,0)</f>
        <v>0</v>
      </c>
      <c r="CH25" s="34">
        <f>IF($BZ25=$BZ24,$BU25-$BV24,0)</f>
        <v>-3</v>
      </c>
      <c r="CI25" s="34"/>
      <c r="CJ25" s="34">
        <f>SUM(CF25:CI25)</f>
        <v>-3</v>
      </c>
      <c r="CK25" s="5"/>
      <c r="CL25" s="34">
        <f>IF($BZ25=$BZ22,$BS29-$BV26,0)</f>
        <v>0</v>
      </c>
      <c r="CM25" s="34">
        <f>IF($BZ25=$BZ23,$BT29-$BV27,0)</f>
        <v>0</v>
      </c>
      <c r="CN25" s="34">
        <f>IF($BZ25=$BZ24,$BU29-$BV28,0)</f>
        <v>-1</v>
      </c>
      <c r="CO25" s="34"/>
      <c r="CP25" s="34">
        <f>SUM(CL25:CO25)</f>
        <v>-1</v>
      </c>
      <c r="CQ25" s="34">
        <f>IF($BZ25=$BZ22,$BS29,0)</f>
        <v>0</v>
      </c>
      <c r="CR25" s="34">
        <f>IF($BZ25=$BZ23,$BT29,0)</f>
        <v>0</v>
      </c>
      <c r="CS25" s="34">
        <f>IF($BZ25=$BZ24,$BU29,0)</f>
        <v>0</v>
      </c>
      <c r="CT25" s="34"/>
      <c r="CU25" s="34">
        <f>SUM(CQ25:CT25)</f>
        <v>0</v>
      </c>
      <c r="CV25" s="184">
        <f>IF(AND(COUNTIF(BK23:BK28,$B$63)=COUNTA(BH23:BH28),COUNTIF(BK23:BK28,$B$63)=COUNTA(BJ23:BJ28)),IF(CU25=CU22,BS29-BV26,IF(CU25=CU23,BT29-BV27,IF(CU25=CU24,BU29-BV28,1))),1)</f>
        <v>-1</v>
      </c>
    </row>
    <row r="26" spans="1:100" ht="12.75">
      <c r="A26" s="2">
        <f>A24+12</f>
        <v>18</v>
      </c>
      <c r="B26" s="7">
        <v>42537.75</v>
      </c>
      <c r="C26" s="4" t="s">
        <v>141</v>
      </c>
      <c r="D26" s="125" t="str">
        <f>Y23</f>
        <v>Ukraine</v>
      </c>
      <c r="E26" s="80" t="s">
        <v>21</v>
      </c>
      <c r="F26" s="125" t="str">
        <f>Y25</f>
        <v>Nordirland</v>
      </c>
      <c r="G26" s="124"/>
      <c r="H26" s="137">
        <f ca="1" t="shared" si="8"/>
        <v>1</v>
      </c>
      <c r="I26" s="13" t="s">
        <v>22</v>
      </c>
      <c r="J26" s="136">
        <f ca="1" t="shared" si="9"/>
        <v>0</v>
      </c>
      <c r="K26" s="9" t="s">
        <v>23</v>
      </c>
      <c r="L26" s="1"/>
      <c r="N26" s="1"/>
      <c r="O26" s="1"/>
      <c r="P26" s="1"/>
      <c r="S26" s="129"/>
      <c r="T26" s="130">
        <f>IF(K23=$B$63,H23,0)</f>
        <v>1</v>
      </c>
      <c r="U26" s="130">
        <f>IF(K25=$B$63,H25,0)</f>
        <v>1</v>
      </c>
      <c r="V26" s="130">
        <f>IF(K27=$B$63,J27,0)</f>
        <v>0</v>
      </c>
      <c r="W26" s="131"/>
      <c r="X26" s="131"/>
      <c r="Y26" s="131"/>
      <c r="Z26" s="131"/>
      <c r="AA26" s="131"/>
      <c r="AB26" s="131"/>
      <c r="AC26" s="131"/>
      <c r="AD26" s="138"/>
      <c r="AE26" s="139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V26" s="135"/>
      <c r="AW26" s="133"/>
      <c r="BA26" s="2">
        <f>BA24+12</f>
        <v>24</v>
      </c>
      <c r="BB26" s="7">
        <v>42539.75</v>
      </c>
      <c r="BC26" s="4" t="s">
        <v>139</v>
      </c>
      <c r="BD26" s="125" t="str">
        <f>BY23</f>
        <v>Island</v>
      </c>
      <c r="BE26" s="80" t="s">
        <v>21</v>
      </c>
      <c r="BF26" s="125" t="str">
        <f>BY25</f>
        <v>Ungarn</v>
      </c>
      <c r="BG26" s="124"/>
      <c r="BH26" s="137">
        <f ca="1" t="shared" si="10"/>
        <v>1</v>
      </c>
      <c r="BI26" s="13" t="s">
        <v>22</v>
      </c>
      <c r="BJ26" s="136">
        <f ca="1" t="shared" si="11"/>
        <v>0</v>
      </c>
      <c r="BK26" s="9" t="s">
        <v>23</v>
      </c>
      <c r="BL26" s="1"/>
      <c r="BN26" s="1"/>
      <c r="BO26" s="1"/>
      <c r="BP26" s="1"/>
      <c r="BS26" s="129"/>
      <c r="BT26" s="130">
        <f>IF(BK23=$B$63,BH23,0)</f>
        <v>1</v>
      </c>
      <c r="BU26" s="130">
        <f>IF(BK25=$B$63,BH25,0)</f>
        <v>1</v>
      </c>
      <c r="BV26" s="130">
        <f>IF(BK27=$B$63,BJ27,0)</f>
        <v>0</v>
      </c>
      <c r="BW26" s="1"/>
      <c r="BX26" s="1"/>
      <c r="BY26" s="131"/>
      <c r="BZ26" s="1"/>
      <c r="CA26" s="1"/>
      <c r="CB26" s="1"/>
      <c r="CC26" s="1"/>
      <c r="CD26" s="6"/>
      <c r="CE26" s="9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V26" s="34"/>
    </row>
    <row r="27" spans="1:100" ht="12.75">
      <c r="A27" s="2">
        <f>A25+12</f>
        <v>29</v>
      </c>
      <c r="B27" s="7">
        <v>42542.75</v>
      </c>
      <c r="C27" s="4" t="s">
        <v>138</v>
      </c>
      <c r="D27" s="125" t="str">
        <f>Y25</f>
        <v>Nordirland</v>
      </c>
      <c r="E27" s="80" t="s">
        <v>21</v>
      </c>
      <c r="F27" s="125" t="str">
        <f>Y22</f>
        <v>Deutschland</v>
      </c>
      <c r="G27" s="123"/>
      <c r="H27" s="136">
        <f ca="1" t="shared" si="8"/>
        <v>1</v>
      </c>
      <c r="I27" s="13" t="s">
        <v>22</v>
      </c>
      <c r="J27" s="137">
        <f ca="1" t="shared" si="9"/>
        <v>0</v>
      </c>
      <c r="K27" s="9" t="s">
        <v>23</v>
      </c>
      <c r="M27" s="72" t="str">
        <f>IF(N22&gt;0,M22,"")</f>
        <v>Deutschland</v>
      </c>
      <c r="N27" s="2" t="s">
        <v>30</v>
      </c>
      <c r="P27" s="51"/>
      <c r="S27" s="130">
        <f>IF(K23=$B$63,J23,0)</f>
        <v>0</v>
      </c>
      <c r="T27" s="129"/>
      <c r="U27" s="130">
        <f>IF(K28=$B$63,H28,0)</f>
        <v>1</v>
      </c>
      <c r="V27" s="130">
        <f>IF(K26=$B$63,H26,0)</f>
        <v>1</v>
      </c>
      <c r="AD27" s="123" t="s">
        <v>119</v>
      </c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V27" s="141"/>
      <c r="AW27" s="133"/>
      <c r="BA27" s="2">
        <f>BA25+12</f>
        <v>35</v>
      </c>
      <c r="BB27" s="7">
        <v>42543.75</v>
      </c>
      <c r="BC27" s="4" t="s">
        <v>141</v>
      </c>
      <c r="BD27" s="125" t="str">
        <f>BY25</f>
        <v>Ungarn</v>
      </c>
      <c r="BE27" s="80" t="s">
        <v>21</v>
      </c>
      <c r="BF27" s="125" t="str">
        <f>BY22</f>
        <v>Portugal</v>
      </c>
      <c r="BG27" s="123"/>
      <c r="BH27" s="136">
        <f ca="1" t="shared" si="10"/>
        <v>1</v>
      </c>
      <c r="BI27" s="13" t="s">
        <v>22</v>
      </c>
      <c r="BJ27" s="137">
        <f ca="1" t="shared" si="11"/>
        <v>0</v>
      </c>
      <c r="BK27" s="9" t="s">
        <v>23</v>
      </c>
      <c r="BM27" s="75" t="str">
        <f>IF(BN22&gt;0,BM22,"")</f>
        <v>Portugal</v>
      </c>
      <c r="BN27" s="2" t="s">
        <v>39</v>
      </c>
      <c r="BP27" s="51"/>
      <c r="BS27" s="130">
        <f>IF(BK23=$B$63,BJ23,0)</f>
        <v>0</v>
      </c>
      <c r="BT27" s="129"/>
      <c r="BU27" s="130">
        <f>IF(BK28=$B$63,BH28,0)</f>
        <v>1</v>
      </c>
      <c r="BV27" s="130">
        <f>IF(BK26=$B$63,BH26,0)</f>
        <v>1</v>
      </c>
      <c r="CD27" s="2" t="s">
        <v>119</v>
      </c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V27" s="35"/>
    </row>
    <row r="28" spans="1:100" ht="12.75">
      <c r="A28" s="2">
        <f>A26+12</f>
        <v>30</v>
      </c>
      <c r="B28" s="7">
        <v>42542.75</v>
      </c>
      <c r="C28" s="4" t="s">
        <v>139</v>
      </c>
      <c r="D28" s="125" t="str">
        <f>Y23</f>
        <v>Ukraine</v>
      </c>
      <c r="E28" s="80" t="s">
        <v>21</v>
      </c>
      <c r="F28" s="125" t="str">
        <f>Y24</f>
        <v>Polen</v>
      </c>
      <c r="G28" s="123"/>
      <c r="H28" s="137">
        <f ca="1" t="shared" si="8"/>
        <v>1</v>
      </c>
      <c r="I28" s="13" t="s">
        <v>22</v>
      </c>
      <c r="J28" s="137">
        <f ca="1" t="shared" si="9"/>
        <v>0</v>
      </c>
      <c r="K28" s="9" t="s">
        <v>23</v>
      </c>
      <c r="M28" s="72" t="str">
        <f>IF(N23&gt;0,M23,"")</f>
        <v>Ukraine</v>
      </c>
      <c r="N28" s="2" t="s">
        <v>31</v>
      </c>
      <c r="O28" s="52"/>
      <c r="P28" s="53"/>
      <c r="S28" s="130">
        <f>IF(K25=$B$63,J25,0)</f>
        <v>0</v>
      </c>
      <c r="T28" s="130">
        <f>IF(K28=$B$63,J28,0)</f>
        <v>0</v>
      </c>
      <c r="U28" s="129"/>
      <c r="V28" s="130">
        <f>IF(K24=$B$63,H24,0)</f>
        <v>1</v>
      </c>
      <c r="AD28" s="123" t="s">
        <v>120</v>
      </c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V28" s="141"/>
      <c r="AW28" s="133"/>
      <c r="BA28" s="2">
        <f>BA26+12</f>
        <v>36</v>
      </c>
      <c r="BB28" s="7">
        <v>42543.75</v>
      </c>
      <c r="BC28" s="4" t="s">
        <v>136</v>
      </c>
      <c r="BD28" s="125" t="str">
        <f>BY23</f>
        <v>Island</v>
      </c>
      <c r="BE28" s="80" t="s">
        <v>21</v>
      </c>
      <c r="BF28" s="125" t="str">
        <f>BY24</f>
        <v>Österreich</v>
      </c>
      <c r="BG28" s="123"/>
      <c r="BH28" s="137">
        <f ca="1" t="shared" si="10"/>
        <v>1</v>
      </c>
      <c r="BI28" s="13" t="s">
        <v>22</v>
      </c>
      <c r="BJ28" s="137">
        <f ca="1" t="shared" si="11"/>
        <v>0</v>
      </c>
      <c r="BK28" s="9" t="s">
        <v>23</v>
      </c>
      <c r="BM28" s="75" t="str">
        <f>IF(BN23&gt;0,BM23,"")</f>
        <v>Island</v>
      </c>
      <c r="BN28" s="2" t="s">
        <v>40</v>
      </c>
      <c r="BO28" s="52"/>
      <c r="BP28" s="53"/>
      <c r="BS28" s="130">
        <f>IF(BK25=$B$63,BJ25,0)</f>
        <v>0</v>
      </c>
      <c r="BT28" s="130">
        <f>IF(BK28=$B$63,BJ28,0)</f>
        <v>0</v>
      </c>
      <c r="BU28" s="129"/>
      <c r="BV28" s="130">
        <f>IF(BK24=$B$63,BH24,0)</f>
        <v>1</v>
      </c>
      <c r="CD28" s="2" t="s">
        <v>120</v>
      </c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V28" s="35"/>
    </row>
    <row r="29" spans="4:100" ht="12.75">
      <c r="D29" s="123"/>
      <c r="E29" s="123"/>
      <c r="F29" s="123"/>
      <c r="G29" s="123"/>
      <c r="M29" s="72" t="str">
        <f>IF(N24&gt;0,M24,"")</f>
        <v>Polen</v>
      </c>
      <c r="N29" s="2" t="s">
        <v>74</v>
      </c>
      <c r="S29" s="130">
        <f>IF(K27=$B$63,H27,0)</f>
        <v>1</v>
      </c>
      <c r="T29" s="130">
        <f>IF(K26=$B$63,J26,0)</f>
        <v>0</v>
      </c>
      <c r="U29" s="130">
        <f>IF(K24=$B$63,J24,0)</f>
        <v>0</v>
      </c>
      <c r="V29" s="129"/>
      <c r="AD29" s="2" t="s">
        <v>200</v>
      </c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V29" s="141"/>
      <c r="AW29" s="133"/>
      <c r="BD29" s="123"/>
      <c r="BE29" s="123"/>
      <c r="BF29" s="123"/>
      <c r="BG29" s="123"/>
      <c r="BM29" s="75" t="str">
        <f>IF(BN24&gt;0,BM24,"")</f>
        <v>Österreich</v>
      </c>
      <c r="BN29" s="2" t="s">
        <v>75</v>
      </c>
      <c r="BS29" s="130">
        <f>IF(BK27=$B$63,BH27,0)</f>
        <v>1</v>
      </c>
      <c r="BT29" s="130">
        <f>IF(BK26=$B$63,BJ26,0)</f>
        <v>0</v>
      </c>
      <c r="BU29" s="130">
        <f>IF(BK24=$B$63,BJ24,0)</f>
        <v>0</v>
      </c>
      <c r="BV29" s="129"/>
      <c r="CD29" s="2" t="s">
        <v>200</v>
      </c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V29" s="35"/>
    </row>
    <row r="30" spans="4:100" ht="6" customHeight="1">
      <c r="D30" s="123"/>
      <c r="E30" s="126"/>
      <c r="F30" s="128"/>
      <c r="G30" s="128"/>
      <c r="H30" s="123"/>
      <c r="I30" s="123"/>
      <c r="J30" s="123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V30" s="141"/>
      <c r="AW30" s="133"/>
      <c r="BD30" s="123"/>
      <c r="BE30" s="126"/>
      <c r="BF30" s="128"/>
      <c r="BG30" s="128"/>
      <c r="BH30" s="123"/>
      <c r="BI30" s="123"/>
      <c r="BJ30" s="123"/>
      <c r="BS30" s="123"/>
      <c r="BT30" s="123"/>
      <c r="BU30" s="123"/>
      <c r="BV30" s="123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V30" s="35"/>
    </row>
    <row r="31" spans="2:95" ht="12.75" hidden="1">
      <c r="B31" s="67" t="s">
        <v>118</v>
      </c>
      <c r="C31" s="122" t="str">
        <f>CONCATENATE(D35,D36,D37,D38)</f>
        <v>ABCD</v>
      </c>
      <c r="AW31" s="133"/>
      <c r="BJ31"/>
      <c r="BK31"/>
      <c r="BL31"/>
      <c r="BM31"/>
      <c r="BN31"/>
      <c r="BO31"/>
      <c r="BP31"/>
      <c r="BQ31"/>
      <c r="BR31"/>
      <c r="BS31" s="116"/>
      <c r="BT31" s="116"/>
      <c r="BU31" s="116"/>
      <c r="CE31"/>
      <c r="CF31" s="116" t="s">
        <v>27</v>
      </c>
      <c r="CG31" s="116"/>
      <c r="CH31" s="116"/>
      <c r="CI31" t="s">
        <v>24</v>
      </c>
      <c r="CJ31"/>
      <c r="CK31"/>
      <c r="CL31" t="s">
        <v>33</v>
      </c>
      <c r="CM31"/>
      <c r="CN31"/>
      <c r="CO31" t="s">
        <v>30</v>
      </c>
      <c r="CP31"/>
      <c r="CQ31"/>
    </row>
    <row r="32" spans="13:95" ht="12.75" hidden="1">
      <c r="M32" s="69" t="s">
        <v>128</v>
      </c>
      <c r="AW32" s="133"/>
      <c r="BJ32"/>
      <c r="BK32"/>
      <c r="BL32"/>
      <c r="BM32"/>
      <c r="BN32"/>
      <c r="BO32"/>
      <c r="BP32"/>
      <c r="BQ32"/>
      <c r="BR32"/>
      <c r="BS32" s="143"/>
      <c r="BT32" s="143"/>
      <c r="BU32" s="143"/>
      <c r="CE32"/>
      <c r="CF32" s="116" t="s">
        <v>97</v>
      </c>
      <c r="CG32" s="116" t="s">
        <v>98</v>
      </c>
      <c r="CH32" s="116" t="s">
        <v>99</v>
      </c>
      <c r="CI32" t="s">
        <v>98</v>
      </c>
      <c r="CJ32" t="s">
        <v>99</v>
      </c>
      <c r="CK32" t="s">
        <v>100</v>
      </c>
      <c r="CL32" t="s">
        <v>101</v>
      </c>
      <c r="CM32" t="s">
        <v>100</v>
      </c>
      <c r="CN32" t="s">
        <v>102</v>
      </c>
      <c r="CO32" t="s">
        <v>97</v>
      </c>
      <c r="CP32" t="s">
        <v>101</v>
      </c>
      <c r="CQ32" t="s">
        <v>102</v>
      </c>
    </row>
    <row r="33" spans="4:98" ht="12.75" hidden="1">
      <c r="D33" s="31" t="s">
        <v>129</v>
      </c>
      <c r="F33" s="31" t="s">
        <v>130</v>
      </c>
      <c r="M33" s="69"/>
      <c r="AW33" s="133"/>
      <c r="BJ33"/>
      <c r="BK33"/>
      <c r="BL33"/>
      <c r="BM33"/>
      <c r="BN33"/>
      <c r="BO33"/>
      <c r="BP33"/>
      <c r="BQ33"/>
      <c r="BR33"/>
      <c r="BS33" s="143"/>
      <c r="BT33" s="143"/>
      <c r="BU33" s="143"/>
      <c r="CE33"/>
      <c r="CF33" s="144" t="s">
        <v>83</v>
      </c>
      <c r="CG33" s="144" t="s">
        <v>94</v>
      </c>
      <c r="CH33" s="144" t="s">
        <v>82</v>
      </c>
      <c r="CI33" s="145" t="s">
        <v>82</v>
      </c>
      <c r="CJ33" s="145" t="s">
        <v>85</v>
      </c>
      <c r="CK33" s="145" t="s">
        <v>87</v>
      </c>
      <c r="CL33" s="145" t="s">
        <v>82</v>
      </c>
      <c r="CM33" s="145" t="s">
        <v>83</v>
      </c>
      <c r="CN33" s="145" t="s">
        <v>84</v>
      </c>
      <c r="CO33" s="145" t="s">
        <v>82</v>
      </c>
      <c r="CP33" s="145" t="s">
        <v>83</v>
      </c>
      <c r="CQ33" s="145" t="s">
        <v>90</v>
      </c>
      <c r="CR33" s="144"/>
      <c r="CS33" s="144"/>
      <c r="CT33" s="144"/>
    </row>
    <row r="34" spans="1:100" s="12" customFormat="1" ht="12.75" hidden="1">
      <c r="A34" s="32"/>
      <c r="D34" s="24" t="s">
        <v>131</v>
      </c>
      <c r="F34" s="24" t="s">
        <v>97</v>
      </c>
      <c r="L34" s="24"/>
      <c r="M34" s="69" t="s">
        <v>3</v>
      </c>
      <c r="N34" s="24" t="s">
        <v>4</v>
      </c>
      <c r="O34" s="24" t="s">
        <v>5</v>
      </c>
      <c r="P34" s="24" t="s">
        <v>6</v>
      </c>
      <c r="Q34" s="24" t="s">
        <v>7</v>
      </c>
      <c r="R34" s="24" t="s">
        <v>8</v>
      </c>
      <c r="S34" s="128"/>
      <c r="T34" s="128" t="s">
        <v>98</v>
      </c>
      <c r="U34" s="128"/>
      <c r="V34" s="128"/>
      <c r="W34" s="128"/>
      <c r="X34" s="124" t="s">
        <v>122</v>
      </c>
      <c r="Y34" s="128" t="s">
        <v>118</v>
      </c>
      <c r="Z34" s="128"/>
      <c r="AA34" s="128"/>
      <c r="AB34" s="128"/>
      <c r="AC34" s="128"/>
      <c r="AD34" s="128"/>
      <c r="AE34" s="27" t="s">
        <v>10</v>
      </c>
      <c r="AF34" s="124" t="s">
        <v>8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5" t="s">
        <v>18</v>
      </c>
      <c r="AW34" s="128"/>
      <c r="BJ34"/>
      <c r="BK34"/>
      <c r="BL34"/>
      <c r="BM34"/>
      <c r="BN34"/>
      <c r="BO34"/>
      <c r="BP34"/>
      <c r="BQ34"/>
      <c r="BR34"/>
      <c r="BS34" s="143"/>
      <c r="BT34" s="143"/>
      <c r="BU34" s="143"/>
      <c r="CE34"/>
      <c r="CF34" s="144" t="s">
        <v>84</v>
      </c>
      <c r="CG34" s="144"/>
      <c r="CH34" s="144" t="s">
        <v>88</v>
      </c>
      <c r="CI34" s="145" t="s">
        <v>83</v>
      </c>
      <c r="CJ34" s="145" t="s">
        <v>86</v>
      </c>
      <c r="CK34" s="145" t="s">
        <v>94</v>
      </c>
      <c r="CL34" s="145"/>
      <c r="CM34" s="145" t="s">
        <v>85</v>
      </c>
      <c r="CN34" s="145" t="s">
        <v>86</v>
      </c>
      <c r="CO34" s="145" t="s">
        <v>88</v>
      </c>
      <c r="CP34" s="145" t="s">
        <v>84</v>
      </c>
      <c r="CQ34" s="145" t="s">
        <v>91</v>
      </c>
      <c r="CV34" s="2"/>
    </row>
    <row r="35" spans="1:95" ht="12.75" hidden="1">
      <c r="A35" s="33"/>
      <c r="B35" s="67" t="str">
        <f>CONCATENATE("3",D35)</f>
        <v>3A</v>
      </c>
      <c r="C35" s="68" t="str">
        <f>IF(AND(N$35=0,N$36=0,N$37=0,N$38=0),"",VLOOKUP(1,$F$35:$M$43,8,FALSE))</f>
        <v>Albanien</v>
      </c>
      <c r="D35" s="1" t="str">
        <f>IF(AND(N$35=0,N$36=0,N$37=0,N$38=0),"",VLOOKUP(1,$F$35:$M$38,7,FALSE))</f>
        <v>A</v>
      </c>
      <c r="F35" s="1">
        <f>RANK(T35,$T$35:$T$38)</f>
        <v>1</v>
      </c>
      <c r="I35" s="2"/>
      <c r="K35" s="11"/>
      <c r="L35" s="158" t="str">
        <f aca="true" t="shared" si="12" ref="L35:L40">MID(R35,2,1)</f>
        <v>A</v>
      </c>
      <c r="M35" s="158" t="str">
        <f>VLOOKUP(1,$X$35:$AC$40,2,FALSE)</f>
        <v>Albanien</v>
      </c>
      <c r="N35" s="2">
        <f>VLOOKUP(1,$X$35:$AC$40,3,FALSE)</f>
        <v>3</v>
      </c>
      <c r="O35" s="2">
        <f>VLOOKUP(1,$X$35:$AC$40,4,FALSE)</f>
        <v>1</v>
      </c>
      <c r="P35" s="2">
        <f>VLOOKUP(1,$X$35:$AC$40,5,FALSE)</f>
        <v>2</v>
      </c>
      <c r="Q35" s="2">
        <f>VLOOKUP(1,$X$35:$AC$40,6,FALSE)</f>
        <v>-1</v>
      </c>
      <c r="R35" s="21" t="str">
        <f>VLOOKUP(1,$X$35:$AF$40,9,FALSE)</f>
        <v>3A</v>
      </c>
      <c r="T35" s="123">
        <f>71-CODE(L35)</f>
        <v>6</v>
      </c>
      <c r="X35" s="131">
        <f aca="true" t="shared" si="13" ref="X35:X40">RANK(AD35,$AD$35:$AD$40)</f>
        <v>1</v>
      </c>
      <c r="Y35" s="146" t="str">
        <f>M4</f>
        <v>Albanien</v>
      </c>
      <c r="Z35" s="123">
        <f>N4</f>
        <v>3</v>
      </c>
      <c r="AA35" s="123">
        <f>O4</f>
        <v>1</v>
      </c>
      <c r="AB35" s="123">
        <f>P4</f>
        <v>2</v>
      </c>
      <c r="AC35" s="123">
        <f>Q4</f>
        <v>-1</v>
      </c>
      <c r="AD35" s="133">
        <f aca="true" t="shared" si="14" ref="AD35:AD40">AE35*10000000000000000+Z35*100000000000000+AC35*1000000000000+AA35*10000000000+AV35</f>
        <v>299010000000006</v>
      </c>
      <c r="AE35" s="134"/>
      <c r="AF35" s="123" t="str">
        <f>N9</f>
        <v>3A</v>
      </c>
      <c r="AV35" s="134">
        <v>6</v>
      </c>
      <c r="BJ35"/>
      <c r="BK35"/>
      <c r="BL35"/>
      <c r="BM35"/>
      <c r="BN35"/>
      <c r="BO35"/>
      <c r="BP35"/>
      <c r="BQ35"/>
      <c r="BR35"/>
      <c r="BS35" s="143"/>
      <c r="BT35" s="143"/>
      <c r="BU35" s="143"/>
      <c r="CE35"/>
      <c r="CF35" s="144" t="s">
        <v>85</v>
      </c>
      <c r="CG35" s="144"/>
      <c r="CH35" s="144" t="s">
        <v>89</v>
      </c>
      <c r="CI35" s="145" t="s">
        <v>84</v>
      </c>
      <c r="CJ35" s="145" t="s">
        <v>91</v>
      </c>
      <c r="CK35" s="145" t="s">
        <v>95</v>
      </c>
      <c r="CL35" s="145"/>
      <c r="CM35" s="145" t="s">
        <v>88</v>
      </c>
      <c r="CN35" s="145" t="s">
        <v>87</v>
      </c>
      <c r="CO35" s="145" t="s">
        <v>89</v>
      </c>
      <c r="CP35" s="145" t="s">
        <v>85</v>
      </c>
      <c r="CQ35" s="145" t="s">
        <v>96</v>
      </c>
    </row>
    <row r="36" spans="1:95" ht="12.75" hidden="1">
      <c r="A36" s="33"/>
      <c r="B36" s="67" t="str">
        <f>CONCATENATE("3",D36)</f>
        <v>3B</v>
      </c>
      <c r="C36" s="68" t="str">
        <f>IF(AND(N$35=0,N$36=0,N$37=0,N$38=0),"",VLOOKUP(2,$F$35:$M$43,8,FALSE))</f>
        <v>Wales</v>
      </c>
      <c r="D36" s="1" t="str">
        <f>IF(AND(N$35=0,N$36=0,N$37=0,N$38=0),"",VLOOKUP(2,$F$35:$M$38,7,FALSE))</f>
        <v>B</v>
      </c>
      <c r="F36" s="1">
        <f>RANK(T36,$T$35:$T$38)</f>
        <v>2</v>
      </c>
      <c r="I36" s="2"/>
      <c r="K36" s="11"/>
      <c r="L36" s="158" t="str">
        <f t="shared" si="12"/>
        <v>B</v>
      </c>
      <c r="M36" s="158" t="str">
        <f>VLOOKUP(2,$X$35:$AC$40,2,FALSE)</f>
        <v>Wales</v>
      </c>
      <c r="N36" s="2">
        <f>VLOOKUP(2,$X$35:$AC$40,3,FALSE)</f>
        <v>3</v>
      </c>
      <c r="O36" s="2">
        <f>VLOOKUP(2,$X$35:$AC$40,4,FALSE)</f>
        <v>1</v>
      </c>
      <c r="P36" s="2">
        <f>VLOOKUP(2,$X$35:$AC$40,5,FALSE)</f>
        <v>2</v>
      </c>
      <c r="Q36" s="2">
        <f>VLOOKUP(2,$X$35:$AC$40,6,FALSE)</f>
        <v>-1</v>
      </c>
      <c r="R36" s="21" t="str">
        <f>VLOOKUP(2,$X$35:$AF$40,9,FALSE)</f>
        <v>3B</v>
      </c>
      <c r="T36" s="123">
        <f>71-CODE(L36)</f>
        <v>5</v>
      </c>
      <c r="X36" s="131">
        <f t="shared" si="13"/>
        <v>2</v>
      </c>
      <c r="Y36" s="146" t="str">
        <f>M14</f>
        <v>Wales</v>
      </c>
      <c r="Z36" s="123">
        <f>N14</f>
        <v>3</v>
      </c>
      <c r="AA36" s="123">
        <f>O14</f>
        <v>1</v>
      </c>
      <c r="AB36" s="123">
        <f>P14</f>
        <v>2</v>
      </c>
      <c r="AC36" s="123">
        <f>Q14</f>
        <v>-1</v>
      </c>
      <c r="AD36" s="133">
        <f t="shared" si="14"/>
        <v>299010000000005</v>
      </c>
      <c r="AE36" s="134"/>
      <c r="AF36" s="123" t="str">
        <f>N19</f>
        <v>3B</v>
      </c>
      <c r="AV36" s="134">
        <v>5</v>
      </c>
      <c r="BJ36"/>
      <c r="BK36"/>
      <c r="BL36"/>
      <c r="BM36"/>
      <c r="BN36"/>
      <c r="BO36"/>
      <c r="BP36"/>
      <c r="BQ36"/>
      <c r="BR36"/>
      <c r="BS36" s="143"/>
      <c r="BT36" s="143"/>
      <c r="BU36" s="143"/>
      <c r="CE36"/>
      <c r="CF36" s="144" t="s">
        <v>86</v>
      </c>
      <c r="CG36" s="144"/>
      <c r="CH36" s="144" t="s">
        <v>92</v>
      </c>
      <c r="CI36" s="145" t="s">
        <v>88</v>
      </c>
      <c r="CJ36" s="145"/>
      <c r="CK36" s="145"/>
      <c r="CL36" s="145"/>
      <c r="CM36" s="145" t="s">
        <v>90</v>
      </c>
      <c r="CN36" s="145" t="s">
        <v>89</v>
      </c>
      <c r="CO36" s="145"/>
      <c r="CP36" s="145" t="s">
        <v>86</v>
      </c>
      <c r="CQ36" s="145"/>
    </row>
    <row r="37" spans="1:95" ht="12.75" hidden="1">
      <c r="A37" s="33"/>
      <c r="B37" s="67" t="str">
        <f>CONCATENATE("3",D37)</f>
        <v>3C</v>
      </c>
      <c r="C37" s="68" t="str">
        <f>IF(AND(N$35=0,N$36=0,N$37=0,N$38=0),"",VLOOKUP(3,$F$35:$M$43,8,FALSE))</f>
        <v>Polen</v>
      </c>
      <c r="D37" s="1" t="str">
        <f>IF(AND(N$35=0,N$36=0,N$37=0,N$38=0),"",VLOOKUP(3,$F$35:$M$38,7,FALSE))</f>
        <v>C</v>
      </c>
      <c r="F37" s="1">
        <f>RANK(T37,$T$35:$T$38)</f>
        <v>3</v>
      </c>
      <c r="I37" s="2"/>
      <c r="K37" s="11"/>
      <c r="L37" s="158" t="str">
        <f t="shared" si="12"/>
        <v>C</v>
      </c>
      <c r="M37" s="158" t="str">
        <f>VLOOKUP(3,$X$35:$AC$40,2,FALSE)</f>
        <v>Polen</v>
      </c>
      <c r="N37" s="2">
        <f>VLOOKUP(3,$X$35:$AC$40,3,FALSE)</f>
        <v>3</v>
      </c>
      <c r="O37" s="2">
        <f>VLOOKUP(3,$X$35:$AC$40,4,FALSE)</f>
        <v>1</v>
      </c>
      <c r="P37" s="2">
        <f>VLOOKUP(3,$X$35:$AC$40,5,FALSE)</f>
        <v>2</v>
      </c>
      <c r="Q37" s="2">
        <f>VLOOKUP(3,$X$35:$AC$40,6,FALSE)</f>
        <v>-1</v>
      </c>
      <c r="R37" s="21" t="str">
        <f>VLOOKUP(3,$X$35:$AF$40,9,FALSE)</f>
        <v>3C</v>
      </c>
      <c r="T37" s="123">
        <f>71-CODE(L37)</f>
        <v>4</v>
      </c>
      <c r="X37" s="131">
        <f t="shared" si="13"/>
        <v>3</v>
      </c>
      <c r="Y37" s="146" t="str">
        <f>M24</f>
        <v>Polen</v>
      </c>
      <c r="Z37" s="123">
        <f>N24</f>
        <v>3</v>
      </c>
      <c r="AA37" s="123">
        <f>O24</f>
        <v>1</v>
      </c>
      <c r="AB37" s="123">
        <f>P24</f>
        <v>2</v>
      </c>
      <c r="AC37" s="123">
        <f>Q24</f>
        <v>-1</v>
      </c>
      <c r="AD37" s="133">
        <f t="shared" si="14"/>
        <v>299010000000004</v>
      </c>
      <c r="AE37" s="134"/>
      <c r="AF37" s="123" t="str">
        <f>N29</f>
        <v>3C</v>
      </c>
      <c r="AV37" s="134">
        <v>4</v>
      </c>
      <c r="BJ37"/>
      <c r="BK37"/>
      <c r="BL37"/>
      <c r="BM37"/>
      <c r="BN37"/>
      <c r="BO37"/>
      <c r="BP37"/>
      <c r="BQ37"/>
      <c r="BR37"/>
      <c r="BS37" s="143"/>
      <c r="BT37" s="143"/>
      <c r="BU37" s="143"/>
      <c r="CE37"/>
      <c r="CF37" s="144" t="s">
        <v>87</v>
      </c>
      <c r="CG37" s="144"/>
      <c r="CH37" s="144" t="s">
        <v>93</v>
      </c>
      <c r="CI37" s="145" t="s">
        <v>89</v>
      </c>
      <c r="CJ37" s="145"/>
      <c r="CK37" s="145"/>
      <c r="CL37" s="145"/>
      <c r="CM37" s="145" t="s">
        <v>91</v>
      </c>
      <c r="CN37" s="145" t="s">
        <v>93</v>
      </c>
      <c r="CO37" s="145"/>
      <c r="CP37" s="145" t="s">
        <v>87</v>
      </c>
      <c r="CQ37" s="145"/>
    </row>
    <row r="38" spans="1:95" ht="12.75" hidden="1">
      <c r="A38" s="33"/>
      <c r="B38" s="67" t="str">
        <f>CONCATENATE("3",D38)</f>
        <v>3D</v>
      </c>
      <c r="C38" s="68" t="str">
        <f>IF(AND(N$35=0,N$36=0,N$37=0,N$38=0),"",VLOOKUP(4,$F$35:$M$43,8,FALSE))</f>
        <v>Türkei</v>
      </c>
      <c r="D38" s="1" t="str">
        <f>IF(AND(N$35=0,N$36=0,N$37=0,N$38=0),"",VLOOKUP(4,$F$35:$M$38,7,FALSE))</f>
        <v>D</v>
      </c>
      <c r="F38" s="1">
        <f>RANK(T38,$T$35:$T$38)</f>
        <v>4</v>
      </c>
      <c r="I38" s="2"/>
      <c r="K38" s="11"/>
      <c r="L38" s="158" t="str">
        <f t="shared" si="12"/>
        <v>D</v>
      </c>
      <c r="M38" s="158" t="str">
        <f>VLOOKUP(4,$X$35:$AC$40,2,FALSE)</f>
        <v>Türkei</v>
      </c>
      <c r="N38" s="2">
        <f>VLOOKUP(4,$X$35:$AC$40,3,FALSE)</f>
        <v>3</v>
      </c>
      <c r="O38" s="2">
        <f>VLOOKUP(4,$X$35:$AC$40,4,FALSE)</f>
        <v>1</v>
      </c>
      <c r="P38" s="2">
        <f>VLOOKUP(4,$X$35:$AC$40,5,FALSE)</f>
        <v>2</v>
      </c>
      <c r="Q38" s="2">
        <f>VLOOKUP(4,$X$35:$AC$40,6,FALSE)</f>
        <v>-1</v>
      </c>
      <c r="R38" s="21" t="str">
        <f>VLOOKUP(4,$X$35:$AF$40,9,FALSE)</f>
        <v>3D</v>
      </c>
      <c r="T38" s="123">
        <f>71-CODE(L38)</f>
        <v>3</v>
      </c>
      <c r="X38" s="131">
        <f t="shared" si="13"/>
        <v>4</v>
      </c>
      <c r="Y38" s="146" t="str">
        <f>BM4</f>
        <v>Türkei</v>
      </c>
      <c r="Z38" s="123">
        <f>BN4</f>
        <v>3</v>
      </c>
      <c r="AA38" s="123">
        <f>BO4</f>
        <v>1</v>
      </c>
      <c r="AB38" s="123">
        <f>BP4</f>
        <v>2</v>
      </c>
      <c r="AC38" s="123">
        <f>BQ4</f>
        <v>-1</v>
      </c>
      <c r="AD38" s="133">
        <f t="shared" si="14"/>
        <v>299010000000003</v>
      </c>
      <c r="AE38" s="134"/>
      <c r="AF38" s="123" t="str">
        <f>BN9</f>
        <v>3D</v>
      </c>
      <c r="AV38" s="134">
        <v>3</v>
      </c>
      <c r="BJ38"/>
      <c r="BK38"/>
      <c r="BL38"/>
      <c r="BM38"/>
      <c r="BN38"/>
      <c r="BO38"/>
      <c r="BP38"/>
      <c r="BQ38"/>
      <c r="BR38"/>
      <c r="BS38" s="143"/>
      <c r="BT38" s="143"/>
      <c r="BU38" s="143"/>
      <c r="CE38"/>
      <c r="CF38" s="144" t="s">
        <v>90</v>
      </c>
      <c r="CG38" s="144"/>
      <c r="CH38" s="144" t="s">
        <v>95</v>
      </c>
      <c r="CI38" s="145" t="s">
        <v>90</v>
      </c>
      <c r="CJ38" s="145"/>
      <c r="CK38" s="145"/>
      <c r="CL38" s="145"/>
      <c r="CM38" s="145" t="s">
        <v>92</v>
      </c>
      <c r="CN38" s="145" t="s">
        <v>94</v>
      </c>
      <c r="CO38" s="145"/>
      <c r="CP38" s="145" t="s">
        <v>92</v>
      </c>
      <c r="CQ38" s="145"/>
    </row>
    <row r="39" spans="1:95" ht="12.75" hidden="1">
      <c r="A39" s="33"/>
      <c r="H39" s="2"/>
      <c r="I39" s="2"/>
      <c r="K39" s="11"/>
      <c r="L39" s="1" t="str">
        <f t="shared" si="12"/>
        <v>E</v>
      </c>
      <c r="M39" s="11" t="str">
        <f>VLOOKUP(5,$X$35:$AC$40,2,FALSE)</f>
        <v>Irland</v>
      </c>
      <c r="N39" s="2">
        <f>VLOOKUP(5,$X$35:$AC$40,3,FALSE)</f>
        <v>3</v>
      </c>
      <c r="O39" s="2">
        <f>VLOOKUP(5,$X$35:$AC$40,4,FALSE)</f>
        <v>1</v>
      </c>
      <c r="P39" s="2">
        <f>VLOOKUP(5,$X$35:$AC$40,5,FALSE)</f>
        <v>2</v>
      </c>
      <c r="Q39" s="2">
        <f>VLOOKUP(5,$X$35:$AC$40,6,FALSE)</f>
        <v>-1</v>
      </c>
      <c r="R39" s="21" t="str">
        <f>VLOOKUP(5,$X$35:$AF$40,9,FALSE)</f>
        <v>3E</v>
      </c>
      <c r="X39" s="131">
        <f t="shared" si="13"/>
        <v>5</v>
      </c>
      <c r="Y39" s="146" t="str">
        <f>BM14</f>
        <v>Irland</v>
      </c>
      <c r="Z39" s="123">
        <f>BN14</f>
        <v>3</v>
      </c>
      <c r="AA39" s="123">
        <f>BO14</f>
        <v>1</v>
      </c>
      <c r="AB39" s="123">
        <f>BP14</f>
        <v>2</v>
      </c>
      <c r="AC39" s="123">
        <f>BQ14</f>
        <v>-1</v>
      </c>
      <c r="AD39" s="133">
        <f t="shared" si="14"/>
        <v>299010000000002</v>
      </c>
      <c r="AE39" s="134"/>
      <c r="AF39" s="123" t="str">
        <f>BN19</f>
        <v>3E</v>
      </c>
      <c r="AV39" s="134">
        <v>2</v>
      </c>
      <c r="BJ39"/>
      <c r="BK39"/>
      <c r="BL39"/>
      <c r="BM39"/>
      <c r="BN39"/>
      <c r="BO39"/>
      <c r="BP39"/>
      <c r="BQ39"/>
      <c r="BR39"/>
      <c r="BS39" s="143"/>
      <c r="BT39" s="143"/>
      <c r="BU39" s="143"/>
      <c r="CE39"/>
      <c r="CF39" s="144" t="s">
        <v>91</v>
      </c>
      <c r="CG39" s="144"/>
      <c r="CH39" s="144" t="s">
        <v>96</v>
      </c>
      <c r="CI39" s="145" t="s">
        <v>92</v>
      </c>
      <c r="CJ39" s="145"/>
      <c r="CK39" s="145"/>
      <c r="CL39" s="145"/>
      <c r="CM39" s="145" t="s">
        <v>96</v>
      </c>
      <c r="CN39" s="145" t="s">
        <v>95</v>
      </c>
      <c r="CO39" s="145"/>
      <c r="CP39" s="145" t="s">
        <v>93</v>
      </c>
      <c r="CQ39" s="145"/>
    </row>
    <row r="40" spans="1:95" ht="12.75" hidden="1">
      <c r="A40" s="33"/>
      <c r="H40" s="2"/>
      <c r="I40" s="2"/>
      <c r="K40" s="11"/>
      <c r="L40" s="1" t="str">
        <f t="shared" si="12"/>
        <v>F</v>
      </c>
      <c r="M40" s="11" t="str">
        <f>VLOOKUP(6,$X$35:$AC$40,2,FALSE)</f>
        <v>Österreich</v>
      </c>
      <c r="N40" s="2">
        <f>VLOOKUP(6,$X$35:$AC$40,3,FALSE)</f>
        <v>3</v>
      </c>
      <c r="O40" s="2">
        <f>VLOOKUP(6,$X$35:$AC$40,4,FALSE)</f>
        <v>1</v>
      </c>
      <c r="P40" s="2">
        <f>VLOOKUP(6,$X$35:$AC$40,5,FALSE)</f>
        <v>2</v>
      </c>
      <c r="Q40" s="2">
        <f>VLOOKUP(6,$X$35:$AC$40,6,FALSE)</f>
        <v>-1</v>
      </c>
      <c r="R40" s="21" t="str">
        <f>VLOOKUP(6,$X$35:$AF$40,9,FALSE)</f>
        <v>3F</v>
      </c>
      <c r="X40" s="131">
        <f t="shared" si="13"/>
        <v>6</v>
      </c>
      <c r="Y40" s="146" t="str">
        <f>BM24</f>
        <v>Österreich</v>
      </c>
      <c r="Z40" s="123">
        <f>BN24</f>
        <v>3</v>
      </c>
      <c r="AA40" s="123">
        <f>BO24</f>
        <v>1</v>
      </c>
      <c r="AB40" s="123">
        <f>BP24</f>
        <v>2</v>
      </c>
      <c r="AC40" s="123">
        <f>BQ24</f>
        <v>-1</v>
      </c>
      <c r="AD40" s="133">
        <f t="shared" si="14"/>
        <v>299010000000001</v>
      </c>
      <c r="AE40" s="134"/>
      <c r="AF40" s="123" t="str">
        <f>BN29</f>
        <v>3F</v>
      </c>
      <c r="AV40" s="134">
        <v>1</v>
      </c>
      <c r="BJ40"/>
      <c r="BK40"/>
      <c r="BL40"/>
      <c r="BM40"/>
      <c r="BN40"/>
      <c r="BO40"/>
      <c r="BP40"/>
      <c r="BQ40"/>
      <c r="BR40"/>
      <c r="BS40" s="143"/>
      <c r="BT40" s="143"/>
      <c r="BU40" s="143"/>
      <c r="CE40"/>
      <c r="CF40" s="144"/>
      <c r="CG40" s="144"/>
      <c r="CH40" s="144"/>
      <c r="CI40" s="145" t="s">
        <v>93</v>
      </c>
      <c r="CJ40" s="145"/>
      <c r="CK40" s="145"/>
      <c r="CL40" s="145"/>
      <c r="CM40" s="145"/>
      <c r="CN40" s="145"/>
      <c r="CO40" s="145"/>
      <c r="CP40" s="145" t="s">
        <v>94</v>
      </c>
      <c r="CQ40" s="145"/>
    </row>
    <row r="41" spans="1:95" ht="12.75" hidden="1">
      <c r="A41" s="33"/>
      <c r="H41" s="2"/>
      <c r="I41" s="2"/>
      <c r="J41" s="1"/>
      <c r="K41" s="2"/>
      <c r="M41" s="2"/>
      <c r="AE41" s="123"/>
      <c r="BJ41"/>
      <c r="BK41"/>
      <c r="BL41"/>
      <c r="BM41"/>
      <c r="BN41"/>
      <c r="BO41"/>
      <c r="BP41"/>
      <c r="BQ41"/>
      <c r="BR41"/>
      <c r="BS41" s="143"/>
      <c r="BT41" s="143"/>
      <c r="BU41" s="143"/>
      <c r="CE41"/>
      <c r="CF41" s="144"/>
      <c r="CG41" s="144"/>
      <c r="CH41" s="144"/>
      <c r="CI41" s="145" t="s">
        <v>96</v>
      </c>
      <c r="CJ41" s="145"/>
      <c r="CK41" s="145"/>
      <c r="CL41" s="145"/>
      <c r="CM41" s="145"/>
      <c r="CN41" s="145"/>
      <c r="CO41" s="145"/>
      <c r="CP41" s="145" t="s">
        <v>95</v>
      </c>
      <c r="CQ41" s="145"/>
    </row>
    <row r="42" spans="1:100" ht="12.75" hidden="1">
      <c r="A42" s="33"/>
      <c r="H42" s="2"/>
      <c r="I42" s="2"/>
      <c r="J42" s="1"/>
      <c r="K42" s="2"/>
      <c r="M42" s="2"/>
      <c r="AD42" s="123" t="s">
        <v>119</v>
      </c>
      <c r="AE42" s="123"/>
      <c r="BJ42"/>
      <c r="BK42"/>
      <c r="BL42"/>
      <c r="BM42"/>
      <c r="BN42"/>
      <c r="BO42"/>
      <c r="BP42"/>
      <c r="BQ42"/>
      <c r="BR42"/>
      <c r="BS42" s="143"/>
      <c r="BT42" s="143"/>
      <c r="BU42" s="143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84" ht="12.75" customHeight="1" hidden="1">
      <c r="A43" s="33"/>
      <c r="H43" s="2"/>
      <c r="I43" s="2"/>
      <c r="J43" s="1"/>
      <c r="K43" s="2"/>
      <c r="M43" s="2"/>
      <c r="AD43" s="123" t="s">
        <v>121</v>
      </c>
      <c r="AE43" s="123"/>
      <c r="AX43" s="116"/>
      <c r="AY43" s="116"/>
      <c r="AZ43" s="116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3"/>
      <c r="I44" s="14"/>
      <c r="J44" s="13"/>
      <c r="AD44" s="138"/>
      <c r="AX44" s="116"/>
      <c r="AY44" s="116"/>
      <c r="AZ44" s="116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3"/>
      <c r="I45" s="14"/>
      <c r="J45" s="13"/>
      <c r="AD45" s="138"/>
      <c r="AX45" s="116"/>
      <c r="AY45" s="116"/>
      <c r="AZ45" s="116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3"/>
      <c r="I46" s="14"/>
      <c r="J46" s="13"/>
      <c r="AD46" s="138"/>
      <c r="AX46" s="116"/>
      <c r="AY46" s="116"/>
      <c r="AZ46" s="11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1:104" s="12" customFormat="1" ht="12.75">
      <c r="A47" s="2"/>
      <c r="B47" s="24" t="s">
        <v>41</v>
      </c>
      <c r="C47" s="3"/>
      <c r="D47" s="24"/>
      <c r="E47" s="21"/>
      <c r="F47" s="24"/>
      <c r="G47" s="24"/>
      <c r="H47" s="28"/>
      <c r="I47" s="13"/>
      <c r="J47" s="28"/>
      <c r="K47" s="78"/>
      <c r="L47" s="1"/>
      <c r="M47" s="3"/>
      <c r="N47" s="1"/>
      <c r="O47" s="1"/>
      <c r="P47" s="1"/>
      <c r="Q47" s="24"/>
      <c r="R47" s="24"/>
      <c r="S47" s="124"/>
      <c r="T47" s="124"/>
      <c r="U47" s="124"/>
      <c r="V47" s="124"/>
      <c r="W47" s="124"/>
      <c r="X47" s="124"/>
      <c r="Y47" s="125"/>
      <c r="Z47" s="124"/>
      <c r="AA47" s="124"/>
      <c r="AB47" s="124"/>
      <c r="AC47" s="124"/>
      <c r="AD47" s="147"/>
      <c r="AE47" s="27"/>
      <c r="AF47" s="124"/>
      <c r="AG47" s="124"/>
      <c r="AH47" s="124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16"/>
      <c r="AY47" s="116"/>
      <c r="AZ47" s="116"/>
      <c r="BA47" s="2"/>
      <c r="BB47" s="79" t="s">
        <v>50</v>
      </c>
      <c r="BC47" s="3"/>
      <c r="BD47" s="24"/>
      <c r="BE47" s="21"/>
      <c r="BF47" s="24"/>
      <c r="BG47" s="24"/>
      <c r="BH47" s="28"/>
      <c r="BI47" s="13"/>
      <c r="BJ47" s="100"/>
      <c r="BK47" s="78"/>
      <c r="BL47" s="1"/>
      <c r="BM47" s="3"/>
      <c r="BN47" s="1"/>
      <c r="BO47" s="1"/>
      <c r="BP47" s="1"/>
      <c r="BQ47" s="1"/>
      <c r="BR47" s="1"/>
      <c r="BS47" s="131"/>
      <c r="BT47" s="131"/>
      <c r="BU47" s="131"/>
      <c r="BV47" s="131"/>
      <c r="BW47" s="131"/>
      <c r="BX47" s="131"/>
      <c r="BY47" s="132"/>
      <c r="BZ47" s="131"/>
      <c r="CA47" s="131"/>
      <c r="CB47" s="131"/>
      <c r="CC47" s="131"/>
      <c r="CD47" s="131"/>
      <c r="CE47" s="138"/>
      <c r="CF47" s="139"/>
      <c r="CG47" s="131"/>
      <c r="CH47" s="131"/>
      <c r="CI47" s="123"/>
      <c r="CJ47" s="123"/>
      <c r="CK47" s="123"/>
      <c r="CL47" s="123"/>
      <c r="CM47" s="123"/>
      <c r="CN47" s="123"/>
      <c r="CO47" s="131"/>
      <c r="CP47" s="123"/>
      <c r="CQ47" s="123"/>
      <c r="CR47" s="123"/>
      <c r="CS47" s="123"/>
      <c r="CT47" s="123"/>
      <c r="CU47" s="123"/>
      <c r="CV47" s="123"/>
      <c r="CW47" s="123"/>
      <c r="CX47" s="116"/>
      <c r="CY47" s="116"/>
      <c r="CZ47" s="116"/>
    </row>
    <row r="48" spans="1:104" ht="12.75">
      <c r="A48" s="2">
        <v>37</v>
      </c>
      <c r="B48" s="7">
        <v>42546.625</v>
      </c>
      <c r="C48" s="4" t="s">
        <v>143</v>
      </c>
      <c r="D48" s="43" t="str">
        <f>M8</f>
        <v>Rumänien</v>
      </c>
      <c r="E48" s="22" t="s">
        <v>21</v>
      </c>
      <c r="F48" s="72" t="str">
        <f>M28</f>
        <v>Ukraine</v>
      </c>
      <c r="G48" s="24"/>
      <c r="H48" s="136">
        <f aca="true" ca="1" t="shared" si="15" ref="H48:H55">IF($B$64="",1,IF(OR(J48&lt;1,INT(RAND()*10&lt;6)),J48+1,J48-1))</f>
        <v>1</v>
      </c>
      <c r="I48" s="28" t="s">
        <v>22</v>
      </c>
      <c r="J48" s="136">
        <f aca="true" ca="1" t="shared" si="16" ref="J48:J55">IF($B$64="",0,INT(RAND()*5)+INT(RAND()*3)*INT(RAND()*2))</f>
        <v>0</v>
      </c>
      <c r="K48" s="9" t="s">
        <v>23</v>
      </c>
      <c r="L48" s="1"/>
      <c r="M48" s="103" t="str">
        <f aca="true" t="shared" si="17" ref="M48:M55">IF(J48="","",IF(J48=H48,"falsch!!! K.Remis",IF(H48&gt;J48,D48,F48)))</f>
        <v>Rumänien</v>
      </c>
      <c r="N48" s="1" t="str">
        <f>N8</f>
        <v>2A</v>
      </c>
      <c r="O48" s="1" t="str">
        <f>N28</f>
        <v>2C</v>
      </c>
      <c r="P48" s="1" t="s">
        <v>42</v>
      </c>
      <c r="Q48" s="1"/>
      <c r="V48" s="131"/>
      <c r="W48" s="131"/>
      <c r="Y48" s="3" t="s">
        <v>124</v>
      </c>
      <c r="Z48" s="131"/>
      <c r="AB48" s="131" t="s">
        <v>97</v>
      </c>
      <c r="AC48" s="131"/>
      <c r="AD48" s="138"/>
      <c r="AE48" s="27" t="s">
        <v>125</v>
      </c>
      <c r="AF48" s="131"/>
      <c r="AG48" s="131"/>
      <c r="AH48" s="131"/>
      <c r="AX48" s="116"/>
      <c r="AY48" s="116"/>
      <c r="AZ48" s="116"/>
      <c r="BA48" s="2">
        <f>A55+1</f>
        <v>45</v>
      </c>
      <c r="BB48" s="7">
        <v>42551.875</v>
      </c>
      <c r="BC48" s="4" t="s">
        <v>139</v>
      </c>
      <c r="BD48" s="104" t="str">
        <f>M48</f>
        <v>Rumänien</v>
      </c>
      <c r="BE48" s="22" t="s">
        <v>21</v>
      </c>
      <c r="BF48" s="104" t="str">
        <f>M49</f>
        <v>Spanien</v>
      </c>
      <c r="BG48" s="24"/>
      <c r="BH48" s="136">
        <f ca="1">IF($B$64="",1,IF(OR(BJ48&lt;1,INT(RAND()*10&lt;6)),BJ48+1,BJ48-1))</f>
        <v>1</v>
      </c>
      <c r="BI48" s="28" t="s">
        <v>22</v>
      </c>
      <c r="BJ48" s="137">
        <f ca="1">IF($B$64="",0,INT(RAND()*5)+INT(RAND()*3)*INT(RAND()*2))</f>
        <v>0</v>
      </c>
      <c r="BK48" s="9" t="s">
        <v>23</v>
      </c>
      <c r="BL48" s="1"/>
      <c r="BM48" s="105" t="str">
        <f>IF(BJ48="","",IF(BJ48=BH48,"falsch!!! K.Remis",IF(BH48&gt;BJ48,BD48,BF48)))</f>
        <v>Rumänien</v>
      </c>
      <c r="BN48" s="1" t="str">
        <f>P48</f>
        <v>AF1</v>
      </c>
      <c r="BO48" s="1" t="str">
        <f>P49</f>
        <v>AF2</v>
      </c>
      <c r="BP48" s="2" t="s">
        <v>52</v>
      </c>
      <c r="BQ48" s="1"/>
      <c r="BR48" s="1"/>
      <c r="BS48" s="131"/>
      <c r="BT48" s="131"/>
      <c r="BU48" s="131"/>
      <c r="BV48" s="131"/>
      <c r="BW48" s="131"/>
      <c r="BX48" s="131"/>
      <c r="BY48" s="132"/>
      <c r="BZ48" s="131"/>
      <c r="CA48" s="131"/>
      <c r="CB48" s="131"/>
      <c r="CC48" s="131"/>
      <c r="CD48" s="131"/>
      <c r="CE48" s="138"/>
      <c r="CF48" s="139"/>
      <c r="CG48" s="131"/>
      <c r="CH48" s="131"/>
      <c r="CI48" s="123"/>
      <c r="CJ48" s="123"/>
      <c r="CK48" s="123"/>
      <c r="CL48" s="123"/>
      <c r="CM48" s="123"/>
      <c r="CN48" s="123"/>
      <c r="CO48" s="131"/>
      <c r="CP48" s="123"/>
      <c r="CQ48" s="123"/>
      <c r="CR48" s="123"/>
      <c r="CS48" s="123"/>
      <c r="CT48" s="123"/>
      <c r="CU48" s="123"/>
      <c r="CV48" s="123"/>
      <c r="CW48" s="123"/>
      <c r="CX48" s="116"/>
      <c r="CY48" s="116"/>
      <c r="CZ48" s="116"/>
    </row>
    <row r="49" spans="1:104" ht="12.75">
      <c r="A49" s="2">
        <f>A48+1</f>
        <v>38</v>
      </c>
      <c r="B49" s="7">
        <v>42546.875</v>
      </c>
      <c r="C49" s="4" t="s">
        <v>137</v>
      </c>
      <c r="D49" s="157" t="str">
        <f>BM7</f>
        <v>Spanien</v>
      </c>
      <c r="E49" s="22" t="s">
        <v>21</v>
      </c>
      <c r="F49" s="68" t="str">
        <f>VLOOKUP(O49,$B$35:$C$38,2,TRUE)</f>
        <v>Wales</v>
      </c>
      <c r="G49" s="24"/>
      <c r="H49" s="137">
        <f ca="1" t="shared" si="15"/>
        <v>1</v>
      </c>
      <c r="I49" s="28" t="s">
        <v>22</v>
      </c>
      <c r="J49" s="137">
        <f ca="1" t="shared" si="16"/>
        <v>0</v>
      </c>
      <c r="K49" s="9" t="s">
        <v>23</v>
      </c>
      <c r="L49" s="1"/>
      <c r="M49" s="103" t="str">
        <f t="shared" si="17"/>
        <v>Spanien</v>
      </c>
      <c r="N49" s="1" t="str">
        <f>BN7</f>
        <v>1D</v>
      </c>
      <c r="O49" s="1" t="str">
        <f>IF(AE50="",CONCATENATE("3",AB50),CONCATENATE("3",AE50))</f>
        <v>3B</v>
      </c>
      <c r="P49" s="1" t="s">
        <v>43</v>
      </c>
      <c r="Q49" s="1"/>
      <c r="V49" s="131"/>
      <c r="W49" s="131"/>
      <c r="Y49" s="1"/>
      <c r="Z49" s="131"/>
      <c r="AB49" s="131"/>
      <c r="AC49" s="116"/>
      <c r="AD49" s="116"/>
      <c r="AE49" s="13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X49" s="116"/>
      <c r="AY49" s="116"/>
      <c r="AZ49" s="116"/>
      <c r="BA49" s="2">
        <f>BA48+1</f>
        <v>46</v>
      </c>
      <c r="BB49" s="7">
        <v>42552.875</v>
      </c>
      <c r="BC49" s="4" t="s">
        <v>140</v>
      </c>
      <c r="BD49" s="81" t="str">
        <f>M50</f>
        <v>England</v>
      </c>
      <c r="BE49" s="80" t="s">
        <v>21</v>
      </c>
      <c r="BF49" s="81" t="str">
        <f>M51</f>
        <v>Portugal</v>
      </c>
      <c r="BG49" s="24"/>
      <c r="BH49" s="136">
        <f ca="1">IF($B$64="",1,IF(OR(BJ49&lt;1,INT(RAND()*10&lt;6)),BJ49+1,BJ49-1))</f>
        <v>1</v>
      </c>
      <c r="BI49" s="28" t="s">
        <v>22</v>
      </c>
      <c r="BJ49" s="136">
        <f ca="1">IF($B$64="",0,INT(RAND()*5)+INT(RAND()*3)*INT(RAND()*2))</f>
        <v>0</v>
      </c>
      <c r="BK49" s="9" t="s">
        <v>23</v>
      </c>
      <c r="BL49" s="1"/>
      <c r="BM49" s="82" t="str">
        <f>IF(BJ49="","",IF(BJ49=BH49,"falsch!!! K.Remis",IF(BH49&gt;BJ49,BD49,BF49)))</f>
        <v>England</v>
      </c>
      <c r="BN49" s="1" t="str">
        <f>P50</f>
        <v>AF3</v>
      </c>
      <c r="BO49" s="1" t="str">
        <f>P51</f>
        <v>AF4</v>
      </c>
      <c r="BP49" s="2" t="s">
        <v>54</v>
      </c>
      <c r="BQ49" s="1"/>
      <c r="BR49" s="1"/>
      <c r="BS49" s="131"/>
      <c r="BT49" s="131"/>
      <c r="BU49" s="131"/>
      <c r="BV49" s="131"/>
      <c r="BW49" s="131"/>
      <c r="BX49" s="131"/>
      <c r="BY49" s="132"/>
      <c r="BZ49" s="131"/>
      <c r="CA49" s="131"/>
      <c r="CB49" s="131"/>
      <c r="CC49" s="131"/>
      <c r="CD49" s="131"/>
      <c r="CE49" s="138"/>
      <c r="CF49" s="139"/>
      <c r="CG49" s="131"/>
      <c r="CH49" s="131"/>
      <c r="CI49" s="123"/>
      <c r="CJ49" s="123"/>
      <c r="CK49" s="123"/>
      <c r="CL49" s="123"/>
      <c r="CM49" s="123"/>
      <c r="CN49" s="123"/>
      <c r="CO49" s="131"/>
      <c r="CP49" s="123"/>
      <c r="CQ49" s="123"/>
      <c r="CR49" s="123"/>
      <c r="CS49" s="123"/>
      <c r="CT49" s="123"/>
      <c r="CU49" s="123"/>
      <c r="CV49" s="123"/>
      <c r="CW49" s="123"/>
      <c r="CX49" s="116"/>
      <c r="CY49" s="116"/>
      <c r="CZ49" s="116"/>
    </row>
    <row r="50" spans="1:104" ht="12.75">
      <c r="A50" s="2">
        <f aca="true" t="shared" si="18" ref="A50:A55">A49+1</f>
        <v>39</v>
      </c>
      <c r="B50" s="7">
        <v>42546.75</v>
      </c>
      <c r="C50" s="4" t="s">
        <v>138</v>
      </c>
      <c r="D50" s="71" t="str">
        <f>M17</f>
        <v>England</v>
      </c>
      <c r="E50" s="22" t="s">
        <v>21</v>
      </c>
      <c r="F50" s="68" t="str">
        <f>VLOOKUP(O50,$B$35:$C$38,2,TRUE)</f>
        <v>Türkei</v>
      </c>
      <c r="G50" s="24"/>
      <c r="H50" s="137">
        <f ca="1" t="shared" si="15"/>
        <v>1</v>
      </c>
      <c r="I50" s="28" t="s">
        <v>22</v>
      </c>
      <c r="J50" s="137">
        <f ca="1" t="shared" si="16"/>
        <v>0</v>
      </c>
      <c r="K50" s="9" t="s">
        <v>23</v>
      </c>
      <c r="L50" s="1"/>
      <c r="M50" s="83" t="str">
        <f t="shared" si="17"/>
        <v>England</v>
      </c>
      <c r="N50" s="1" t="str">
        <f>N17</f>
        <v>1B</v>
      </c>
      <c r="O50" s="1" t="str">
        <f>IF(AE51="",CONCATENATE("3",AB51),CONCATENATE("3",AE51))</f>
        <v>3D</v>
      </c>
      <c r="P50" s="1" t="s">
        <v>44</v>
      </c>
      <c r="Q50" s="1"/>
      <c r="V50" s="131"/>
      <c r="W50" s="131"/>
      <c r="Y50" s="3" t="s">
        <v>80</v>
      </c>
      <c r="Z50" s="131"/>
      <c r="AA50" s="131" t="s">
        <v>126</v>
      </c>
      <c r="AB50" s="148" t="str">
        <f>IF(COUNTIF($CL$33:$CL$41,C$31)&gt;0,$CL$32,IF(COUNTIF($CM$33:$CM$41,C$31)&gt;0,$CM$32,IF(COUNTIF($CN$33:$CN$41,C$31)&gt;0,$CN$32,CONCATENATE("??? ",C$31))))</f>
        <v>B</v>
      </c>
      <c r="AC50" s="116"/>
      <c r="AD50" s="116"/>
      <c r="AE50" s="13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X50" s="116"/>
      <c r="AY50" s="116"/>
      <c r="AZ50" s="116"/>
      <c r="BA50" s="2">
        <f>BA49+1</f>
        <v>47</v>
      </c>
      <c r="BB50" s="7">
        <v>42553.875</v>
      </c>
      <c r="BC50" s="4" t="s">
        <v>142</v>
      </c>
      <c r="BD50" s="84" t="str">
        <f>M52</f>
        <v>Belgien</v>
      </c>
      <c r="BE50" s="80" t="s">
        <v>21</v>
      </c>
      <c r="BF50" s="84" t="str">
        <f>M53</f>
        <v>Deutschland</v>
      </c>
      <c r="BG50" s="24"/>
      <c r="BH50" s="136">
        <f ca="1">IF($B$64="",1,IF(OR(BJ50&lt;1,INT(RAND()*10&lt;6)),BJ50+1,BJ50-1))</f>
        <v>1</v>
      </c>
      <c r="BI50" s="28" t="s">
        <v>22</v>
      </c>
      <c r="BJ50" s="137">
        <f ca="1">IF($B$64="",0,INT(RAND()*5)+INT(RAND()*3)*INT(RAND()*2))</f>
        <v>0</v>
      </c>
      <c r="BK50" s="9" t="s">
        <v>23</v>
      </c>
      <c r="BL50" s="1"/>
      <c r="BM50" s="85" t="str">
        <f>IF(BJ50="","",IF(BJ50=BH50,"falsch!!! K.Remis",IF(BH50&gt;BJ50,BD50,BF50)))</f>
        <v>Belgien</v>
      </c>
      <c r="BN50" s="1" t="str">
        <f>P52</f>
        <v>AF5</v>
      </c>
      <c r="BO50" s="1" t="str">
        <f>P53</f>
        <v>AF6</v>
      </c>
      <c r="BP50" s="1" t="s">
        <v>51</v>
      </c>
      <c r="BQ50" s="1"/>
      <c r="BR50" s="1"/>
      <c r="BS50" s="131"/>
      <c r="BT50" s="131"/>
      <c r="BU50" s="131"/>
      <c r="BV50" s="131"/>
      <c r="BW50" s="131"/>
      <c r="BX50" s="131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23"/>
      <c r="CQ50" s="123"/>
      <c r="CR50" s="123"/>
      <c r="CS50" s="123"/>
      <c r="CT50" s="123"/>
      <c r="CU50" s="123"/>
      <c r="CV50" s="123"/>
      <c r="CW50" s="123"/>
      <c r="CX50" s="116"/>
      <c r="CY50" s="116"/>
      <c r="CZ50" s="116"/>
    </row>
    <row r="51" spans="1:104" ht="12.75">
      <c r="A51" s="2">
        <f t="shared" si="18"/>
        <v>40</v>
      </c>
      <c r="B51" s="7">
        <v>42547.875</v>
      </c>
      <c r="C51" s="4" t="s">
        <v>144</v>
      </c>
      <c r="D51" s="75" t="str">
        <f>BM27</f>
        <v>Portugal</v>
      </c>
      <c r="E51" s="22" t="s">
        <v>21</v>
      </c>
      <c r="F51" s="74" t="str">
        <f>BM18</f>
        <v>Italien</v>
      </c>
      <c r="G51" s="24"/>
      <c r="H51" s="137">
        <f ca="1" t="shared" si="15"/>
        <v>1</v>
      </c>
      <c r="I51" s="28" t="s">
        <v>22</v>
      </c>
      <c r="J51" s="136">
        <f ca="1" t="shared" si="16"/>
        <v>0</v>
      </c>
      <c r="K51" s="9" t="s">
        <v>23</v>
      </c>
      <c r="L51" s="1"/>
      <c r="M51" s="83" t="str">
        <f t="shared" si="17"/>
        <v>Portugal</v>
      </c>
      <c r="N51" s="1" t="str">
        <f>BN27</f>
        <v>1F</v>
      </c>
      <c r="O51" s="1" t="str">
        <f>BN18</f>
        <v>2E</v>
      </c>
      <c r="P51" s="1" t="s">
        <v>45</v>
      </c>
      <c r="Q51" s="1"/>
      <c r="V51" s="131"/>
      <c r="W51" s="131"/>
      <c r="Y51" s="3" t="s">
        <v>78</v>
      </c>
      <c r="Z51" s="131"/>
      <c r="AA51" s="131" t="s">
        <v>126</v>
      </c>
      <c r="AB51" s="148" t="str">
        <f>IF(COUNTIF($CF$33:$CF$41,C$31)&gt;0,$CF$32,IF(COUNTIF($CG$33:$CG$41,C$31)&gt;0,$CG$32,IF(COUNTIF($CH$33:$CH$41,C$31)&gt;0,$CH$32,CONCATENATE("??? ",C$31))))</f>
        <v>D</v>
      </c>
      <c r="AC51" s="116"/>
      <c r="AD51" s="116"/>
      <c r="AE51" s="13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X51" s="116"/>
      <c r="AY51" s="116"/>
      <c r="AZ51" s="116"/>
      <c r="BA51" s="2">
        <f>BA50+1</f>
        <v>48</v>
      </c>
      <c r="BB51" s="7">
        <v>42554.875</v>
      </c>
      <c r="BC51" s="4" t="s">
        <v>136</v>
      </c>
      <c r="BD51" s="86" t="str">
        <f>M54</f>
        <v>Russland</v>
      </c>
      <c r="BE51" s="22" t="s">
        <v>21</v>
      </c>
      <c r="BF51" s="86" t="str">
        <f>M55</f>
        <v>Frankreich</v>
      </c>
      <c r="BG51" s="24"/>
      <c r="BH51" s="136">
        <f ca="1">IF($B$64="",1,IF(OR(BJ51&lt;1,INT(RAND()*10&lt;6)),BJ51+1,BJ51-1))</f>
        <v>1</v>
      </c>
      <c r="BI51" s="28" t="s">
        <v>22</v>
      </c>
      <c r="BJ51" s="137">
        <f ca="1">IF($B$64="",0,INT(RAND()*5)+INT(RAND()*3)*INT(RAND()*2))</f>
        <v>0</v>
      </c>
      <c r="BK51" s="9" t="s">
        <v>23</v>
      </c>
      <c r="BL51" s="1"/>
      <c r="BM51" s="87" t="str">
        <f>IF(BJ51="","",IF(BJ51=BH51,"falsch!!! K.Remis",IF(BH51&gt;BJ51,BD51,BF51)))</f>
        <v>Russland</v>
      </c>
      <c r="BN51" s="1" t="str">
        <f>P54</f>
        <v>AF7</v>
      </c>
      <c r="BO51" s="1" t="str">
        <f>P55</f>
        <v>AF8</v>
      </c>
      <c r="BP51" s="1" t="s">
        <v>53</v>
      </c>
      <c r="BQ51" s="1"/>
      <c r="BR51" s="1"/>
      <c r="BS51" s="131"/>
      <c r="BT51" s="131"/>
      <c r="BU51" s="131"/>
      <c r="BV51" s="131"/>
      <c r="BW51" s="131"/>
      <c r="BX51" s="131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23"/>
      <c r="CQ51" s="123"/>
      <c r="CR51" s="123"/>
      <c r="CS51" s="123"/>
      <c r="CT51" s="123"/>
      <c r="CU51" s="123"/>
      <c r="CV51" s="123"/>
      <c r="CW51" s="123"/>
      <c r="CX51" s="116"/>
      <c r="CY51" s="116"/>
      <c r="CZ51" s="116"/>
    </row>
    <row r="52" spans="1:104" ht="12.75">
      <c r="A52" s="2">
        <f t="shared" si="18"/>
        <v>41</v>
      </c>
      <c r="B52" s="7">
        <v>42548.75</v>
      </c>
      <c r="C52" s="4" t="s">
        <v>136</v>
      </c>
      <c r="D52" s="74" t="str">
        <f>BM17</f>
        <v>Belgien</v>
      </c>
      <c r="E52" s="22" t="s">
        <v>21</v>
      </c>
      <c r="F52" s="157" t="str">
        <f>BM8</f>
        <v>Tschechien</v>
      </c>
      <c r="G52" s="24"/>
      <c r="H52" s="137">
        <f ca="1" t="shared" si="15"/>
        <v>1</v>
      </c>
      <c r="I52" s="28" t="s">
        <v>22</v>
      </c>
      <c r="J52" s="137">
        <f ca="1" t="shared" si="16"/>
        <v>0</v>
      </c>
      <c r="K52" s="9" t="s">
        <v>23</v>
      </c>
      <c r="L52" s="1"/>
      <c r="M52" s="88" t="str">
        <f t="shared" si="17"/>
        <v>Belgien</v>
      </c>
      <c r="N52" s="1" t="str">
        <f>BN17</f>
        <v>1E</v>
      </c>
      <c r="O52" s="1" t="str">
        <f>BN8</f>
        <v>2D</v>
      </c>
      <c r="P52" s="1" t="s">
        <v>46</v>
      </c>
      <c r="Q52" s="1"/>
      <c r="V52" s="131"/>
      <c r="W52" s="131"/>
      <c r="Y52" s="3"/>
      <c r="Z52" s="131"/>
      <c r="AA52" s="131"/>
      <c r="AB52" s="124"/>
      <c r="AC52" s="116"/>
      <c r="AD52" s="116"/>
      <c r="AE52" s="13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X52" s="116"/>
      <c r="AY52" s="116"/>
      <c r="AZ52" s="116"/>
      <c r="BQ52" s="1"/>
      <c r="BR52" s="1"/>
      <c r="BS52" s="131"/>
      <c r="BT52" s="131"/>
      <c r="BU52" s="131"/>
      <c r="BV52" s="131"/>
      <c r="BW52" s="131"/>
      <c r="BX52" s="131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23"/>
      <c r="CQ52" s="123"/>
      <c r="CR52" s="123"/>
      <c r="CS52" s="123"/>
      <c r="CT52" s="123"/>
      <c r="CU52" s="123"/>
      <c r="CV52" s="123"/>
      <c r="CW52" s="123"/>
      <c r="CX52" s="116"/>
      <c r="CY52" s="116"/>
      <c r="CZ52" s="116"/>
    </row>
    <row r="53" spans="1:104" ht="12.75">
      <c r="A53" s="2">
        <f t="shared" si="18"/>
        <v>42</v>
      </c>
      <c r="B53" s="7">
        <v>42547.75</v>
      </c>
      <c r="C53" s="4" t="s">
        <v>140</v>
      </c>
      <c r="D53" s="72" t="str">
        <f>M27</f>
        <v>Deutschland</v>
      </c>
      <c r="E53" s="22" t="s">
        <v>21</v>
      </c>
      <c r="F53" s="68" t="str">
        <f>VLOOKUP(O53,$B$35:$C$38,2,TRUE)</f>
        <v>Albanien</v>
      </c>
      <c r="G53" s="24"/>
      <c r="H53" s="137">
        <f ca="1" t="shared" si="15"/>
        <v>1</v>
      </c>
      <c r="I53" s="28" t="s">
        <v>22</v>
      </c>
      <c r="J53" s="137">
        <f ca="1" t="shared" si="16"/>
        <v>0</v>
      </c>
      <c r="K53" s="9" t="s">
        <v>23</v>
      </c>
      <c r="L53" s="1"/>
      <c r="M53" s="88" t="str">
        <f t="shared" si="17"/>
        <v>Deutschland</v>
      </c>
      <c r="N53" s="1" t="str">
        <f>N27</f>
        <v>1C</v>
      </c>
      <c r="O53" s="1" t="str">
        <f>IF(AE54="",CONCATENATE("3",AB54),CONCATENATE("3",AE54))</f>
        <v>3A</v>
      </c>
      <c r="P53" s="1" t="s">
        <v>47</v>
      </c>
      <c r="Q53" s="1"/>
      <c r="V53" s="131"/>
      <c r="W53" s="131"/>
      <c r="Y53" s="3"/>
      <c r="Z53" s="131"/>
      <c r="AA53" s="131"/>
      <c r="AB53" s="124"/>
      <c r="AC53" s="116"/>
      <c r="AD53" s="116"/>
      <c r="AE53" s="13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X53" s="116"/>
      <c r="AY53" s="116"/>
      <c r="AZ53" s="116"/>
      <c r="BQ53" s="1"/>
      <c r="BR53" s="1"/>
      <c r="BS53" s="131"/>
      <c r="BT53" s="131"/>
      <c r="BU53" s="131"/>
      <c r="BV53" s="131"/>
      <c r="BW53" s="131"/>
      <c r="BX53" s="131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23"/>
      <c r="CQ53" s="123"/>
      <c r="CR53" s="123"/>
      <c r="CS53" s="123"/>
      <c r="CT53" s="123"/>
      <c r="CU53" s="123"/>
      <c r="CV53" s="123"/>
      <c r="CW53" s="123"/>
      <c r="CX53" s="116"/>
      <c r="CY53" s="116"/>
      <c r="CZ53" s="116"/>
    </row>
    <row r="54" spans="1:104" ht="12.75">
      <c r="A54" s="2">
        <f t="shared" si="18"/>
        <v>43</v>
      </c>
      <c r="B54" s="7">
        <v>42548.875</v>
      </c>
      <c r="C54" s="4" t="s">
        <v>145</v>
      </c>
      <c r="D54" s="71" t="str">
        <f>M18</f>
        <v>Russland</v>
      </c>
      <c r="E54" s="22" t="s">
        <v>21</v>
      </c>
      <c r="F54" s="75" t="str">
        <f>BM28</f>
        <v>Island</v>
      </c>
      <c r="G54" s="24"/>
      <c r="H54" s="137">
        <f ca="1" t="shared" si="15"/>
        <v>1</v>
      </c>
      <c r="I54" s="28" t="s">
        <v>22</v>
      </c>
      <c r="J54" s="137">
        <f ca="1" t="shared" si="16"/>
        <v>0</v>
      </c>
      <c r="K54" s="9" t="s">
        <v>23</v>
      </c>
      <c r="L54" s="1"/>
      <c r="M54" s="90" t="str">
        <f t="shared" si="17"/>
        <v>Russland</v>
      </c>
      <c r="N54" s="1" t="str">
        <f>N18</f>
        <v>2B</v>
      </c>
      <c r="O54" s="1" t="str">
        <f>BN28</f>
        <v>2F</v>
      </c>
      <c r="P54" s="1" t="s">
        <v>48</v>
      </c>
      <c r="Q54" s="1"/>
      <c r="V54" s="131"/>
      <c r="W54" s="131"/>
      <c r="Y54" s="3" t="s">
        <v>81</v>
      </c>
      <c r="Z54" s="131"/>
      <c r="AA54" s="131" t="s">
        <v>126</v>
      </c>
      <c r="AB54" s="148" t="str">
        <f>IF(COUNTIF($CO$33:$CO$41,C$31)&gt;0,$CO$32,IF(COUNTIF($CP$33:$CP$41,C$31)&gt;0,$CP$32,IF(COUNTIF($CQ$33:$CQ$41,C$31)&gt;0,$CQ$32,CONCATENATE("??? ",C$31))))</f>
        <v>A</v>
      </c>
      <c r="AC54" s="116"/>
      <c r="AD54" s="116"/>
      <c r="AE54" s="13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X54" s="116"/>
      <c r="AY54" s="116"/>
      <c r="AZ54" s="116"/>
      <c r="BB54" s="89" t="s">
        <v>55</v>
      </c>
      <c r="BC54" s="3"/>
      <c r="BD54" s="24"/>
      <c r="BE54" s="21"/>
      <c r="BF54" s="24"/>
      <c r="BG54" s="24"/>
      <c r="BH54" s="28"/>
      <c r="BI54" s="13"/>
      <c r="BJ54" s="28"/>
      <c r="BK54" s="78"/>
      <c r="BL54" s="1"/>
      <c r="BM54" s="3"/>
      <c r="BN54" s="1"/>
      <c r="BO54" s="1"/>
      <c r="BP54" s="1"/>
      <c r="BQ54" s="1"/>
      <c r="BR54" s="1"/>
      <c r="BS54" s="131"/>
      <c r="BT54" s="131"/>
      <c r="BU54" s="131"/>
      <c r="BV54" s="131"/>
      <c r="BW54" s="131"/>
      <c r="BX54" s="131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23"/>
      <c r="CQ54" s="123"/>
      <c r="CR54" s="123"/>
      <c r="CS54" s="123"/>
      <c r="CT54" s="123"/>
      <c r="CU54" s="123"/>
      <c r="CV54" s="123"/>
      <c r="CW54" s="123"/>
      <c r="CX54" s="116"/>
      <c r="CY54" s="116"/>
      <c r="CZ54" s="116"/>
    </row>
    <row r="55" spans="1:104" ht="12.75">
      <c r="A55" s="2">
        <f t="shared" si="18"/>
        <v>44</v>
      </c>
      <c r="B55" s="7">
        <v>42547.625</v>
      </c>
      <c r="C55" s="4" t="s">
        <v>141</v>
      </c>
      <c r="D55" s="70" t="str">
        <f>M7</f>
        <v>Frankreich</v>
      </c>
      <c r="E55" s="22" t="s">
        <v>21</v>
      </c>
      <c r="F55" s="68" t="str">
        <f>VLOOKUP(O55,$B$35:$C$38,2,TRUE)</f>
        <v>Polen</v>
      </c>
      <c r="G55" s="24"/>
      <c r="H55" s="137">
        <f ca="1" t="shared" si="15"/>
        <v>1</v>
      </c>
      <c r="I55" s="28" t="s">
        <v>22</v>
      </c>
      <c r="J55" s="137">
        <f ca="1" t="shared" si="16"/>
        <v>0</v>
      </c>
      <c r="K55" s="9" t="s">
        <v>23</v>
      </c>
      <c r="L55" s="1"/>
      <c r="M55" s="90" t="str">
        <f t="shared" si="17"/>
        <v>Frankreich</v>
      </c>
      <c r="N55" s="1" t="str">
        <f>N7</f>
        <v>1A</v>
      </c>
      <c r="O55" s="1" t="str">
        <f>IF(AE56="",CONCATENATE("3",AB56),CONCATENATE("3",AE56))</f>
        <v>3C</v>
      </c>
      <c r="P55" s="1" t="s">
        <v>49</v>
      </c>
      <c r="Q55" s="1"/>
      <c r="V55" s="131"/>
      <c r="W55" s="131"/>
      <c r="Y55" s="3"/>
      <c r="Z55" s="131"/>
      <c r="AA55" s="131"/>
      <c r="AB55" s="124"/>
      <c r="AC55" s="116"/>
      <c r="AD55" s="116"/>
      <c r="AE55" s="13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X55" s="116"/>
      <c r="AY55" s="116"/>
      <c r="AZ55" s="116"/>
      <c r="BA55" s="2">
        <f>BA51+1</f>
        <v>49</v>
      </c>
      <c r="BB55" s="7">
        <v>42557.875</v>
      </c>
      <c r="BC55" s="4" t="s">
        <v>141</v>
      </c>
      <c r="BD55" s="106" t="str">
        <f>BM48</f>
        <v>Rumänien</v>
      </c>
      <c r="BE55" s="30" t="s">
        <v>21</v>
      </c>
      <c r="BF55" s="26" t="str">
        <f>BM49</f>
        <v>England</v>
      </c>
      <c r="BG55" s="24"/>
      <c r="BH55" s="136">
        <f ca="1">IF($B$64="",1,IF(OR(BJ55&lt;1,INT(RAND()*10&lt;6)),BJ55+1,BJ55-1))</f>
        <v>1</v>
      </c>
      <c r="BI55" s="28" t="s">
        <v>22</v>
      </c>
      <c r="BJ55" s="136">
        <f ca="1">IF($B$64="",0,INT(RAND()*5)+INT(RAND()*3)*INT(RAND()*2))</f>
        <v>0</v>
      </c>
      <c r="BK55" s="9" t="s">
        <v>23</v>
      </c>
      <c r="BL55" s="1"/>
      <c r="BM55" s="107" t="str">
        <f>IF(BJ55="","",IF(BJ55=BH55,"falsch!!! K.Remis",IF(BH55&gt;BJ55,BD55,BF55)))</f>
        <v>Rumänien</v>
      </c>
      <c r="BN55" s="1" t="s">
        <v>52</v>
      </c>
      <c r="BO55" s="1" t="s">
        <v>54</v>
      </c>
      <c r="BP55" s="1" t="s">
        <v>56</v>
      </c>
      <c r="BQ55" s="1"/>
      <c r="BR55" s="1"/>
      <c r="BS55" s="131"/>
      <c r="BT55" s="131"/>
      <c r="BU55" s="131"/>
      <c r="BV55" s="131"/>
      <c r="BW55" s="131"/>
      <c r="BX55" s="131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23"/>
      <c r="CQ55" s="123"/>
      <c r="CR55" s="123"/>
      <c r="CS55" s="123"/>
      <c r="CT55" s="123"/>
      <c r="CU55" s="123"/>
      <c r="CV55" s="123"/>
      <c r="CW55" s="123"/>
      <c r="CX55" s="116"/>
      <c r="CY55" s="116"/>
      <c r="CZ55" s="116"/>
    </row>
    <row r="56" spans="2:104" ht="12.75">
      <c r="B56" s="1"/>
      <c r="C56" s="3"/>
      <c r="D56" s="24"/>
      <c r="E56" s="21"/>
      <c r="F56" s="24"/>
      <c r="G56" s="24"/>
      <c r="H56" s="28"/>
      <c r="I56" s="13"/>
      <c r="J56" s="28"/>
      <c r="K56" s="78"/>
      <c r="L56" s="1"/>
      <c r="M56" s="3"/>
      <c r="N56" s="1"/>
      <c r="O56" s="1"/>
      <c r="P56" s="1"/>
      <c r="Q56" s="1"/>
      <c r="V56" s="131"/>
      <c r="W56" s="131"/>
      <c r="Y56" s="3" t="s">
        <v>79</v>
      </c>
      <c r="Z56" s="131"/>
      <c r="AA56" s="131" t="s">
        <v>126</v>
      </c>
      <c r="AB56" s="148" t="str">
        <f>IF(COUNTIF($CI$33:$CI$41,C$31)&gt;0,$CI$32,IF(COUNTIF($CJ$33:$CJ$41,C$31)&gt;0,$CJ$32,IF(COUNTIF($CK$33:$CK$41,C$31)&gt;0,$CK$32,CONCATENATE("??? ",C$31))))</f>
        <v>C</v>
      </c>
      <c r="AC56" s="116"/>
      <c r="AD56" s="116"/>
      <c r="AE56" s="134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X56" s="116"/>
      <c r="AY56" s="116"/>
      <c r="AZ56" s="116"/>
      <c r="BA56" s="2">
        <f>BA55+1</f>
        <v>50</v>
      </c>
      <c r="BB56" s="7">
        <v>42558.875</v>
      </c>
      <c r="BC56" s="4" t="s">
        <v>139</v>
      </c>
      <c r="BD56" s="91" t="str">
        <f>BM50</f>
        <v>Belgien</v>
      </c>
      <c r="BE56" s="30" t="s">
        <v>21</v>
      </c>
      <c r="BF56" s="92" t="str">
        <f>BM51</f>
        <v>Russland</v>
      </c>
      <c r="BG56" s="24"/>
      <c r="BH56" s="136">
        <f ca="1">IF($B$64="",1,IF(OR(BJ56&lt;1,INT(RAND()*10&lt;6)),BJ56+1,BJ56-1))</f>
        <v>1</v>
      </c>
      <c r="BI56" s="28" t="s">
        <v>22</v>
      </c>
      <c r="BJ56" s="136">
        <f ca="1">IF($B$64="",0,INT(RAND()*5)+INT(RAND()*3)*INT(RAND()*2))</f>
        <v>0</v>
      </c>
      <c r="BK56" s="9" t="s">
        <v>23</v>
      </c>
      <c r="BL56" s="1"/>
      <c r="BM56" s="107" t="str">
        <f>IF(BJ56="","",IF(BJ56=BH56,"falsch!!! K.Remis",IF(BH56&gt;BJ56,BD56,BF56)))</f>
        <v>Belgien</v>
      </c>
      <c r="BN56" s="1" t="s">
        <v>51</v>
      </c>
      <c r="BO56" s="1" t="s">
        <v>53</v>
      </c>
      <c r="BP56" s="1" t="s">
        <v>57</v>
      </c>
      <c r="BQ56" s="1"/>
      <c r="BR56" s="1"/>
      <c r="BS56" s="131"/>
      <c r="BT56" s="131"/>
      <c r="BU56" s="131"/>
      <c r="BV56" s="131"/>
      <c r="BW56" s="131"/>
      <c r="BX56" s="131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23"/>
      <c r="CQ56" s="123"/>
      <c r="CR56" s="123"/>
      <c r="CS56" s="123"/>
      <c r="CT56" s="123"/>
      <c r="CU56" s="123"/>
      <c r="CV56" s="123"/>
      <c r="CW56" s="123"/>
      <c r="CX56" s="116"/>
      <c r="CY56" s="116"/>
      <c r="CZ56" s="116"/>
    </row>
    <row r="57" spans="8:104" ht="12.75">
      <c r="H57" s="2"/>
      <c r="I57" s="2"/>
      <c r="J57" s="2"/>
      <c r="K57" s="2"/>
      <c r="M57" s="2"/>
      <c r="Q57" s="1"/>
      <c r="R57" s="1"/>
      <c r="S57" s="131"/>
      <c r="T57" s="131"/>
      <c r="U57" s="131"/>
      <c r="V57" s="131"/>
      <c r="W57" s="131"/>
      <c r="Y57" s="116"/>
      <c r="Z57" s="116"/>
      <c r="AA57" s="116"/>
      <c r="AB57" s="116"/>
      <c r="AC57" s="116"/>
      <c r="AD57" s="116"/>
      <c r="AE57" s="123" t="s">
        <v>127</v>
      </c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X57" s="116"/>
      <c r="AY57" s="116"/>
      <c r="AZ57" s="116"/>
      <c r="BB57" s="1"/>
      <c r="BC57" s="3"/>
      <c r="BD57" s="24"/>
      <c r="BE57" s="21"/>
      <c r="BF57" s="24"/>
      <c r="BG57" s="24"/>
      <c r="BH57" s="28"/>
      <c r="BI57" s="13"/>
      <c r="BJ57" s="28"/>
      <c r="BK57" s="78"/>
      <c r="BL57" s="1"/>
      <c r="BM57" s="93" t="str">
        <f>IF(BJ55="","",IF(BD55=BM55,BF55,BD55))</f>
        <v>England</v>
      </c>
      <c r="BN57" s="1"/>
      <c r="BO57" s="1"/>
      <c r="BP57" s="1" t="s">
        <v>58</v>
      </c>
      <c r="BQ57" s="1"/>
      <c r="BR57" s="1"/>
      <c r="BS57" s="131"/>
      <c r="BT57" s="131"/>
      <c r="BU57" s="131"/>
      <c r="BV57" s="131"/>
      <c r="BW57" s="131"/>
      <c r="BX57" s="131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23"/>
      <c r="CQ57" s="123"/>
      <c r="CR57" s="123"/>
      <c r="CS57" s="123"/>
      <c r="CT57" s="123"/>
      <c r="CU57" s="123"/>
      <c r="CV57" s="123"/>
      <c r="CW57" s="123"/>
      <c r="CX57" s="116"/>
      <c r="CY57" s="116"/>
      <c r="CZ57" s="116"/>
    </row>
    <row r="58" spans="2:104" ht="12.75">
      <c r="B58" s="94" t="s">
        <v>60</v>
      </c>
      <c r="C58" s="3"/>
      <c r="D58" s="12"/>
      <c r="E58" s="23"/>
      <c r="F58" s="12"/>
      <c r="G58" s="12"/>
      <c r="H58" s="101"/>
      <c r="J58" s="101"/>
      <c r="K58" s="78"/>
      <c r="M58" s="2" t="s">
        <v>174</v>
      </c>
      <c r="P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B58" s="94"/>
      <c r="BC58" s="3"/>
      <c r="BD58" s="12"/>
      <c r="BE58" s="23"/>
      <c r="BF58" s="12"/>
      <c r="BG58" s="12"/>
      <c r="BH58" s="31"/>
      <c r="BJ58" s="31"/>
      <c r="BK58" s="78"/>
      <c r="BM58" s="93" t="str">
        <f>IF(BJ56="","",IF(BD56=BM56,BF56,BD56))</f>
        <v>Russland</v>
      </c>
      <c r="BP58" s="1" t="s">
        <v>59</v>
      </c>
      <c r="BQ58" s="1"/>
      <c r="BR58" s="1"/>
      <c r="BS58" s="131"/>
      <c r="BT58" s="131"/>
      <c r="BU58" s="131"/>
      <c r="BV58" s="131"/>
      <c r="BW58" s="131"/>
      <c r="BX58" s="131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23"/>
      <c r="CQ58" s="123"/>
      <c r="CR58" s="123"/>
      <c r="CS58" s="123"/>
      <c r="CT58" s="123"/>
      <c r="CU58" s="123"/>
      <c r="CV58" s="123"/>
      <c r="CW58" s="123"/>
      <c r="CX58" s="116"/>
      <c r="CY58" s="116"/>
      <c r="CZ58" s="116"/>
    </row>
    <row r="59" spans="1:104" ht="12.75">
      <c r="A59" s="2">
        <f>BA56+1</f>
        <v>51</v>
      </c>
      <c r="B59" s="7">
        <v>42561.875</v>
      </c>
      <c r="C59" s="4" t="s">
        <v>136</v>
      </c>
      <c r="D59" s="66" t="str">
        <f>BM55</f>
        <v>Rumänien</v>
      </c>
      <c r="E59" s="30" t="s">
        <v>21</v>
      </c>
      <c r="F59" s="66" t="str">
        <f>BM56</f>
        <v>Belgien</v>
      </c>
      <c r="G59" s="24"/>
      <c r="H59" s="137">
        <f ca="1">IF($B$64="",1,IF(OR(J59&lt;1,INT(RAND()*10&lt;6)),J59+1,J59-1))</f>
        <v>1</v>
      </c>
      <c r="I59" s="28" t="s">
        <v>22</v>
      </c>
      <c r="J59" s="137">
        <f ca="1">IF($B$64="",0,INT(RAND()*5)+INT(RAND()*3)*INT(RAND()*2))</f>
        <v>0</v>
      </c>
      <c r="K59" s="9" t="s">
        <v>23</v>
      </c>
      <c r="L59" s="1"/>
      <c r="M59" s="95" t="str">
        <f>IF(J59="","",IF(J59=H59,"falsch!!! K.Remis",IF(H59&gt;J59,D59,F59)))</f>
        <v>Rumänien</v>
      </c>
      <c r="N59" s="1" t="str">
        <f>BP55</f>
        <v>F1</v>
      </c>
      <c r="O59" s="1" t="str">
        <f>BP56</f>
        <v>F2</v>
      </c>
      <c r="P59" s="1"/>
      <c r="AE59" s="132"/>
      <c r="AF59" s="140"/>
      <c r="BS59" s="123"/>
      <c r="BT59" s="123"/>
      <c r="BU59" s="123"/>
      <c r="BV59" s="123"/>
      <c r="BW59" s="123"/>
      <c r="BX59" s="123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23"/>
      <c r="CQ59" s="123"/>
      <c r="CR59" s="123"/>
      <c r="CS59" s="123"/>
      <c r="CT59" s="123"/>
      <c r="CU59" s="123"/>
      <c r="CV59" s="123"/>
      <c r="CW59" s="123"/>
      <c r="CX59" s="116"/>
      <c r="CY59" s="116"/>
      <c r="CZ59" s="116"/>
    </row>
    <row r="60" spans="17:104" ht="12.75">
      <c r="Q60" s="1"/>
      <c r="R60" s="1"/>
      <c r="S60" s="131"/>
      <c r="T60" s="131"/>
      <c r="U60" s="131"/>
      <c r="V60" s="131"/>
      <c r="W60" s="131"/>
      <c r="AE60" s="131"/>
      <c r="AF60" s="139"/>
      <c r="AG60" s="131"/>
      <c r="AH60" s="131"/>
      <c r="AO60" s="131"/>
      <c r="BB60" s="3"/>
      <c r="BC60" s="3"/>
      <c r="BD60" s="12"/>
      <c r="BE60" s="23"/>
      <c r="BF60" s="12"/>
      <c r="BG60" s="12"/>
      <c r="BH60" s="31"/>
      <c r="BJ60" s="31"/>
      <c r="BK60" s="78"/>
      <c r="BM60" s="2"/>
      <c r="BP60" s="1"/>
      <c r="BQ60" s="1"/>
      <c r="BR60" s="1"/>
      <c r="BS60" s="131"/>
      <c r="BT60" s="131"/>
      <c r="BU60" s="131"/>
      <c r="BV60" s="131"/>
      <c r="BW60" s="131"/>
      <c r="BX60" s="123"/>
      <c r="BZ60" s="123"/>
      <c r="CA60" s="123"/>
      <c r="CB60" s="123"/>
      <c r="CC60" s="123"/>
      <c r="CD60" s="123"/>
      <c r="CE60" s="131"/>
      <c r="CF60" s="139"/>
      <c r="CG60" s="131"/>
      <c r="CH60" s="131"/>
      <c r="CI60" s="123"/>
      <c r="CJ60" s="123"/>
      <c r="CK60" s="123"/>
      <c r="CL60" s="123"/>
      <c r="CM60" s="123"/>
      <c r="CN60" s="123"/>
      <c r="CO60" s="131"/>
      <c r="CP60" s="123"/>
      <c r="CQ60" s="123"/>
      <c r="CR60" s="123"/>
      <c r="CS60" s="123"/>
      <c r="CT60" s="123"/>
      <c r="CU60" s="123"/>
      <c r="CV60" s="123"/>
      <c r="CW60" s="123"/>
      <c r="CX60" s="116"/>
      <c r="CY60" s="116"/>
      <c r="CZ60" s="116"/>
    </row>
    <row r="61" spans="17:104" ht="12.75">
      <c r="Q61" s="1"/>
      <c r="R61" s="1"/>
      <c r="S61" s="131"/>
      <c r="T61" s="131"/>
      <c r="U61" s="131"/>
      <c r="V61" s="131"/>
      <c r="W61" s="131"/>
      <c r="AE61" s="131"/>
      <c r="AF61" s="139"/>
      <c r="AG61" s="131"/>
      <c r="AH61" s="131"/>
      <c r="AO61" s="131"/>
      <c r="BB61" s="7"/>
      <c r="BC61" s="4"/>
      <c r="BD61" s="12"/>
      <c r="BE61" s="23"/>
      <c r="BF61" s="12"/>
      <c r="BG61" s="12"/>
      <c r="BH61" s="31"/>
      <c r="BJ61" s="31"/>
      <c r="BL61" s="1"/>
      <c r="BM61" s="3"/>
      <c r="BN61" s="1"/>
      <c r="BO61" s="1"/>
      <c r="BQ61" s="1"/>
      <c r="BR61" s="1"/>
      <c r="BS61" s="131"/>
      <c r="BT61" s="131"/>
      <c r="BU61" s="131"/>
      <c r="BV61" s="131"/>
      <c r="BW61" s="131"/>
      <c r="BX61" s="123"/>
      <c r="BZ61" s="123"/>
      <c r="CA61" s="123"/>
      <c r="CB61" s="123"/>
      <c r="CC61" s="123"/>
      <c r="CD61" s="123"/>
      <c r="CE61" s="131"/>
      <c r="CF61" s="139"/>
      <c r="CG61" s="131"/>
      <c r="CH61" s="131"/>
      <c r="CI61" s="123"/>
      <c r="CJ61" s="123"/>
      <c r="CK61" s="123"/>
      <c r="CL61" s="123"/>
      <c r="CM61" s="123"/>
      <c r="CN61" s="123"/>
      <c r="CO61" s="131"/>
      <c r="CP61" s="123"/>
      <c r="CQ61" s="123"/>
      <c r="CR61" s="123"/>
      <c r="CS61" s="123"/>
      <c r="CT61" s="123"/>
      <c r="CU61" s="123"/>
      <c r="CV61" s="123"/>
      <c r="CW61" s="123"/>
      <c r="CX61" s="116"/>
      <c r="CY61" s="116"/>
      <c r="CZ61" s="116"/>
    </row>
    <row r="62" spans="8:104" ht="13.5" thickBot="1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D62" s="12"/>
      <c r="BE62" s="23"/>
      <c r="BF62" s="12"/>
      <c r="BG62" s="12"/>
      <c r="BH62" s="31"/>
      <c r="BJ62" s="31"/>
      <c r="BK62" s="78"/>
      <c r="BM62" s="2"/>
      <c r="BQ62" s="1"/>
      <c r="BR62" s="1"/>
      <c r="BS62" s="131"/>
      <c r="BT62" s="131"/>
      <c r="BU62" s="131"/>
      <c r="BV62" s="131"/>
      <c r="BW62" s="131"/>
      <c r="BX62" s="123"/>
      <c r="BZ62" s="123"/>
      <c r="CA62" s="123"/>
      <c r="CB62" s="123"/>
      <c r="CC62" s="123"/>
      <c r="CD62" s="123"/>
      <c r="CE62" s="131"/>
      <c r="CF62" s="139"/>
      <c r="CG62" s="131"/>
      <c r="CH62" s="131"/>
      <c r="CI62" s="123"/>
      <c r="CJ62" s="123"/>
      <c r="CK62" s="123"/>
      <c r="CL62" s="123"/>
      <c r="CM62" s="123"/>
      <c r="CN62" s="123"/>
      <c r="CO62" s="131"/>
      <c r="CP62" s="123"/>
      <c r="CQ62" s="123"/>
      <c r="CR62" s="123"/>
      <c r="CS62" s="123"/>
      <c r="CT62" s="123"/>
      <c r="CU62" s="123"/>
      <c r="CV62" s="123"/>
      <c r="CW62" s="123"/>
      <c r="CX62" s="116"/>
      <c r="CY62" s="116"/>
      <c r="CZ62" s="116"/>
    </row>
    <row r="63" spans="2:93" ht="14.25" thickBot="1" thickTop="1">
      <c r="B63" s="16" t="s">
        <v>23</v>
      </c>
      <c r="C63" s="1" t="s">
        <v>62</v>
      </c>
      <c r="D63" s="3"/>
      <c r="E63" s="3"/>
      <c r="F63" s="3"/>
      <c r="G63" s="108"/>
      <c r="H63" s="115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 s="116"/>
      <c r="CH63" s="116"/>
      <c r="CI63" s="116"/>
      <c r="CJ63" s="116"/>
      <c r="CK63" s="116"/>
      <c r="CL63" s="116"/>
      <c r="CM63" s="116"/>
      <c r="CN63" s="116"/>
      <c r="CO63" s="116"/>
    </row>
    <row r="64" spans="2:93" ht="14.25" thickBot="1" thickTop="1">
      <c r="B64" s="16"/>
      <c r="C64" s="1" t="s">
        <v>73</v>
      </c>
      <c r="E64" s="3"/>
      <c r="F64" s="3"/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82" ht="14.25" thickBot="1" thickTop="1">
      <c r="B65" s="110">
        <f ca="1">IF($B$64="",1,INT(RAND()*5)+INT(RAND()*3)*INT(RAND()*2))</f>
        <v>1</v>
      </c>
      <c r="C65" s="1" t="s">
        <v>61</v>
      </c>
      <c r="E65" s="3"/>
      <c r="F65" s="3"/>
      <c r="AD65" s="132"/>
      <c r="BB65"/>
      <c r="BC65"/>
      <c r="BD65"/>
      <c r="BE65"/>
      <c r="BF65"/>
      <c r="BG65"/>
      <c r="BH65"/>
      <c r="BI65"/>
      <c r="BJ65"/>
      <c r="BK65"/>
      <c r="CD65" s="3"/>
    </row>
    <row r="66" spans="30:83" ht="13.5" thickTop="1">
      <c r="AD66" s="132"/>
      <c r="AE66" s="123"/>
      <c r="BB66"/>
      <c r="BC66"/>
      <c r="BD66"/>
      <c r="BE66"/>
      <c r="BF66"/>
      <c r="BG66"/>
      <c r="BH66"/>
      <c r="BI66"/>
      <c r="BJ66"/>
      <c r="BK66"/>
      <c r="CD66" s="3"/>
      <c r="CE66" s="2"/>
    </row>
    <row r="67" spans="30:83" ht="12.75">
      <c r="AD67" s="132"/>
      <c r="AE67" s="123"/>
      <c r="BB67"/>
      <c r="BC67"/>
      <c r="BD67"/>
      <c r="BE67"/>
      <c r="BF67"/>
      <c r="BG67"/>
      <c r="BH67"/>
      <c r="BI67"/>
      <c r="BJ67"/>
      <c r="BK67"/>
      <c r="CD67" s="3"/>
      <c r="CE67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64"/>
  <sheetViews>
    <sheetView workbookViewId="0" topLeftCell="A1">
      <selection activeCell="H63" sqref="H63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5" customWidth="1"/>
    <col min="9" max="9" width="1.57421875" style="15" customWidth="1"/>
    <col min="10" max="10" width="3.57421875" style="15" customWidth="1"/>
    <col min="11" max="11" width="3.00390625" style="9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123" hidden="1" customWidth="1"/>
    <col min="23" max="23" width="1.7109375" style="123" hidden="1" customWidth="1"/>
    <col min="24" max="24" width="3.00390625" style="123" hidden="1" customWidth="1"/>
    <col min="25" max="25" width="14.28125" style="123" hidden="1" customWidth="1"/>
    <col min="26" max="26" width="2.28125" style="123" hidden="1" customWidth="1"/>
    <col min="27" max="27" width="3.28125" style="123" hidden="1" customWidth="1"/>
    <col min="28" max="28" width="3.00390625" style="123" hidden="1" customWidth="1"/>
    <col min="29" max="29" width="4.421875" style="123" hidden="1" customWidth="1"/>
    <col min="30" max="30" width="19.28125" style="123" hidden="1" customWidth="1"/>
    <col min="31" max="31" width="3.140625" style="140" hidden="1" customWidth="1"/>
    <col min="32" max="32" width="3.57421875" style="123" hidden="1" customWidth="1"/>
    <col min="33" max="36" width="2.8515625" style="123" hidden="1" customWidth="1"/>
    <col min="37" max="37" width="3.140625" style="123" hidden="1" customWidth="1"/>
    <col min="38" max="38" width="6.421875" style="123" hidden="1" customWidth="1"/>
    <col min="39" max="42" width="2.8515625" style="123" hidden="1" customWidth="1"/>
    <col min="43" max="43" width="7.7109375" style="123" hidden="1" customWidth="1"/>
    <col min="44" max="47" width="3.00390625" style="123" hidden="1" customWidth="1"/>
    <col min="48" max="48" width="3.140625" style="123" hidden="1" customWidth="1"/>
    <col min="49" max="52" width="11.421875" style="123" hidden="1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5" customWidth="1"/>
    <col min="61" max="61" width="1.57421875" style="15" customWidth="1"/>
    <col min="62" max="62" width="3.57421875" style="15" customWidth="1"/>
    <col min="63" max="63" width="3.00390625" style="9" customWidth="1"/>
    <col min="64" max="64" width="2.00390625" style="2" customWidth="1"/>
    <col min="65" max="65" width="14.28125" style="11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123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10" hidden="1" customWidth="1"/>
    <col min="84" max="100" width="5.00390625" style="2" hidden="1" customWidth="1"/>
    <col min="101" max="104" width="11.421875" style="2" hidden="1" customWidth="1"/>
    <col min="105" max="16384" width="11.421875" style="2" customWidth="1"/>
  </cols>
  <sheetData>
    <row r="1" spans="1:100" s="12" customFormat="1" ht="14.25" thickBot="1" thickTop="1">
      <c r="A1" s="12" t="s">
        <v>70</v>
      </c>
      <c r="B1" s="50" t="s">
        <v>0</v>
      </c>
      <c r="C1" s="43" t="s">
        <v>1</v>
      </c>
      <c r="D1" s="24" t="s">
        <v>2</v>
      </c>
      <c r="E1" s="21"/>
      <c r="F1" s="24"/>
      <c r="G1" s="112"/>
      <c r="H1" s="113"/>
      <c r="I1" s="27"/>
      <c r="J1" s="28"/>
      <c r="K1" s="29"/>
      <c r="L1" s="24"/>
      <c r="M1" s="69" t="s">
        <v>3</v>
      </c>
      <c r="N1" s="24" t="s">
        <v>4</v>
      </c>
      <c r="O1" s="24" t="s">
        <v>5</v>
      </c>
      <c r="P1" s="24" t="s">
        <v>6</v>
      </c>
      <c r="Q1" s="24" t="s">
        <v>7</v>
      </c>
      <c r="R1" s="24"/>
      <c r="S1" s="123"/>
      <c r="T1" s="123"/>
      <c r="U1" s="123"/>
      <c r="V1" s="123"/>
      <c r="W1" s="124"/>
      <c r="X1" s="124" t="s">
        <v>8</v>
      </c>
      <c r="Y1" s="125" t="s">
        <v>9</v>
      </c>
      <c r="Z1" s="124" t="s">
        <v>4</v>
      </c>
      <c r="AA1" s="124" t="s">
        <v>5</v>
      </c>
      <c r="AB1" s="124" t="s">
        <v>6</v>
      </c>
      <c r="AC1" s="124" t="s">
        <v>7</v>
      </c>
      <c r="AD1" s="124"/>
      <c r="AE1" s="27" t="s">
        <v>10</v>
      </c>
      <c r="AF1" s="80" t="s">
        <v>11</v>
      </c>
      <c r="AG1" s="80"/>
      <c r="AH1" s="80"/>
      <c r="AI1" s="80"/>
      <c r="AJ1" s="80" t="s">
        <v>12</v>
      </c>
      <c r="AK1" s="125" t="s">
        <v>13</v>
      </c>
      <c r="AL1" s="80" t="s">
        <v>14</v>
      </c>
      <c r="AM1" s="80"/>
      <c r="AN1" s="80"/>
      <c r="AO1" s="80"/>
      <c r="AP1" s="80" t="s">
        <v>15</v>
      </c>
      <c r="AQ1" s="80" t="s">
        <v>16</v>
      </c>
      <c r="AR1" s="80"/>
      <c r="AS1" s="80"/>
      <c r="AT1" s="80"/>
      <c r="AU1" s="126" t="s">
        <v>17</v>
      </c>
      <c r="AV1" s="125" t="s">
        <v>18</v>
      </c>
      <c r="AW1" s="127"/>
      <c r="AX1" s="128"/>
      <c r="AY1" s="128"/>
      <c r="AZ1" s="128"/>
      <c r="BB1" s="156" t="s">
        <v>0</v>
      </c>
      <c r="BC1" s="155" t="s">
        <v>32</v>
      </c>
      <c r="BD1" s="24" t="s">
        <v>2</v>
      </c>
      <c r="BE1" s="21"/>
      <c r="BF1" s="24"/>
      <c r="BG1" s="112"/>
      <c r="BH1" s="113"/>
      <c r="BI1" s="27"/>
      <c r="BJ1" s="28"/>
      <c r="BK1" s="29"/>
      <c r="BL1" s="24"/>
      <c r="BM1" s="69" t="s">
        <v>3</v>
      </c>
      <c r="BN1" s="24" t="s">
        <v>4</v>
      </c>
      <c r="BO1" s="24" t="s">
        <v>5</v>
      </c>
      <c r="BP1" s="24" t="s">
        <v>6</v>
      </c>
      <c r="BQ1" s="24" t="s">
        <v>7</v>
      </c>
      <c r="BR1" s="24"/>
      <c r="BS1" s="2"/>
      <c r="BT1" s="2"/>
      <c r="BU1" s="2"/>
      <c r="BV1" s="2"/>
      <c r="BW1" s="24"/>
      <c r="BX1" s="24" t="s">
        <v>8</v>
      </c>
      <c r="BY1" s="125" t="s">
        <v>9</v>
      </c>
      <c r="BZ1" s="24" t="s">
        <v>4</v>
      </c>
      <c r="CA1" s="24" t="s">
        <v>5</v>
      </c>
      <c r="CB1" s="24" t="s">
        <v>6</v>
      </c>
      <c r="CC1" s="24" t="s">
        <v>7</v>
      </c>
      <c r="CD1" s="24"/>
      <c r="CE1" s="29" t="s">
        <v>10</v>
      </c>
      <c r="CF1" s="22" t="s">
        <v>11</v>
      </c>
      <c r="CG1" s="22"/>
      <c r="CH1" s="22"/>
      <c r="CI1" s="22"/>
      <c r="CJ1" s="22" t="s">
        <v>12</v>
      </c>
      <c r="CK1" s="30" t="s">
        <v>13</v>
      </c>
      <c r="CL1" s="22" t="s">
        <v>14</v>
      </c>
      <c r="CM1" s="22"/>
      <c r="CN1" s="22"/>
      <c r="CO1" s="22"/>
      <c r="CP1" s="22" t="s">
        <v>15</v>
      </c>
      <c r="CQ1" s="22" t="s">
        <v>16</v>
      </c>
      <c r="CR1" s="22"/>
      <c r="CS1" s="22"/>
      <c r="CT1" s="22"/>
      <c r="CU1" s="23" t="s">
        <v>17</v>
      </c>
      <c r="CV1" s="30" t="s">
        <v>18</v>
      </c>
    </row>
    <row r="2" spans="2:100" ht="13.5" thickTop="1">
      <c r="B2" s="3" t="s">
        <v>19</v>
      </c>
      <c r="C2" s="3" t="s">
        <v>20</v>
      </c>
      <c r="L2" s="1"/>
      <c r="M2" s="11" t="str">
        <f>VLOOKUP(1,$X$2:$AC$5,2,FALSE)</f>
        <v>Frankreich</v>
      </c>
      <c r="N2" s="2">
        <f>VLOOKUP(1,$X$2:$AC$5,3,FALSE)</f>
        <v>0</v>
      </c>
      <c r="O2" s="2">
        <f>VLOOKUP(1,$X$2:$AC$5,4,FALSE)</f>
        <v>0</v>
      </c>
      <c r="P2" s="2">
        <f>VLOOKUP(1,$X$2:$AC$5,5,FALSE)</f>
        <v>0</v>
      </c>
      <c r="Q2" s="2">
        <f>VLOOKUP(1,$X$2:$AC$5,6,FALSE)</f>
        <v>0</v>
      </c>
      <c r="S2" s="129"/>
      <c r="T2" s="130">
        <f>IF(H3="",0,IF(K3=$B$63,IF(H3&gt;J3,3,IF(H3=J3,1,0)),0))</f>
        <v>0</v>
      </c>
      <c r="U2" s="130">
        <f>IF(H5="",0,IF(K5=$B$63,IF(H5&gt;J5,3,IF(H5=J5,1,0)),0))</f>
        <v>0</v>
      </c>
      <c r="V2" s="130">
        <f>IF(J7="",0,IF(K7=$B$63,IF(H7&lt;J7,3,IF(H7=J7,1,0)),0))</f>
        <v>0</v>
      </c>
      <c r="W2" s="131"/>
      <c r="X2" s="185">
        <f>RANK(AD2,AD2:AD5)+COUNTIF(AD2:AD2,AD2)-1</f>
        <v>1</v>
      </c>
      <c r="Y2" s="132" t="s">
        <v>67</v>
      </c>
      <c r="Z2" s="131">
        <f>SUM(S2:V2)</f>
        <v>0</v>
      </c>
      <c r="AA2" s="131">
        <f>SUM(S6:V6)</f>
        <v>0</v>
      </c>
      <c r="AB2" s="131">
        <f>SUM(S6:S9)</f>
        <v>0</v>
      </c>
      <c r="AC2" s="131">
        <f>AA2-AB2</f>
        <v>0</v>
      </c>
      <c r="AD2" s="133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4</v>
      </c>
      <c r="AE2" s="134"/>
      <c r="AF2" s="135"/>
      <c r="AG2" s="135">
        <f>IF($Z2=$Z3,$T2-$S3,0)</f>
        <v>0</v>
      </c>
      <c r="AH2" s="135">
        <f>IF($Z2=$Z4,$U2-$S4,0)</f>
        <v>0</v>
      </c>
      <c r="AI2" s="135">
        <f>IF($Z2=$Z5,$V2-$S5,0)</f>
        <v>0</v>
      </c>
      <c r="AJ2" s="135">
        <f>SUM(AF2:AI2)</f>
        <v>0</v>
      </c>
      <c r="AK2" s="134"/>
      <c r="AL2" s="135"/>
      <c r="AM2" s="135">
        <f>IF($Z2=$Z3,$T6-$S7,0)</f>
        <v>0</v>
      </c>
      <c r="AN2" s="135">
        <f>IF($Z2=$Z4,$U6-$S8,0)</f>
        <v>0</v>
      </c>
      <c r="AO2" s="135">
        <f>IF($Z2=$Z5,$V6-$S9,0)</f>
        <v>0</v>
      </c>
      <c r="AP2" s="135">
        <f>SUM(AL2:AO2)</f>
        <v>0</v>
      </c>
      <c r="AQ2" s="135"/>
      <c r="AR2" s="135">
        <f>IF($Z2=$Z3,$T6,0)</f>
        <v>0</v>
      </c>
      <c r="AS2" s="135">
        <f>IF($Z2=$Z4,$U6,0)</f>
        <v>0</v>
      </c>
      <c r="AT2" s="135">
        <f>IF($Z2=$Z5,$V6,0)</f>
        <v>0</v>
      </c>
      <c r="AU2" s="135">
        <f>SUM(AQ2:AT2)</f>
        <v>0</v>
      </c>
      <c r="AV2" s="184">
        <f>IF(AND(COUNTIF(K3:K8,$B$63)=COUNTA(H3:H8),COUNTIF(K3:K8,$B$63)=COUNTA(J3:J8)),IF(AU2=AU3,T6-S7,IF(AU2=AU4,U6-S8,IF(AU2=AU5,V6-S9,4))),4)</f>
        <v>4</v>
      </c>
      <c r="AW2" s="133"/>
      <c r="BB2" s="3" t="s">
        <v>19</v>
      </c>
      <c r="BC2" s="3" t="s">
        <v>20</v>
      </c>
      <c r="BL2" s="1"/>
      <c r="BM2" s="11" t="str">
        <f>VLOOKUP(1,$BX$2:$CC$5,2,FALSE)</f>
        <v>Spanien</v>
      </c>
      <c r="BN2" s="2">
        <f>VLOOKUP(1,$BX$2:$CC$5,3,FALSE)</f>
        <v>0</v>
      </c>
      <c r="BO2" s="2">
        <f>VLOOKUP(1,$BX$2:$CC$5,4,FALSE)</f>
        <v>0</v>
      </c>
      <c r="BP2" s="2">
        <f>VLOOKUP(1,$BX$2:$CC$5,5,FALSE)</f>
        <v>0</v>
      </c>
      <c r="BQ2" s="2">
        <f>VLOOKUP(1,$BX$2:$CC$5,6,FALSE)</f>
        <v>0</v>
      </c>
      <c r="BS2" s="129"/>
      <c r="BT2" s="130">
        <f>IF(BH3="",0,IF(BK3=$B$63,IF(BH3&gt;BJ3,3,IF(BH3=BJ3,1,0)),0))</f>
        <v>0</v>
      </c>
      <c r="BU2" s="130">
        <f>IF(BH5="",0,IF(BK5=$B$63,IF(BH5&gt;BJ5,3,IF(BH5=BJ5,1,0)),0))</f>
        <v>0</v>
      </c>
      <c r="BV2" s="130">
        <f>IF(BJ7="",0,IF(BK7=$B$63,IF(BH7&lt;BJ7,3,IF(BH7=BJ7,1,0)),0))</f>
        <v>0</v>
      </c>
      <c r="BW2" s="1"/>
      <c r="BX2" s="185">
        <f>RANK(CD2,CD2:CD5)+COUNTIF(CD2:CD2,CD2)-1</f>
        <v>1</v>
      </c>
      <c r="BY2" s="132" t="s">
        <v>176</v>
      </c>
      <c r="BZ2" s="1">
        <f>SUM(BS2:BV2)</f>
        <v>0</v>
      </c>
      <c r="CA2" s="1">
        <f>SUM(BS6:BV6)</f>
        <v>0</v>
      </c>
      <c r="CB2" s="1">
        <f>SUM(BS6:BS9)</f>
        <v>0</v>
      </c>
      <c r="CC2" s="1">
        <f>CA2-CB2</f>
        <v>0</v>
      </c>
      <c r="CD2" s="33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4</v>
      </c>
      <c r="CE2" s="5"/>
      <c r="CF2" s="34"/>
      <c r="CG2" s="34">
        <f>IF($BZ2=$BZ3,$BT2-$BS3,0)</f>
        <v>0</v>
      </c>
      <c r="CH2" s="34">
        <f>IF($BZ2=$BZ4,$BU2-$BS4,0)</f>
        <v>0</v>
      </c>
      <c r="CI2" s="34">
        <f>IF($BZ2=$BZ5,$BV2-$BS5,0)</f>
        <v>0</v>
      </c>
      <c r="CJ2" s="34">
        <f>SUM(CF2:CI2)</f>
        <v>0</v>
      </c>
      <c r="CK2" s="5"/>
      <c r="CL2" s="34"/>
      <c r="CM2" s="34">
        <f>IF($BZ2=$BZ3,$BT6-$BS7,0)</f>
        <v>0</v>
      </c>
      <c r="CN2" s="34">
        <f>IF($BZ2=$BZ4,$BU6-$BS8,0)</f>
        <v>0</v>
      </c>
      <c r="CO2" s="34">
        <f>IF($BZ2=$BZ5,$BV6-$BS9,0)</f>
        <v>0</v>
      </c>
      <c r="CP2" s="34">
        <f>SUM(CL2:CO2)</f>
        <v>0</v>
      </c>
      <c r="CQ2" s="34"/>
      <c r="CR2" s="34">
        <f>IF($BZ2=$BZ3,$BT6,0)</f>
        <v>0</v>
      </c>
      <c r="CS2" s="34">
        <f>IF($BZ2=$BZ4,$BU6,0)</f>
        <v>0</v>
      </c>
      <c r="CT2" s="34">
        <f>IF($BZ2=$BZ5,$BV6,0)</f>
        <v>0</v>
      </c>
      <c r="CU2" s="34">
        <f>SUM(CQ2:CT2)</f>
        <v>0</v>
      </c>
      <c r="CV2" s="184">
        <f>IF(AND(COUNTIF(BK3:BK8,$B$63)=COUNTA(BH3:BH8),COUNTIF(BK3:BK8,$B$63)=COUNTA(BJ3:BJ8)),IF(CU2=CU3,BT6-BS7,IF(CU2=CU4,BU6-BS8,IF(CU2=CU5,BV6-BS9,4))),4)</f>
        <v>4</v>
      </c>
    </row>
    <row r="3" spans="1:100" ht="12.75">
      <c r="A3" s="2">
        <v>1</v>
      </c>
      <c r="B3" s="7">
        <v>42531.875</v>
      </c>
      <c r="C3" s="4" t="s">
        <v>136</v>
      </c>
      <c r="D3" s="125" t="str">
        <f>Y2</f>
        <v>Frankreich</v>
      </c>
      <c r="E3" s="80" t="s">
        <v>21</v>
      </c>
      <c r="F3" s="125" t="str">
        <f>Y3</f>
        <v>Rumänien</v>
      </c>
      <c r="G3" s="124"/>
      <c r="H3" s="136"/>
      <c r="I3" s="13" t="s">
        <v>22</v>
      </c>
      <c r="J3" s="136"/>
      <c r="K3" s="9" t="s">
        <v>23</v>
      </c>
      <c r="L3" s="1"/>
      <c r="M3" s="11" t="str">
        <f>VLOOKUP(2,$X$2:$AC$5,2,FALSE)</f>
        <v>Rumänien</v>
      </c>
      <c r="N3" s="2">
        <f>VLOOKUP(2,$X$2:$AC$5,3,FALSE)</f>
        <v>0</v>
      </c>
      <c r="O3" s="2">
        <f>VLOOKUP(2,$X$2:$AC$5,4,FALSE)</f>
        <v>0</v>
      </c>
      <c r="P3" s="2">
        <f>VLOOKUP(2,$X$2:$AC$5,5,FALSE)</f>
        <v>0</v>
      </c>
      <c r="Q3" s="2">
        <f>VLOOKUP(2,$X$2:$AC$5,6,FALSE)</f>
        <v>0</v>
      </c>
      <c r="S3" s="130">
        <f>IF(J3="",0,IF(K3=$B$63,IF(H3&lt;J3,3,IF(H3=J3,1,0)),0))</f>
        <v>0</v>
      </c>
      <c r="T3" s="129"/>
      <c r="U3" s="130">
        <f>IF(H8="",0,IF(K8=$B$63,IF(H8&gt;J8,3,IF(H8=J8,1,0)),0))</f>
        <v>0</v>
      </c>
      <c r="V3" s="130">
        <f>IF(H6="",0,IF(K6=$B$63,IF(H6&gt;J6,3,IF(H6=J6,1,0)),0))</f>
        <v>0</v>
      </c>
      <c r="W3" s="131"/>
      <c r="X3" s="185">
        <f>RANK(AD3,AD2:AD5)+COUNTIF(AD2:AD3,AD3)-1</f>
        <v>2</v>
      </c>
      <c r="Y3" s="132" t="s">
        <v>191</v>
      </c>
      <c r="Z3" s="131">
        <f>SUM(S3:V3)</f>
        <v>0</v>
      </c>
      <c r="AA3" s="131">
        <f>SUM(S7:V7)</f>
        <v>0</v>
      </c>
      <c r="AB3" s="131">
        <f>SUM(T6:T9)</f>
        <v>0</v>
      </c>
      <c r="AC3" s="131">
        <f>AA3-AB3</f>
        <v>0</v>
      </c>
      <c r="AD3" s="133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3</v>
      </c>
      <c r="AE3" s="134"/>
      <c r="AF3" s="135">
        <f>IF($Z3=$Z2,$S3-$T2,0)</f>
        <v>0</v>
      </c>
      <c r="AG3" s="135"/>
      <c r="AH3" s="135">
        <f>IF($Z3=$Z4,$U3-$T4,0)</f>
        <v>0</v>
      </c>
      <c r="AI3" s="135">
        <f>IF($Z3=$Z5,$V3-$T5,0)</f>
        <v>0</v>
      </c>
      <c r="AJ3" s="135">
        <f>SUM(AF3:AI3)</f>
        <v>0</v>
      </c>
      <c r="AK3" s="134"/>
      <c r="AL3" s="135">
        <f>IF($Z3=$Z2,$S7-$T6,0)</f>
        <v>0</v>
      </c>
      <c r="AM3" s="135"/>
      <c r="AN3" s="135">
        <f>IF($Z3=$Z4,$U7-$T8,0)</f>
        <v>0</v>
      </c>
      <c r="AO3" s="135">
        <f>IF($Z3=$Z5,$V7-$T9,0)</f>
        <v>0</v>
      </c>
      <c r="AP3" s="135">
        <f>SUM(AL3:AO3)</f>
        <v>0</v>
      </c>
      <c r="AQ3" s="135">
        <f>IF($Z3=$Z2,$S7,0)</f>
        <v>0</v>
      </c>
      <c r="AR3" s="135"/>
      <c r="AS3" s="135">
        <f>IF($Z3=$Z4,$U7,0)</f>
        <v>0</v>
      </c>
      <c r="AT3" s="135">
        <f>IF($Z3=$Z5,$V7,0)</f>
        <v>0</v>
      </c>
      <c r="AU3" s="135">
        <f>SUM(AQ3:AT3)</f>
        <v>0</v>
      </c>
      <c r="AV3" s="184">
        <f>IF(AND(COUNTIF(K3:K8,$B$63)=COUNTA(H3:H8),COUNTIF(K3:K8,$B$63)=COUNTA(J3:J8)),IF(AU3=AU2,S7-T6,IF(AU3=AU4,U7-T8,IF(AU3=AU5,V7-T9,3))),3)</f>
        <v>3</v>
      </c>
      <c r="AW3" s="133"/>
      <c r="BA3" s="2">
        <v>7</v>
      </c>
      <c r="BB3" s="7">
        <v>42534.625</v>
      </c>
      <c r="BC3" s="4" t="s">
        <v>144</v>
      </c>
      <c r="BD3" s="125" t="str">
        <f>BY2</f>
        <v>Spanien</v>
      </c>
      <c r="BE3" s="80" t="s">
        <v>21</v>
      </c>
      <c r="BF3" s="125" t="str">
        <f>BY3</f>
        <v>Tschechien</v>
      </c>
      <c r="BG3" s="124"/>
      <c r="BH3" s="136"/>
      <c r="BI3" s="13" t="s">
        <v>22</v>
      </c>
      <c r="BJ3" s="136"/>
      <c r="BK3" s="9" t="s">
        <v>23</v>
      </c>
      <c r="BL3" s="1"/>
      <c r="BM3" s="11" t="str">
        <f>VLOOKUP(2,$BX$2:$CC$5,2,FALSE)</f>
        <v>Tschechien</v>
      </c>
      <c r="BN3" s="2">
        <f>VLOOKUP(2,$BX$2:$CC$5,3,FALSE)</f>
        <v>0</v>
      </c>
      <c r="BO3" s="2">
        <f>VLOOKUP(2,$BX$2:$CC$5,4,FALSE)</f>
        <v>0</v>
      </c>
      <c r="BP3" s="2">
        <f>VLOOKUP(2,$BX$2:$CC$5,5,FALSE)</f>
        <v>0</v>
      </c>
      <c r="BQ3" s="2">
        <f>VLOOKUP(2,$BX$2:$CC$5,6,FALSE)</f>
        <v>0</v>
      </c>
      <c r="BS3" s="130">
        <f>IF(BJ3="",0,IF(BK3=$B$63,IF(BH3&lt;BJ3,3,IF(BH3=BJ3,1,0)),0))</f>
        <v>0</v>
      </c>
      <c r="BT3" s="129"/>
      <c r="BU3" s="130">
        <f>IF(BH8="",0,IF(BK8=$B$63,IF(BH8&gt;BJ8,3,IF(BH8=BJ8,1,0)),0))</f>
        <v>0</v>
      </c>
      <c r="BV3" s="130">
        <f>IF(BH6="",0,IF(BK6=$B$63,IF(BH6&gt;BJ6,3,IF(BH6=BJ6,1,0)),0))</f>
        <v>0</v>
      </c>
      <c r="BW3" s="1"/>
      <c r="BX3" s="185">
        <f>RANK(CD3,CD2:CD5)+COUNTIF(CD2:CD3,CD3)-1</f>
        <v>2</v>
      </c>
      <c r="BY3" s="132" t="s">
        <v>189</v>
      </c>
      <c r="BZ3" s="1">
        <f>SUM(BS3:BV3)</f>
        <v>0</v>
      </c>
      <c r="CA3" s="1">
        <f>SUM(BS7:BV7)</f>
        <v>0</v>
      </c>
      <c r="CB3" s="1">
        <f>SUM(BT6:BT9)</f>
        <v>0</v>
      </c>
      <c r="CC3" s="1">
        <f>CA3-CB3</f>
        <v>0</v>
      </c>
      <c r="CD3" s="33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3</v>
      </c>
      <c r="CE3" s="5"/>
      <c r="CF3" s="34">
        <f>IF($BZ3=$BZ2,$BS3-$BT2,0)</f>
        <v>0</v>
      </c>
      <c r="CG3" s="34"/>
      <c r="CH3" s="34">
        <f>IF($BZ3=$BZ4,$BU3-$BT4,0)</f>
        <v>0</v>
      </c>
      <c r="CI3" s="34">
        <f>IF($BZ3=$BZ5,$BV3-$BT5,0)</f>
        <v>0</v>
      </c>
      <c r="CJ3" s="34">
        <f>SUM(CF3:CI3)</f>
        <v>0</v>
      </c>
      <c r="CK3" s="5"/>
      <c r="CL3" s="34">
        <f>IF($BZ3=$BZ2,$BS7-$BT6,0)</f>
        <v>0</v>
      </c>
      <c r="CM3" s="34"/>
      <c r="CN3" s="34">
        <f>IF($BZ3=$BZ4,$BU7-$BT8,0)</f>
        <v>0</v>
      </c>
      <c r="CO3" s="34">
        <f>IF($BZ3=$BZ5,$BV7-$BT9,0)</f>
        <v>0</v>
      </c>
      <c r="CP3" s="34">
        <f>SUM(CL3:CO3)</f>
        <v>0</v>
      </c>
      <c r="CQ3" s="34">
        <f>IF($BZ3=$BZ2,$BS7,0)</f>
        <v>0</v>
      </c>
      <c r="CR3" s="34"/>
      <c r="CS3" s="34">
        <f>IF($BZ3=$BZ4,$BU7,0)</f>
        <v>0</v>
      </c>
      <c r="CT3" s="34">
        <f>IF($BZ3=$BZ5,$BV7,0)</f>
        <v>0</v>
      </c>
      <c r="CU3" s="34">
        <f>SUM(CQ3:CT3)</f>
        <v>0</v>
      </c>
      <c r="CV3" s="184">
        <f>IF(AND(COUNTIF(BK3:BK8,$B$63)=COUNTA(BH3:BH8),COUNTIF(BK3:BK8,$B$63)=COUNTA(BJ3:BJ8)),IF(CU3=CU2,BS7-BT6,IF(CU3=CU4,BU7-BT8,IF(CU3=CU5,BV7-BT9,3))),3)</f>
        <v>3</v>
      </c>
    </row>
    <row r="4" spans="1:100" ht="12.75">
      <c r="A4" s="2">
        <f>A3+1</f>
        <v>2</v>
      </c>
      <c r="B4" s="4">
        <v>42532.625</v>
      </c>
      <c r="C4" s="4" t="s">
        <v>137</v>
      </c>
      <c r="D4" s="125" t="str">
        <f>Y4</f>
        <v>Albanien</v>
      </c>
      <c r="E4" s="80" t="s">
        <v>21</v>
      </c>
      <c r="F4" s="125" t="str">
        <f>Y5</f>
        <v>Schweiz</v>
      </c>
      <c r="G4" s="124"/>
      <c r="H4" s="137"/>
      <c r="I4" s="13" t="s">
        <v>22</v>
      </c>
      <c r="J4" s="136"/>
      <c r="K4" s="9" t="s">
        <v>23</v>
      </c>
      <c r="L4" s="1"/>
      <c r="M4" s="11" t="str">
        <f>VLOOKUP(3,$X$2:$AC$5,2,FALSE)</f>
        <v>Albanien</v>
      </c>
      <c r="N4" s="2">
        <f>VLOOKUP(3,$X$2:$AC$5,3,FALSE)</f>
        <v>0</v>
      </c>
      <c r="O4" s="2">
        <f>VLOOKUP(3,$X$2:$AC$5,4,FALSE)</f>
        <v>0</v>
      </c>
      <c r="P4" s="2">
        <f>VLOOKUP(3,$X$2:$AC$5,5,FALSE)</f>
        <v>0</v>
      </c>
      <c r="Q4" s="2">
        <f>VLOOKUP(3,$X$2:$AC$5,6,FALSE)</f>
        <v>0</v>
      </c>
      <c r="S4" s="130">
        <f>IF(J5="",0,IF(K5=$B$63,IF(H5&lt;J5,3,IF(H5=J5,1,0)),0))</f>
        <v>0</v>
      </c>
      <c r="T4" s="130">
        <f>IF(J8="",0,IF(K8=$B$63,IF(H8&lt;J8,3,IF(H8=J8,1,0)),0))</f>
        <v>0</v>
      </c>
      <c r="U4" s="129"/>
      <c r="V4" s="130">
        <f>IF(H4="",0,IF(K4=$B$63,IF(H4&gt;J4,3,IF(H4=J4,1,0)),0))</f>
        <v>0</v>
      </c>
      <c r="W4" s="131"/>
      <c r="X4" s="185">
        <f>RANK(AD4,AD2:AD5)+COUNTIF(AD2:AD4,AD4)-1</f>
        <v>3</v>
      </c>
      <c r="Y4" s="132" t="s">
        <v>187</v>
      </c>
      <c r="Z4" s="131">
        <f>SUM(S4:V4)</f>
        <v>0</v>
      </c>
      <c r="AA4" s="131">
        <f>SUM(S8:V8)</f>
        <v>0</v>
      </c>
      <c r="AB4" s="131">
        <f>SUM(U6:U9)</f>
        <v>0</v>
      </c>
      <c r="AC4" s="131">
        <f>AA4-AB4</f>
        <v>0</v>
      </c>
      <c r="AD4" s="133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2</v>
      </c>
      <c r="AE4" s="134"/>
      <c r="AF4" s="135">
        <f>IF($Z4=$Z2,$S4-$U2,0)</f>
        <v>0</v>
      </c>
      <c r="AG4" s="135">
        <f>IF($Z4=$Z3,$T4-$U3,0)</f>
        <v>0</v>
      </c>
      <c r="AH4" s="135"/>
      <c r="AI4" s="135">
        <f>IF($Z4=$Z5,$V4-$U5,0)</f>
        <v>0</v>
      </c>
      <c r="AJ4" s="135">
        <f>SUM(AF4:AI4)</f>
        <v>0</v>
      </c>
      <c r="AK4" s="134"/>
      <c r="AL4" s="135">
        <f>IF($Z4=$Z2,$S8-$U6,0)</f>
        <v>0</v>
      </c>
      <c r="AM4" s="135">
        <f>IF($Z4=$Z3,$T8-$U7,0)</f>
        <v>0</v>
      </c>
      <c r="AN4" s="135"/>
      <c r="AO4" s="135">
        <f>IF($Z4=$Z5,$V8-$U9,0)</f>
        <v>0</v>
      </c>
      <c r="AP4" s="135">
        <f>SUM(AL4:AO4)</f>
        <v>0</v>
      </c>
      <c r="AQ4" s="135">
        <f>IF($Z4=$Z2,$S8,0)</f>
        <v>0</v>
      </c>
      <c r="AR4" s="135">
        <f>IF($Z4=$Z3,$T8,0)</f>
        <v>0</v>
      </c>
      <c r="AS4" s="135"/>
      <c r="AT4" s="135">
        <f>IF($Z4=$Z5,$V8,0)</f>
        <v>0</v>
      </c>
      <c r="AU4" s="135">
        <f>SUM(AQ4:AT4)</f>
        <v>0</v>
      </c>
      <c r="AV4" s="184">
        <f>IF(AND(COUNTIF(K3:K8,$B$63)=COUNTA(H3:H8),COUNTIF(K3:K8,$B$63)=COUNTA(J3:J8)),IF(AU4=AU2,S8-U6,IF(AU4=AU3,T8-U7,IF(AU4=AU5,V8-U9,2))),2)</f>
        <v>2</v>
      </c>
      <c r="AW4" s="133"/>
      <c r="BA4" s="2">
        <v>8</v>
      </c>
      <c r="BB4" s="7">
        <v>42533.625</v>
      </c>
      <c r="BC4" s="4" t="s">
        <v>138</v>
      </c>
      <c r="BD4" s="125" t="str">
        <f>BY4</f>
        <v>Türkei</v>
      </c>
      <c r="BE4" s="80" t="s">
        <v>21</v>
      </c>
      <c r="BF4" s="125" t="str">
        <f>BY5</f>
        <v>Kroatien</v>
      </c>
      <c r="BG4" s="124"/>
      <c r="BH4" s="137"/>
      <c r="BI4" s="13" t="s">
        <v>22</v>
      </c>
      <c r="BJ4" s="136"/>
      <c r="BK4" s="9" t="s">
        <v>23</v>
      </c>
      <c r="BL4" s="1"/>
      <c r="BM4" s="11" t="str">
        <f>VLOOKUP(3,$BX$2:$CC$5,2,FALSE)</f>
        <v>Türkei</v>
      </c>
      <c r="BN4" s="2">
        <f>VLOOKUP(3,$BX$2:$CC$5,3,FALSE)</f>
        <v>0</v>
      </c>
      <c r="BO4" s="2">
        <f>VLOOKUP(3,$BX$2:$CC$5,4,FALSE)</f>
        <v>0</v>
      </c>
      <c r="BP4" s="2">
        <f>VLOOKUP(3,$BX$2:$CC$5,5,FALSE)</f>
        <v>0</v>
      </c>
      <c r="BQ4" s="2">
        <f>VLOOKUP(3,$BX$2:$CC$5,6,FALSE)</f>
        <v>0</v>
      </c>
      <c r="BS4" s="130">
        <f>IF(BJ5="",0,IF(BK5=$B$63,IF(BH5&lt;BJ5,3,IF(BH5=BJ5,1,0)),0))</f>
        <v>0</v>
      </c>
      <c r="BT4" s="130">
        <f>IF(BJ8="",0,IF(BK8=$B$63,IF(BH8&lt;BJ8,3,IF(BH8=BJ8,1,0)),0))</f>
        <v>0</v>
      </c>
      <c r="BU4" s="129"/>
      <c r="BV4" s="130">
        <f>IF(BH4="",0,IF(BK4=$B$63,IF(BH4&gt;BJ4,3,IF(BH4=BJ4,1,0)),0))</f>
        <v>0</v>
      </c>
      <c r="BW4" s="1"/>
      <c r="BX4" s="185">
        <f>RANK(CD4,CD2:CD5)+COUNTIF(CD2:CD4,CD4)-1</f>
        <v>3</v>
      </c>
      <c r="BY4" s="132" t="s">
        <v>192</v>
      </c>
      <c r="BZ4" s="1">
        <f>SUM(BS4:BV4)</f>
        <v>0</v>
      </c>
      <c r="CA4" s="1">
        <f>SUM(BS8:BV8)</f>
        <v>0</v>
      </c>
      <c r="CB4" s="1">
        <f>SUM(BU6:BU9)</f>
        <v>0</v>
      </c>
      <c r="CC4" s="1">
        <f>CA4-CB4</f>
        <v>0</v>
      </c>
      <c r="CD4" s="33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2</v>
      </c>
      <c r="CE4" s="5"/>
      <c r="CF4" s="34">
        <f>IF($BZ4=$BZ2,$BS4-$BU2,0)</f>
        <v>0</v>
      </c>
      <c r="CG4" s="34">
        <f>IF($BZ4=$BZ3,$BT4-$BU3,0)</f>
        <v>0</v>
      </c>
      <c r="CH4" s="34"/>
      <c r="CI4" s="34">
        <f>IF($BZ4=$BZ5,$BV4-$BU5,0)</f>
        <v>0</v>
      </c>
      <c r="CJ4" s="34">
        <f>SUM(CF4:CI4)</f>
        <v>0</v>
      </c>
      <c r="CK4" s="5"/>
      <c r="CL4" s="34">
        <f>IF($BZ4=$BZ2,$BS8-$BU6,0)</f>
        <v>0</v>
      </c>
      <c r="CM4" s="34">
        <f>IF($BZ4=$BZ3,$BT8-$BU7,0)</f>
        <v>0</v>
      </c>
      <c r="CN4" s="34"/>
      <c r="CO4" s="34">
        <f>IF($BZ4=$BZ5,$BV8-$BU9,0)</f>
        <v>0</v>
      </c>
      <c r="CP4" s="34">
        <f>SUM(CL4:CO4)</f>
        <v>0</v>
      </c>
      <c r="CQ4" s="34">
        <f>IF($BZ4=$BZ2,$BS8,0)</f>
        <v>0</v>
      </c>
      <c r="CR4" s="34">
        <f>IF($BZ4=$BZ3,$BT8,0)</f>
        <v>0</v>
      </c>
      <c r="CS4" s="34"/>
      <c r="CT4" s="34">
        <f>IF($BZ4=$BZ5,$BV8,0)</f>
        <v>0</v>
      </c>
      <c r="CU4" s="34">
        <f>SUM(CQ4:CT4)</f>
        <v>0</v>
      </c>
      <c r="CV4" s="184">
        <f>IF(AND(COUNTIF(BK3:BK8,$B$63)=COUNTA(BH3:BH8),COUNTIF(BK3:BK8,$B$63)=COUNTA(BJ3:BJ8)),IF(CU4=CU2,BS8-BU6,IF(CU4=CU3,BT8-BU7,IF(CU4=CU5,BV8-BU9,2))),2)</f>
        <v>2</v>
      </c>
    </row>
    <row r="5" spans="1:100" ht="12.75">
      <c r="A5" s="2">
        <f>A3+12</f>
        <v>13</v>
      </c>
      <c r="B5" s="7">
        <v>42536.875</v>
      </c>
      <c r="C5" s="4" t="s">
        <v>139</v>
      </c>
      <c r="D5" s="125" t="str">
        <f>Y2</f>
        <v>Frankreich</v>
      </c>
      <c r="E5" s="80" t="s">
        <v>21</v>
      </c>
      <c r="F5" s="125" t="str">
        <f>Y4</f>
        <v>Albanien</v>
      </c>
      <c r="G5" s="124"/>
      <c r="H5" s="137"/>
      <c r="I5" s="13" t="s">
        <v>22</v>
      </c>
      <c r="J5" s="136"/>
      <c r="K5" s="9" t="s">
        <v>23</v>
      </c>
      <c r="L5" s="1"/>
      <c r="M5" s="11" t="str">
        <f>VLOOKUP(4,$X$2:$AC$5,2,FALSE)</f>
        <v>Schweiz</v>
      </c>
      <c r="N5" s="2">
        <f>VLOOKUP(4,$X$2:$AC$5,3,FALSE)</f>
        <v>0</v>
      </c>
      <c r="O5" s="2">
        <f>VLOOKUP(4,$X$2:$AC$5,4,FALSE)</f>
        <v>0</v>
      </c>
      <c r="P5" s="2">
        <f>VLOOKUP(4,$X$2:$AC$5,5,FALSE)</f>
        <v>0</v>
      </c>
      <c r="Q5" s="2">
        <f>VLOOKUP(4,$X$2:$AC$5,6,FALSE)</f>
        <v>0</v>
      </c>
      <c r="S5" s="130">
        <f>IF(H7="",0,IF(K7=$B$63,IF(H7&gt;J7,3,IF(H7=J7,1,0)),0))</f>
        <v>0</v>
      </c>
      <c r="T5" s="130">
        <f>IF(J6="",0,IF(K6=$B$63,IF(H6&lt;J6,3,IF(H6=J6,1,0)),0))</f>
        <v>0</v>
      </c>
      <c r="U5" s="130">
        <f>IF(J4="",0,IF(K4=$B$63,IF(H4&lt;J4,3,IF(H4=J4,1,0)),0))</f>
        <v>0</v>
      </c>
      <c r="V5" s="129"/>
      <c r="W5" s="131"/>
      <c r="X5" s="185">
        <f>RANK(AD5,AD2:AD5)+COUNTIF(AD2:AD5,AD5)-1</f>
        <v>4</v>
      </c>
      <c r="Y5" s="132" t="s">
        <v>182</v>
      </c>
      <c r="Z5" s="131">
        <f>SUM(S5:V5)</f>
        <v>0</v>
      </c>
      <c r="AA5" s="131">
        <f>SUM(S9:V9)</f>
        <v>0</v>
      </c>
      <c r="AB5" s="131">
        <f>SUM(V6:V9)</f>
        <v>0</v>
      </c>
      <c r="AC5" s="131">
        <f>AA5-AB5</f>
        <v>0</v>
      </c>
      <c r="AD5" s="133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1</v>
      </c>
      <c r="AE5" s="134"/>
      <c r="AF5" s="135">
        <f>IF($Z5=$Z2,$S5-$V2,0)</f>
        <v>0</v>
      </c>
      <c r="AG5" s="135">
        <f>IF($Z5=$Z3,$T5-$V3,0)</f>
        <v>0</v>
      </c>
      <c r="AH5" s="135">
        <f>IF($Z5=$Z4,$U5-$V4,0)</f>
        <v>0</v>
      </c>
      <c r="AI5" s="135"/>
      <c r="AJ5" s="135">
        <f>SUM(AF5:AI5)</f>
        <v>0</v>
      </c>
      <c r="AK5" s="134"/>
      <c r="AL5" s="135">
        <f>IF($Z5=$Z2,$S9-$V6,0)</f>
        <v>0</v>
      </c>
      <c r="AM5" s="135">
        <f>IF($Z5=$Z3,$T9-$V7,0)</f>
        <v>0</v>
      </c>
      <c r="AN5" s="135">
        <f>IF($Z5=$Z4,$U9-$V8,0)</f>
        <v>0</v>
      </c>
      <c r="AO5" s="135"/>
      <c r="AP5" s="135">
        <f>SUM(AL5:AO5)</f>
        <v>0</v>
      </c>
      <c r="AQ5" s="135">
        <f>IF($Z5=$Z2,$S9,0)</f>
        <v>0</v>
      </c>
      <c r="AR5" s="135">
        <f>IF($Z5=$Z3,$T9,0)</f>
        <v>0</v>
      </c>
      <c r="AS5" s="135">
        <f>IF($Z5=$Z4,$U9,0)</f>
        <v>0</v>
      </c>
      <c r="AT5" s="135"/>
      <c r="AU5" s="135">
        <f>SUM(AQ5:AT5)</f>
        <v>0</v>
      </c>
      <c r="AV5" s="184">
        <f>IF(AND(COUNTIF(K3:K8,$B$63)=COUNTA(H3:H8),COUNTIF(K3:K8,$B$63)=COUNTA(J3:J8)),IF(AU5=AU2,S9-V6,IF(AU5=AU3,T9-V7,IF(AU5=AU4,U9-V8,1))),1)</f>
        <v>1</v>
      </c>
      <c r="AW5" s="133"/>
      <c r="BA5" s="2">
        <f>BA3+12</f>
        <v>19</v>
      </c>
      <c r="BB5" s="7">
        <v>42538.875</v>
      </c>
      <c r="BC5" s="4" t="s">
        <v>145</v>
      </c>
      <c r="BD5" s="125" t="str">
        <f>BY2</f>
        <v>Spanien</v>
      </c>
      <c r="BE5" s="80" t="s">
        <v>21</v>
      </c>
      <c r="BF5" s="125" t="str">
        <f>BY4</f>
        <v>Türkei</v>
      </c>
      <c r="BG5" s="124"/>
      <c r="BH5" s="137"/>
      <c r="BI5" s="13" t="s">
        <v>22</v>
      </c>
      <c r="BJ5" s="136"/>
      <c r="BK5" s="9" t="s">
        <v>23</v>
      </c>
      <c r="BL5" s="1"/>
      <c r="BM5" s="11" t="str">
        <f>VLOOKUP(4,$BX$2:$CC$5,2,FALSE)</f>
        <v>Kroatien</v>
      </c>
      <c r="BN5" s="2">
        <f>VLOOKUP(4,$BX$2:$CC$5,3,FALSE)</f>
        <v>0</v>
      </c>
      <c r="BO5" s="2">
        <f>VLOOKUP(4,$BX$2:$CC$5,4,FALSE)</f>
        <v>0</v>
      </c>
      <c r="BP5" s="2">
        <f>VLOOKUP(4,$BX$2:$CC$5,5,FALSE)</f>
        <v>0</v>
      </c>
      <c r="BQ5" s="2">
        <f>VLOOKUP(4,$BX$2:$CC$5,6,FALSE)</f>
        <v>0</v>
      </c>
      <c r="BS5" s="130">
        <f>IF(BH7="",0,IF(BK7=$B$63,IF(BH7&gt;BJ7,3,IF(BH7=BJ7,1,0)),0))</f>
        <v>0</v>
      </c>
      <c r="BT5" s="130">
        <f>IF(BJ6="",0,IF(BK6=$B$63,IF(BH6&lt;BJ6,3,IF(BH6=BJ6,1,0)),0))</f>
        <v>0</v>
      </c>
      <c r="BU5" s="130">
        <f>IF(BJ4="",0,IF(BK4=$B$63,IF(BH4&lt;BJ4,3,IF(BH4=BJ4,1,0)),0))</f>
        <v>0</v>
      </c>
      <c r="BV5" s="129"/>
      <c r="BW5" s="1"/>
      <c r="BX5" s="185">
        <f>RANK(CD5,CD2:CD5)+COUNTIF(CD2:CD5,CD5)-1</f>
        <v>4</v>
      </c>
      <c r="BY5" s="132" t="s">
        <v>184</v>
      </c>
      <c r="BZ5" s="1">
        <f>SUM(BS5:BV5)</f>
        <v>0</v>
      </c>
      <c r="CA5" s="1">
        <f>SUM(BS9:BV9)</f>
        <v>0</v>
      </c>
      <c r="CB5" s="1">
        <f>SUM(BV6:BV9)</f>
        <v>0</v>
      </c>
      <c r="CC5" s="1">
        <f>CA5-CB5</f>
        <v>0</v>
      </c>
      <c r="CD5" s="33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1</v>
      </c>
      <c r="CE5" s="5"/>
      <c r="CF5" s="34">
        <f>IF($BZ5=$BZ2,$BS5-$BV2,0)</f>
        <v>0</v>
      </c>
      <c r="CG5" s="34">
        <f>IF($BZ5=$BZ3,$BT5-$BV3,0)</f>
        <v>0</v>
      </c>
      <c r="CH5" s="34">
        <f>IF($BZ5=$BZ4,$BU5-$BV4,0)</f>
        <v>0</v>
      </c>
      <c r="CI5" s="34"/>
      <c r="CJ5" s="34">
        <f>SUM(CF5:CI5)</f>
        <v>0</v>
      </c>
      <c r="CK5" s="5"/>
      <c r="CL5" s="34">
        <f>IF($BZ5=$BZ2,$BS9-$BV6,0)</f>
        <v>0</v>
      </c>
      <c r="CM5" s="34">
        <f>IF($BZ5=$BZ3,$BT9-$BV7,0)</f>
        <v>0</v>
      </c>
      <c r="CN5" s="34">
        <f>IF($BZ5=$BZ4,$BU9-$BV8,0)</f>
        <v>0</v>
      </c>
      <c r="CO5" s="34"/>
      <c r="CP5" s="34">
        <f>SUM(CL5:CO5)</f>
        <v>0</v>
      </c>
      <c r="CQ5" s="34">
        <f>IF($BZ5=$BZ2,$BS9,0)</f>
        <v>0</v>
      </c>
      <c r="CR5" s="34">
        <f>IF($BZ5=$BZ3,$BT9,0)</f>
        <v>0</v>
      </c>
      <c r="CS5" s="34">
        <f>IF($BZ5=$BZ4,$BU9,0)</f>
        <v>0</v>
      </c>
      <c r="CT5" s="34"/>
      <c r="CU5" s="34">
        <f>SUM(CQ5:CT5)</f>
        <v>0</v>
      </c>
      <c r="CV5" s="184">
        <f>IF(AND(COUNTIF(BK3:BK8,$B$63)=COUNTA(BH3:BH8),COUNTIF(BK3:BK8,$B$63)=COUNTA(BJ3:BJ8)),IF(CU5=CU2,BS9-BV6,IF(CU5=CU3,BT9-BV7,IF(CU5=CU4,BU9-BV8,1))),1)</f>
        <v>1</v>
      </c>
    </row>
    <row r="6" spans="1:100" ht="12.75">
      <c r="A6" s="2">
        <f>A4+12</f>
        <v>14</v>
      </c>
      <c r="B6" s="4">
        <v>42536.75</v>
      </c>
      <c r="C6" s="4" t="s">
        <v>138</v>
      </c>
      <c r="D6" s="125" t="str">
        <f>Y3</f>
        <v>Rumänien</v>
      </c>
      <c r="E6" s="80" t="s">
        <v>21</v>
      </c>
      <c r="F6" s="125" t="str">
        <f>Y5</f>
        <v>Schweiz</v>
      </c>
      <c r="G6" s="124"/>
      <c r="H6" s="137"/>
      <c r="I6" s="13" t="s">
        <v>22</v>
      </c>
      <c r="J6" s="136"/>
      <c r="K6" s="9" t="s">
        <v>23</v>
      </c>
      <c r="L6" s="1"/>
      <c r="N6" s="1"/>
      <c r="O6" s="1"/>
      <c r="P6" s="1"/>
      <c r="S6" s="129"/>
      <c r="T6" s="130">
        <f>IF(K3=$B$63,H3,0)</f>
        <v>0</v>
      </c>
      <c r="U6" s="130">
        <f>IF(K5=$B$63,H5,0)</f>
        <v>0</v>
      </c>
      <c r="V6" s="130">
        <f>IF(K7=$B$63,J7,0)</f>
        <v>0</v>
      </c>
      <c r="W6" s="131"/>
      <c r="X6" s="131"/>
      <c r="Y6" s="131"/>
      <c r="Z6" s="131"/>
      <c r="AA6" s="131"/>
      <c r="AB6" s="131"/>
      <c r="AC6" s="131"/>
      <c r="AD6" s="138"/>
      <c r="AE6" s="139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V6" s="135"/>
      <c r="AW6" s="133"/>
      <c r="BA6" s="2">
        <f>BA4+12</f>
        <v>20</v>
      </c>
      <c r="BB6" s="7">
        <v>42538.75</v>
      </c>
      <c r="BC6" s="4" t="s">
        <v>143</v>
      </c>
      <c r="BD6" s="125" t="str">
        <f>BY3</f>
        <v>Tschechien</v>
      </c>
      <c r="BE6" s="80" t="s">
        <v>21</v>
      </c>
      <c r="BF6" s="125" t="str">
        <f>BY5</f>
        <v>Kroatien</v>
      </c>
      <c r="BG6" s="124"/>
      <c r="BH6" s="137"/>
      <c r="BI6" s="13" t="s">
        <v>22</v>
      </c>
      <c r="BJ6" s="136"/>
      <c r="BK6" s="9" t="s">
        <v>23</v>
      </c>
      <c r="BL6" s="1"/>
      <c r="BN6" s="1"/>
      <c r="BO6" s="1"/>
      <c r="BP6" s="1"/>
      <c r="BS6" s="129"/>
      <c r="BT6" s="130">
        <f>IF(BK3=$B$63,BH3,0)</f>
        <v>0</v>
      </c>
      <c r="BU6" s="130">
        <f>IF(BK5=$B$63,BH5,0)</f>
        <v>0</v>
      </c>
      <c r="BV6" s="130">
        <f>IF(BK7=$B$63,BJ7,0)</f>
        <v>0</v>
      </c>
      <c r="BW6" s="1"/>
      <c r="BX6" s="1"/>
      <c r="BY6" s="131"/>
      <c r="BZ6" s="1"/>
      <c r="CA6" s="1"/>
      <c r="CB6" s="1"/>
      <c r="CC6" s="1"/>
      <c r="CD6" s="6"/>
      <c r="CE6" s="9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V6" s="34"/>
    </row>
    <row r="7" spans="1:100" ht="12.75">
      <c r="A7" s="2">
        <f>A5+12</f>
        <v>25</v>
      </c>
      <c r="B7" s="7">
        <v>42540.875</v>
      </c>
      <c r="C7" s="4" t="s">
        <v>140</v>
      </c>
      <c r="D7" s="125" t="str">
        <f>Y5</f>
        <v>Schweiz</v>
      </c>
      <c r="E7" s="80" t="s">
        <v>21</v>
      </c>
      <c r="F7" s="125" t="str">
        <f>Y2</f>
        <v>Frankreich</v>
      </c>
      <c r="G7" s="123"/>
      <c r="H7" s="136"/>
      <c r="I7" s="15" t="s">
        <v>22</v>
      </c>
      <c r="J7" s="137"/>
      <c r="K7" s="9" t="s">
        <v>23</v>
      </c>
      <c r="M7" s="70">
        <f>IF(N2&gt;0,M2,"")</f>
      </c>
      <c r="N7" s="2" t="s">
        <v>24</v>
      </c>
      <c r="P7" s="51"/>
      <c r="S7" s="130">
        <f>IF(K3=$B$63,J3,0)</f>
        <v>0</v>
      </c>
      <c r="T7" s="129"/>
      <c r="U7" s="130">
        <f>IF(K8=$B$63,H8,0)</f>
        <v>0</v>
      </c>
      <c r="V7" s="130">
        <f>IF(K6=$B$63,H6,0)</f>
        <v>0</v>
      </c>
      <c r="AD7" s="123" t="s">
        <v>119</v>
      </c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V7" s="141"/>
      <c r="AW7" s="133"/>
      <c r="BA7" s="2">
        <f>BA5+12</f>
        <v>31</v>
      </c>
      <c r="BB7" s="7">
        <v>42542.875</v>
      </c>
      <c r="BC7" s="4" t="s">
        <v>142</v>
      </c>
      <c r="BD7" s="125" t="str">
        <f>BY5</f>
        <v>Kroatien</v>
      </c>
      <c r="BE7" s="80" t="s">
        <v>21</v>
      </c>
      <c r="BF7" s="125" t="str">
        <f>BY2</f>
        <v>Spanien</v>
      </c>
      <c r="BG7" s="123"/>
      <c r="BH7" s="136"/>
      <c r="BI7" s="15" t="s">
        <v>22</v>
      </c>
      <c r="BJ7" s="137"/>
      <c r="BK7" s="9" t="s">
        <v>23</v>
      </c>
      <c r="BM7" s="155">
        <f>IF(BN2&gt;0,BM2,"")</f>
      </c>
      <c r="BN7" s="2" t="s">
        <v>33</v>
      </c>
      <c r="BP7" s="51"/>
      <c r="BS7" s="130">
        <f>IF(BK3=$B$63,BJ3,0)</f>
        <v>0</v>
      </c>
      <c r="BT7" s="129"/>
      <c r="BU7" s="130">
        <f>IF(BK8=$B$63,BH8,0)</f>
        <v>0</v>
      </c>
      <c r="BV7" s="130">
        <f>IF(BK6=$B$63,BH6,0)</f>
        <v>0</v>
      </c>
      <c r="CD7" s="2" t="s">
        <v>119</v>
      </c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V7" s="35"/>
    </row>
    <row r="8" spans="1:100" ht="12.75">
      <c r="A8" s="2">
        <f>A6+12</f>
        <v>26</v>
      </c>
      <c r="B8" s="7">
        <v>42540.875</v>
      </c>
      <c r="C8" s="4" t="s">
        <v>141</v>
      </c>
      <c r="D8" s="125" t="str">
        <f>Y3</f>
        <v>Rumänien</v>
      </c>
      <c r="E8" s="80" t="s">
        <v>21</v>
      </c>
      <c r="F8" s="125" t="str">
        <f>Y4</f>
        <v>Albanien</v>
      </c>
      <c r="G8" s="123"/>
      <c r="H8" s="137"/>
      <c r="I8" s="13" t="s">
        <v>22</v>
      </c>
      <c r="J8" s="137"/>
      <c r="K8" s="9" t="s">
        <v>23</v>
      </c>
      <c r="M8" s="70">
        <f>IF(N3&gt;0,M3,"")</f>
      </c>
      <c r="N8" s="2" t="s">
        <v>25</v>
      </c>
      <c r="O8" s="52"/>
      <c r="P8" s="53"/>
      <c r="S8" s="130">
        <f>IF(K5=$B$63,J5,0)</f>
        <v>0</v>
      </c>
      <c r="T8" s="130">
        <f>IF(K8=$B$63,J8,0)</f>
        <v>0</v>
      </c>
      <c r="U8" s="129"/>
      <c r="V8" s="130">
        <f>IF(K4=$B$63,H4,0)</f>
        <v>0</v>
      </c>
      <c r="AD8" s="123" t="s">
        <v>120</v>
      </c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V8" s="141"/>
      <c r="AW8" s="133"/>
      <c r="BA8" s="2">
        <f>BA6+12</f>
        <v>32</v>
      </c>
      <c r="BB8" s="7">
        <v>42542.875</v>
      </c>
      <c r="BC8" s="4" t="s">
        <v>137</v>
      </c>
      <c r="BD8" s="125" t="str">
        <f>BY3</f>
        <v>Tschechien</v>
      </c>
      <c r="BE8" s="80" t="s">
        <v>21</v>
      </c>
      <c r="BF8" s="125" t="str">
        <f>BY4</f>
        <v>Türkei</v>
      </c>
      <c r="BG8" s="123"/>
      <c r="BH8" s="137"/>
      <c r="BI8" s="13" t="s">
        <v>22</v>
      </c>
      <c r="BJ8" s="137"/>
      <c r="BK8" s="9" t="s">
        <v>23</v>
      </c>
      <c r="BM8" s="155">
        <f>IF(BN3&gt;0,BM3,"")</f>
      </c>
      <c r="BN8" s="2" t="s">
        <v>34</v>
      </c>
      <c r="BO8" s="52"/>
      <c r="BP8" s="53"/>
      <c r="BS8" s="130">
        <f>IF(BK5=$B$63,BJ5,0)</f>
        <v>0</v>
      </c>
      <c r="BT8" s="130">
        <f>IF(BK8=$B$63,BJ8,0)</f>
        <v>0</v>
      </c>
      <c r="BU8" s="129"/>
      <c r="BV8" s="130">
        <f>IF(BK4=$B$63,BH4,0)</f>
        <v>0</v>
      </c>
      <c r="CD8" s="2" t="s">
        <v>120</v>
      </c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V8" s="35"/>
    </row>
    <row r="9" spans="4:100" ht="12.75">
      <c r="D9" s="123"/>
      <c r="E9" s="123"/>
      <c r="F9" s="123"/>
      <c r="G9" s="123"/>
      <c r="M9" s="70">
        <f>IF(N4&gt;0,M4,"")</f>
      </c>
      <c r="N9" s="2" t="s">
        <v>116</v>
      </c>
      <c r="S9" s="130">
        <f>IF(K7=$B$63,H7,0)</f>
        <v>0</v>
      </c>
      <c r="T9" s="130">
        <f>IF(K6=$B$63,J6,0)</f>
        <v>0</v>
      </c>
      <c r="U9" s="130">
        <f>IF(K4=$B$63,J4,0)</f>
        <v>0</v>
      </c>
      <c r="V9" s="129"/>
      <c r="AD9" s="2" t="s">
        <v>200</v>
      </c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V9" s="141"/>
      <c r="AW9" s="133"/>
      <c r="BD9" s="123"/>
      <c r="BE9" s="123"/>
      <c r="BF9" s="123"/>
      <c r="BG9" s="123"/>
      <c r="BM9" s="155">
        <f>IF(BN4&gt;0,BM4,"")</f>
      </c>
      <c r="BN9" s="2" t="s">
        <v>117</v>
      </c>
      <c r="BS9" s="130">
        <f>IF(BK7=$B$63,BH7,0)</f>
        <v>0</v>
      </c>
      <c r="BT9" s="130">
        <f>IF(BK6=$B$63,BJ6,0)</f>
        <v>0</v>
      </c>
      <c r="BU9" s="130">
        <f>IF(BK4=$B$63,BJ4,0)</f>
        <v>0</v>
      </c>
      <c r="BV9" s="129"/>
      <c r="CD9" s="2" t="s">
        <v>200</v>
      </c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V9" s="35"/>
    </row>
    <row r="10" spans="4:100" ht="6" customHeight="1">
      <c r="D10" s="123"/>
      <c r="E10" s="126"/>
      <c r="F10" s="128"/>
      <c r="G10" s="128"/>
      <c r="H10" s="123"/>
      <c r="I10" s="123"/>
      <c r="J10" s="123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V10" s="141"/>
      <c r="AW10" s="133"/>
      <c r="BD10" s="123"/>
      <c r="BE10" s="126"/>
      <c r="BF10" s="128"/>
      <c r="BG10" s="128"/>
      <c r="BH10" s="123"/>
      <c r="BI10" s="123"/>
      <c r="BJ10" s="123"/>
      <c r="BS10" s="123"/>
      <c r="BT10" s="123"/>
      <c r="BU10" s="123"/>
      <c r="BV10" s="123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V10" s="35"/>
    </row>
    <row r="11" spans="2:100" s="12" customFormat="1" ht="12.75">
      <c r="B11" s="62" t="s">
        <v>0</v>
      </c>
      <c r="C11" s="63" t="s">
        <v>26</v>
      </c>
      <c r="D11" s="124" t="s">
        <v>2</v>
      </c>
      <c r="E11" s="142"/>
      <c r="F11" s="124"/>
      <c r="G11" s="124"/>
      <c r="H11" s="28"/>
      <c r="I11" s="27"/>
      <c r="J11" s="28"/>
      <c r="K11" s="29"/>
      <c r="L11" s="24"/>
      <c r="M11" s="69" t="s">
        <v>3</v>
      </c>
      <c r="N11" s="24" t="s">
        <v>4</v>
      </c>
      <c r="O11" s="24" t="s">
        <v>5</v>
      </c>
      <c r="P11" s="24" t="s">
        <v>6</v>
      </c>
      <c r="Q11" s="24" t="s">
        <v>7</v>
      </c>
      <c r="R11" s="24"/>
      <c r="S11" s="123"/>
      <c r="T11" s="123"/>
      <c r="U11" s="123"/>
      <c r="V11" s="123"/>
      <c r="W11" s="124"/>
      <c r="X11" s="124" t="s">
        <v>8</v>
      </c>
      <c r="Y11" s="125" t="s">
        <v>9</v>
      </c>
      <c r="Z11" s="124" t="s">
        <v>4</v>
      </c>
      <c r="AA11" s="124" t="s">
        <v>5</v>
      </c>
      <c r="AB11" s="124" t="s">
        <v>6</v>
      </c>
      <c r="AC11" s="124" t="s">
        <v>7</v>
      </c>
      <c r="AD11" s="124"/>
      <c r="AE11" s="27" t="s">
        <v>10</v>
      </c>
      <c r="AF11" s="80" t="s">
        <v>11</v>
      </c>
      <c r="AG11" s="80"/>
      <c r="AH11" s="80"/>
      <c r="AI11" s="80"/>
      <c r="AJ11" s="80" t="s">
        <v>12</v>
      </c>
      <c r="AK11" s="125" t="s">
        <v>13</v>
      </c>
      <c r="AL11" s="80" t="s">
        <v>14</v>
      </c>
      <c r="AM11" s="80"/>
      <c r="AN11" s="80"/>
      <c r="AO11" s="80"/>
      <c r="AP11" s="80" t="s">
        <v>15</v>
      </c>
      <c r="AQ11" s="80" t="s">
        <v>16</v>
      </c>
      <c r="AR11" s="80"/>
      <c r="AS11" s="80"/>
      <c r="AT11" s="80"/>
      <c r="AU11" s="126" t="s">
        <v>17</v>
      </c>
      <c r="AV11" s="125" t="s">
        <v>18</v>
      </c>
      <c r="AW11" s="127"/>
      <c r="AX11" s="128"/>
      <c r="AY11" s="128"/>
      <c r="AZ11" s="128"/>
      <c r="BB11" s="25" t="s">
        <v>0</v>
      </c>
      <c r="BC11" s="74" t="s">
        <v>35</v>
      </c>
      <c r="BD11" s="124" t="s">
        <v>2</v>
      </c>
      <c r="BE11" s="142"/>
      <c r="BF11" s="124"/>
      <c r="BG11" s="124"/>
      <c r="BH11" s="28"/>
      <c r="BI11" s="27"/>
      <c r="BJ11" s="28"/>
      <c r="BK11" s="29"/>
      <c r="BL11" s="24"/>
      <c r="BM11" s="69" t="s">
        <v>3</v>
      </c>
      <c r="BN11" s="24" t="s">
        <v>4</v>
      </c>
      <c r="BO11" s="24" t="s">
        <v>5</v>
      </c>
      <c r="BP11" s="24" t="s">
        <v>6</v>
      </c>
      <c r="BQ11" s="24" t="s">
        <v>7</v>
      </c>
      <c r="BR11" s="24"/>
      <c r="BS11" s="123"/>
      <c r="BT11" s="123"/>
      <c r="BU11" s="123"/>
      <c r="BV11" s="123"/>
      <c r="BW11" s="24"/>
      <c r="BX11" s="24" t="s">
        <v>8</v>
      </c>
      <c r="BY11" s="125" t="s">
        <v>9</v>
      </c>
      <c r="BZ11" s="24" t="s">
        <v>4</v>
      </c>
      <c r="CA11" s="24" t="s">
        <v>5</v>
      </c>
      <c r="CB11" s="24" t="s">
        <v>6</v>
      </c>
      <c r="CC11" s="24" t="s">
        <v>7</v>
      </c>
      <c r="CD11" s="24"/>
      <c r="CE11" s="29" t="s">
        <v>10</v>
      </c>
      <c r="CF11" s="22" t="s">
        <v>11</v>
      </c>
      <c r="CG11" s="22"/>
      <c r="CH11" s="22"/>
      <c r="CI11" s="22"/>
      <c r="CJ11" s="22" t="s">
        <v>12</v>
      </c>
      <c r="CK11" s="30" t="s">
        <v>13</v>
      </c>
      <c r="CL11" s="22" t="s">
        <v>14</v>
      </c>
      <c r="CM11" s="22"/>
      <c r="CN11" s="22"/>
      <c r="CO11" s="22"/>
      <c r="CP11" s="22" t="s">
        <v>15</v>
      </c>
      <c r="CQ11" s="22" t="s">
        <v>16</v>
      </c>
      <c r="CR11" s="22"/>
      <c r="CS11" s="22"/>
      <c r="CT11" s="22"/>
      <c r="CU11" s="23" t="s">
        <v>17</v>
      </c>
      <c r="CV11" s="30" t="s">
        <v>18</v>
      </c>
    </row>
    <row r="12" spans="2:100" ht="12.75">
      <c r="B12" s="3" t="s">
        <v>19</v>
      </c>
      <c r="C12" s="3" t="s">
        <v>20</v>
      </c>
      <c r="D12" s="123"/>
      <c r="E12" s="123"/>
      <c r="F12" s="123"/>
      <c r="G12" s="123"/>
      <c r="L12" s="1"/>
      <c r="M12" s="11" t="str">
        <f>VLOOKUP(1,$X$12:$AC$15,2,FALSE)</f>
        <v>England</v>
      </c>
      <c r="N12" s="2">
        <f>VLOOKUP(1,$X$12:$AC$15,3,FALSE)</f>
        <v>0</v>
      </c>
      <c r="O12" s="2">
        <f>VLOOKUP(1,$X$12:$AC$15,4,FALSE)</f>
        <v>0</v>
      </c>
      <c r="P12" s="2">
        <f>VLOOKUP(1,$X$12:$AC$15,5,FALSE)</f>
        <v>0</v>
      </c>
      <c r="Q12" s="2">
        <f>VLOOKUP(1,$X$12:$AC$15,6,FALSE)</f>
        <v>0</v>
      </c>
      <c r="S12" s="129"/>
      <c r="T12" s="130">
        <f>IF(H13="",0,IF(K13=$B$63,IF(H13&gt;J13,3,IF(H13=J13,1,0)),0))</f>
        <v>0</v>
      </c>
      <c r="U12" s="130">
        <f>IF(H15="",0,IF(K15=$B$63,IF(H15&gt;J15,3,IF(H15=J15,1,0)),0))</f>
        <v>0</v>
      </c>
      <c r="V12" s="130">
        <f>IF(J17="",0,IF(K17=$B$63,IF(H17&lt;J17,3,IF(H17=J17,1,0)),0))</f>
        <v>0</v>
      </c>
      <c r="W12" s="131"/>
      <c r="X12" s="185">
        <f>RANK(AD12,AD12:AD15)+COUNTIF(AD12:AD12,AD12)-1</f>
        <v>1</v>
      </c>
      <c r="Y12" s="132" t="s">
        <v>177</v>
      </c>
      <c r="Z12" s="131">
        <f>SUM(S12:V12)</f>
        <v>0</v>
      </c>
      <c r="AA12" s="131">
        <f>SUM(S16:V16)</f>
        <v>0</v>
      </c>
      <c r="AB12" s="131">
        <f>SUM(S16:S19)</f>
        <v>0</v>
      </c>
      <c r="AC12" s="131">
        <f>AA12-AB12</f>
        <v>0</v>
      </c>
      <c r="AD12" s="133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4</v>
      </c>
      <c r="AE12" s="134"/>
      <c r="AF12" s="135"/>
      <c r="AG12" s="135">
        <f>IF($Z12=$Z13,$T12-$S13,0)</f>
        <v>0</v>
      </c>
      <c r="AH12" s="135">
        <f>IF($Z12=$Z14,$U12-$S14,0)</f>
        <v>0</v>
      </c>
      <c r="AI12" s="135">
        <f>IF($Z12=$Z15,$V12-$S15,0)</f>
        <v>0</v>
      </c>
      <c r="AJ12" s="135">
        <f>SUM(AF12:AI12)</f>
        <v>0</v>
      </c>
      <c r="AK12" s="134"/>
      <c r="AL12" s="135"/>
      <c r="AM12" s="135">
        <f>IF($Z12=$Z13,$T16-$S17,0)</f>
        <v>0</v>
      </c>
      <c r="AN12" s="135">
        <f>IF($Z12=$Z14,$U16-$S18,0)</f>
        <v>0</v>
      </c>
      <c r="AO12" s="135">
        <f>IF($Z12=$Z15,$V16-$S19,0)</f>
        <v>0</v>
      </c>
      <c r="AP12" s="135">
        <f>SUM(AL12:AO12)</f>
        <v>0</v>
      </c>
      <c r="AQ12" s="135"/>
      <c r="AR12" s="135">
        <f>IF($Z12=$Z13,$T16,0)</f>
        <v>0</v>
      </c>
      <c r="AS12" s="135">
        <f>IF($Z12=$Z14,$U16,0)</f>
        <v>0</v>
      </c>
      <c r="AT12" s="135">
        <f>IF($Z12=$Z15,$V16,0)</f>
        <v>0</v>
      </c>
      <c r="AU12" s="135">
        <f>SUM(AQ12:AT12)</f>
        <v>0</v>
      </c>
      <c r="AV12" s="184">
        <f>IF(AND(COUNTIF(K13:K18,$B$63)=COUNTA(H13:H18),COUNTIF(K13:K18,$B$63)=COUNTA(J13:J18)),IF(AU12=AU13,T16-S17,IF(AU12=AU14,U16-S18,IF(AU12=AU15,V16-S19,4))),4)</f>
        <v>4</v>
      </c>
      <c r="AW12" s="133"/>
      <c r="BB12" s="3" t="s">
        <v>19</v>
      </c>
      <c r="BC12" s="3" t="s">
        <v>20</v>
      </c>
      <c r="BD12" s="123"/>
      <c r="BE12" s="123"/>
      <c r="BF12" s="123"/>
      <c r="BG12" s="123"/>
      <c r="BL12" s="1"/>
      <c r="BM12" s="11" t="str">
        <f>VLOOKUP(1,$BX$12:$CC$15,2,FALSE)</f>
        <v>Belgien</v>
      </c>
      <c r="BN12" s="2">
        <f>VLOOKUP(1,$BX$12:$CC$15,3,FALSE)</f>
        <v>0</v>
      </c>
      <c r="BO12" s="2">
        <f>VLOOKUP(1,$BX$12:$CC$15,4,FALSE)</f>
        <v>0</v>
      </c>
      <c r="BP12" s="2">
        <f>VLOOKUP(1,$BX$12:$CC$15,5,FALSE)</f>
        <v>0</v>
      </c>
      <c r="BQ12" s="2">
        <f>VLOOKUP(1,$BX$12:$CC$15,6,FALSE)</f>
        <v>0</v>
      </c>
      <c r="BS12" s="129"/>
      <c r="BT12" s="130">
        <f>IF(BH13="",0,IF(BK13=$B$63,IF(BH13&gt;BJ13,3,IF(BH13=BJ13,1,0)),0))</f>
        <v>0</v>
      </c>
      <c r="BU12" s="130">
        <f>IF(BH15="",0,IF(BK15=$B$63,IF(BH15&gt;BJ15,3,IF(BH15=BJ15,1,0)),0))</f>
        <v>0</v>
      </c>
      <c r="BV12" s="130">
        <f>IF(BJ17="",0,IF(BK17=$B$63,IF(BH17&lt;BJ17,3,IF(BH17=BJ17,1,0)),0))</f>
        <v>0</v>
      </c>
      <c r="BW12" s="1"/>
      <c r="BX12" s="185">
        <f>RANK(CD12,CD12:CD15)+COUNTIF(CD12:CD12,CD12)-1</f>
        <v>1</v>
      </c>
      <c r="BY12" s="132" t="s">
        <v>179</v>
      </c>
      <c r="BZ12" s="1">
        <f>SUM(BS12:BV12)</f>
        <v>0</v>
      </c>
      <c r="CA12" s="1">
        <f>SUM(BS16:BV16)</f>
        <v>0</v>
      </c>
      <c r="CB12" s="1">
        <f>SUM(BS16:BS19)</f>
        <v>0</v>
      </c>
      <c r="CC12" s="1">
        <f>CA12-CB12</f>
        <v>0</v>
      </c>
      <c r="CD12" s="33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4</v>
      </c>
      <c r="CE12" s="5"/>
      <c r="CF12" s="34"/>
      <c r="CG12" s="34">
        <f>IF($BZ12=$BZ13,$BT12-$BS13,0)</f>
        <v>0</v>
      </c>
      <c r="CH12" s="34">
        <f>IF($BZ12=$BZ14,$BU12-$BS14,0)</f>
        <v>0</v>
      </c>
      <c r="CI12" s="34">
        <f>IF($BZ12=$BZ15,$BV12-$BS15,0)</f>
        <v>0</v>
      </c>
      <c r="CJ12" s="34">
        <f>SUM(CF12:CI12)</f>
        <v>0</v>
      </c>
      <c r="CK12" s="5"/>
      <c r="CL12" s="34"/>
      <c r="CM12" s="34">
        <f>IF($BZ12=$BZ13,$BT16-$BS17,0)</f>
        <v>0</v>
      </c>
      <c r="CN12" s="34">
        <f>IF($BZ12=$BZ14,$BU16-$BS18,0)</f>
        <v>0</v>
      </c>
      <c r="CO12" s="34">
        <f>IF($BZ12=$BZ15,$BV16-$BS19,0)</f>
        <v>0</v>
      </c>
      <c r="CP12" s="34">
        <f>SUM(CL12:CO12)</f>
        <v>0</v>
      </c>
      <c r="CQ12" s="34"/>
      <c r="CR12" s="34">
        <f>IF($BZ12=$BZ13,$BT16,0)</f>
        <v>0</v>
      </c>
      <c r="CS12" s="34">
        <f>IF($BZ12=$BZ14,$BU16,0)</f>
        <v>0</v>
      </c>
      <c r="CT12" s="34">
        <f>IF($BZ12=$BZ15,$BV16,0)</f>
        <v>0</v>
      </c>
      <c r="CU12" s="34">
        <f>SUM(CQ12:CT12)</f>
        <v>0</v>
      </c>
      <c r="CV12" s="184">
        <f>IF(AND(COUNTIF(BK13:BK18,$B$63)=COUNTA(BH13:BH18),COUNTIF(BK13:BK18,$B$63)=COUNTA(BJ13:BJ18)),IF(CU12=CU13,BT16-BS17,IF(CU12=CU14,BU16-BS18,IF(CU12=CU15,BV16-BS19,4))),4)</f>
        <v>4</v>
      </c>
    </row>
    <row r="13" spans="1:100" ht="12.75">
      <c r="A13" s="2">
        <v>3</v>
      </c>
      <c r="B13" s="7">
        <v>42532.875</v>
      </c>
      <c r="C13" s="4" t="s">
        <v>139</v>
      </c>
      <c r="D13" s="125" t="str">
        <f>Y12</f>
        <v>England</v>
      </c>
      <c r="E13" s="80" t="s">
        <v>21</v>
      </c>
      <c r="F13" s="125" t="str">
        <f>Y13</f>
        <v>Russland</v>
      </c>
      <c r="G13" s="124"/>
      <c r="H13" s="136"/>
      <c r="I13" s="13" t="s">
        <v>22</v>
      </c>
      <c r="J13" s="136"/>
      <c r="K13" s="9" t="s">
        <v>23</v>
      </c>
      <c r="L13" s="1"/>
      <c r="M13" s="11" t="str">
        <f>VLOOKUP(2,$X$12:$AC$15,2,FALSE)</f>
        <v>Russland</v>
      </c>
      <c r="N13" s="2">
        <f>VLOOKUP(2,$X$12:$AC$15,3,FALSE)</f>
        <v>0</v>
      </c>
      <c r="O13" s="2">
        <f>VLOOKUP(2,$X$12:$AC$15,4,FALSE)</f>
        <v>0</v>
      </c>
      <c r="P13" s="2">
        <f>VLOOKUP(2,$X$12:$AC$15,5,FALSE)</f>
        <v>0</v>
      </c>
      <c r="Q13" s="2">
        <f>VLOOKUP(2,$X$12:$AC$15,6,FALSE)</f>
        <v>0</v>
      </c>
      <c r="S13" s="130">
        <f>IF(J13="",0,IF(K13=$B$63,IF(H13&lt;J13,3,IF(H13=J13,1,0)),0))</f>
        <v>0</v>
      </c>
      <c r="T13" s="129"/>
      <c r="U13" s="130">
        <f>IF(H18="",0,IF(K18=$B$63,IF(H18&gt;J18,3,IF(H18=J18,1,0)),0))</f>
        <v>0</v>
      </c>
      <c r="V13" s="130">
        <f>IF(H16="",0,IF(K16=$B$63,IF(H16&gt;J16,3,IF(H16=J16,1,0)),0))</f>
        <v>0</v>
      </c>
      <c r="W13" s="131"/>
      <c r="X13" s="185">
        <f>RANK(AD13,AD12:AD15)+COUNTIF(AD12:AD13,AD13)-1</f>
        <v>2</v>
      </c>
      <c r="Y13" s="132" t="s">
        <v>181</v>
      </c>
      <c r="Z13" s="131">
        <f>SUM(S13:V13)</f>
        <v>0</v>
      </c>
      <c r="AA13" s="131">
        <f>SUM(S17:V17)</f>
        <v>0</v>
      </c>
      <c r="AB13" s="131">
        <f>SUM(T16:T19)</f>
        <v>0</v>
      </c>
      <c r="AC13" s="131">
        <f>AA13-AB13</f>
        <v>0</v>
      </c>
      <c r="AD13" s="133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3</v>
      </c>
      <c r="AE13" s="134"/>
      <c r="AF13" s="135">
        <f>IF($Z13=$Z12,$S13-$T12,0)</f>
        <v>0</v>
      </c>
      <c r="AG13" s="135"/>
      <c r="AH13" s="135">
        <f>IF($Z13=$Z14,$U13-$T14,0)</f>
        <v>0</v>
      </c>
      <c r="AI13" s="135">
        <f>IF($Z13=$Z15,$V13-$T15,0)</f>
        <v>0</v>
      </c>
      <c r="AJ13" s="135">
        <f>SUM(AF13:AI13)</f>
        <v>0</v>
      </c>
      <c r="AK13" s="134"/>
      <c r="AL13" s="135">
        <f>IF($Z13=$Z12,$S17-$T16,0)</f>
        <v>0</v>
      </c>
      <c r="AM13" s="135"/>
      <c r="AN13" s="135">
        <f>IF($Z13=$Z14,$U17-$T18,0)</f>
        <v>0</v>
      </c>
      <c r="AO13" s="135">
        <f>IF($Z13=$Z15,$V17-$T19,0)</f>
        <v>0</v>
      </c>
      <c r="AP13" s="135">
        <f>SUM(AL13:AO13)</f>
        <v>0</v>
      </c>
      <c r="AQ13" s="135">
        <f>IF($Z13=$Z12,$S17,0)</f>
        <v>0</v>
      </c>
      <c r="AR13" s="135"/>
      <c r="AS13" s="135">
        <f>IF($Z13=$Z14,$U17,0)</f>
        <v>0</v>
      </c>
      <c r="AT13" s="135">
        <f>IF($Z13=$Z15,$V17,0)</f>
        <v>0</v>
      </c>
      <c r="AU13" s="135">
        <f>SUM(AQ13:AT13)</f>
        <v>0</v>
      </c>
      <c r="AV13" s="184">
        <f>IF(AND(COUNTIF(K13:K18,$B$63)=COUNTA(H13:H18),COUNTIF(K13:K18,$B$63)=COUNTA(J13:J18)),IF(AU13=AU12,S17-T16,IF(AU13=AU14,U17-T18,IF(AU13=AU15,V17-T19,3))),3)</f>
        <v>3</v>
      </c>
      <c r="AW13" s="133"/>
      <c r="BA13" s="2">
        <v>9</v>
      </c>
      <c r="BB13" s="7">
        <v>42534.875</v>
      </c>
      <c r="BC13" s="4" t="s">
        <v>141</v>
      </c>
      <c r="BD13" s="125" t="str">
        <f>BY12</f>
        <v>Belgien</v>
      </c>
      <c r="BE13" s="80" t="s">
        <v>21</v>
      </c>
      <c r="BF13" s="125" t="str">
        <f>BY13</f>
        <v>Italien</v>
      </c>
      <c r="BG13" s="124"/>
      <c r="BH13" s="136"/>
      <c r="BI13" s="13" t="s">
        <v>22</v>
      </c>
      <c r="BJ13" s="136"/>
      <c r="BK13" s="9" t="s">
        <v>23</v>
      </c>
      <c r="BL13" s="1"/>
      <c r="BM13" s="11" t="str">
        <f>VLOOKUP(2,$BX$12:$CC$15,2,FALSE)</f>
        <v>Italien</v>
      </c>
      <c r="BN13" s="2">
        <f>VLOOKUP(2,$BX$12:$CC$15,3,FALSE)</f>
        <v>0</v>
      </c>
      <c r="BO13" s="2">
        <f>VLOOKUP(2,$BX$12:$CC$15,4,FALSE)</f>
        <v>0</v>
      </c>
      <c r="BP13" s="2">
        <f>VLOOKUP(2,$BX$12:$CC$15,5,FALSE)</f>
        <v>0</v>
      </c>
      <c r="BQ13" s="2">
        <f>VLOOKUP(2,$BX$12:$CC$15,6,FALSE)</f>
        <v>0</v>
      </c>
      <c r="BS13" s="130">
        <f>IF(BJ13="",0,IF(BK13=$B$63,IF(BH13&lt;BJ13,3,IF(BH13=BJ13,1,0)),0))</f>
        <v>0</v>
      </c>
      <c r="BT13" s="129"/>
      <c r="BU13" s="130">
        <f>IF(BH18="",0,IF(BK18=$B$63,IF(BH18&gt;BJ18,3,IF(BH18=BJ18,1,0)),0))</f>
        <v>0</v>
      </c>
      <c r="BV13" s="130">
        <f>IF(BH16="",0,IF(BK16=$B$63,IF(BH16&gt;BJ16,3,IF(BH16=BJ16,1,0)),0))</f>
        <v>0</v>
      </c>
      <c r="BW13" s="1"/>
      <c r="BX13" s="185">
        <f>RANK(CD13,CD12:CD15)+COUNTIF(CD12:CD13,CD13)-1</f>
        <v>2</v>
      </c>
      <c r="BY13" s="132" t="s">
        <v>180</v>
      </c>
      <c r="BZ13" s="1">
        <f>SUM(BS13:BV13)</f>
        <v>0</v>
      </c>
      <c r="CA13" s="1">
        <f>SUM(BS17:BV17)</f>
        <v>0</v>
      </c>
      <c r="CB13" s="1">
        <f>SUM(BT16:BT19)</f>
        <v>0</v>
      </c>
      <c r="CC13" s="1">
        <f>CA13-CB13</f>
        <v>0</v>
      </c>
      <c r="CD13" s="33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3</v>
      </c>
      <c r="CE13" s="5"/>
      <c r="CF13" s="34">
        <f>IF($BZ13=$BZ12,$BS13-$BT12,0)</f>
        <v>0</v>
      </c>
      <c r="CG13" s="34"/>
      <c r="CH13" s="34">
        <f>IF($BZ13=$BZ14,$BU13-$BT14,0)</f>
        <v>0</v>
      </c>
      <c r="CI13" s="34">
        <f>IF($BZ13=$BZ15,$BV13-$BT15,0)</f>
        <v>0</v>
      </c>
      <c r="CJ13" s="34">
        <f>SUM(CF13:CI13)</f>
        <v>0</v>
      </c>
      <c r="CK13" s="5"/>
      <c r="CL13" s="34">
        <f>IF($BZ13=$BZ12,$BS17-$BT16,0)</f>
        <v>0</v>
      </c>
      <c r="CM13" s="34"/>
      <c r="CN13" s="34">
        <f>IF($BZ13=$BZ14,$BU17-$BT18,0)</f>
        <v>0</v>
      </c>
      <c r="CO13" s="34">
        <f>IF($BZ13=$BZ15,$BV17-$BT19,0)</f>
        <v>0</v>
      </c>
      <c r="CP13" s="34">
        <f>SUM(CL13:CO13)</f>
        <v>0</v>
      </c>
      <c r="CQ13" s="34">
        <f>IF($BZ13=$BZ12,$BS17,0)</f>
        <v>0</v>
      </c>
      <c r="CR13" s="34"/>
      <c r="CS13" s="34">
        <f>IF($BZ13=$BZ14,$BU17,0)</f>
        <v>0</v>
      </c>
      <c r="CT13" s="34">
        <f>IF($BZ13=$BZ15,$BV17,0)</f>
        <v>0</v>
      </c>
      <c r="CU13" s="34">
        <f>SUM(CQ13:CT13)</f>
        <v>0</v>
      </c>
      <c r="CV13" s="184">
        <f>IF(AND(COUNTIF(BK13:BK18,$B$63)=COUNTA(BH13:BH18),COUNTIF(BK13:BK18,$B$63)=COUNTA(BJ13:BJ18)),IF(CU13=CU12,BS17-BT16,IF(CU13=CU14,BU17-BT18,IF(CU13=CU15,BV17-BT19,3))),3)</f>
        <v>3</v>
      </c>
    </row>
    <row r="14" spans="1:100" ht="12.75">
      <c r="A14" s="2">
        <v>4</v>
      </c>
      <c r="B14" s="7">
        <v>42532.75</v>
      </c>
      <c r="C14" s="4" t="s">
        <v>142</v>
      </c>
      <c r="D14" s="125" t="str">
        <f>Y14</f>
        <v>Wales</v>
      </c>
      <c r="E14" s="80" t="s">
        <v>21</v>
      </c>
      <c r="F14" s="125" t="str">
        <f>Y15</f>
        <v>Slowakei</v>
      </c>
      <c r="G14" s="124"/>
      <c r="H14" s="137"/>
      <c r="I14" s="13" t="s">
        <v>22</v>
      </c>
      <c r="J14" s="136"/>
      <c r="K14" s="9" t="s">
        <v>23</v>
      </c>
      <c r="L14" s="1"/>
      <c r="M14" s="11" t="str">
        <f>VLOOKUP(3,$X$12:$AC$15,2,FALSE)</f>
        <v>Wales</v>
      </c>
      <c r="N14" s="2">
        <f>VLOOKUP(3,$X$12:$AC$15,3,FALSE)</f>
        <v>0</v>
      </c>
      <c r="O14" s="2">
        <f>VLOOKUP(3,$X$12:$AC$15,4,FALSE)</f>
        <v>0</v>
      </c>
      <c r="P14" s="2">
        <f>VLOOKUP(3,$X$12:$AC$15,5,FALSE)</f>
        <v>0</v>
      </c>
      <c r="Q14" s="2">
        <f>VLOOKUP(3,$X$12:$AC$15,6,FALSE)</f>
        <v>0</v>
      </c>
      <c r="S14" s="130">
        <f>IF(J15="",0,IF(K15=$B$63,IF(H15&lt;J15,3,IF(H15=J15,1,0)),0))</f>
        <v>0</v>
      </c>
      <c r="T14" s="130">
        <f>IF(J18="",0,IF(K18=$B$63,IF(H18&lt;J18,3,IF(H18=J18,1,0)),0))</f>
        <v>0</v>
      </c>
      <c r="U14" s="129"/>
      <c r="V14" s="130">
        <f>IF(H14="",0,IF(K14=$B$63,IF(H14&gt;J14,3,IF(H14=J14,1,0)),0))</f>
        <v>0</v>
      </c>
      <c r="W14" s="131"/>
      <c r="X14" s="185">
        <f>RANK(AD14,AD12:AD15)+COUNTIF(AD12:AD14,AD14)-1</f>
        <v>3</v>
      </c>
      <c r="Y14" s="132" t="s">
        <v>186</v>
      </c>
      <c r="Z14" s="131">
        <f>SUM(S14:V14)</f>
        <v>0</v>
      </c>
      <c r="AA14" s="131">
        <f>SUM(S18:V18)</f>
        <v>0</v>
      </c>
      <c r="AB14" s="131">
        <f>SUM(U16:U19)</f>
        <v>0</v>
      </c>
      <c r="AC14" s="131">
        <f>AA14-AB14</f>
        <v>0</v>
      </c>
      <c r="AD14" s="133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2</v>
      </c>
      <c r="AE14" s="134"/>
      <c r="AF14" s="135">
        <f>IF($Z14=$Z12,$S14-$U12,0)</f>
        <v>0</v>
      </c>
      <c r="AG14" s="135">
        <f>IF($Z14=$Z13,$T14-$U13,0)</f>
        <v>0</v>
      </c>
      <c r="AH14" s="135"/>
      <c r="AI14" s="135">
        <f>IF($Z14=$Z15,$V14-$U15,0)</f>
        <v>0</v>
      </c>
      <c r="AJ14" s="135">
        <f>SUM(AF14:AI14)</f>
        <v>0</v>
      </c>
      <c r="AK14" s="134"/>
      <c r="AL14" s="135">
        <f>IF($Z14=$Z12,$S18-$U16,0)</f>
        <v>0</v>
      </c>
      <c r="AM14" s="135">
        <f>IF($Z14=$Z13,$T18-$U17,0)</f>
        <v>0</v>
      </c>
      <c r="AN14" s="135"/>
      <c r="AO14" s="135">
        <f>IF($Z14=$Z15,$V18-$U19,0)</f>
        <v>0</v>
      </c>
      <c r="AP14" s="135">
        <f>SUM(AL14:AO14)</f>
        <v>0</v>
      </c>
      <c r="AQ14" s="135">
        <f>IF($Z14=$Z12,$S18,0)</f>
        <v>0</v>
      </c>
      <c r="AR14" s="135">
        <f>IF($Z14=$Z13,$T18,0)</f>
        <v>0</v>
      </c>
      <c r="AS14" s="135"/>
      <c r="AT14" s="135">
        <f>IF($Z14=$Z15,$V18,0)</f>
        <v>0</v>
      </c>
      <c r="AU14" s="135">
        <f>SUM(AQ14:AT14)</f>
        <v>0</v>
      </c>
      <c r="AV14" s="184">
        <f>IF(AND(COUNTIF(K13:K18,$B$63)=COUNTA(H13:H18),COUNTIF(K13:K18,$B$63)=COUNTA(J13:J18)),IF(AU14=AU12,S18-U16,IF(AU14=AU13,T18-U17,IF(AU14=AU15,V18-U19,2))),2)</f>
        <v>2</v>
      </c>
      <c r="AW14" s="133"/>
      <c r="BA14" s="2">
        <v>10</v>
      </c>
      <c r="BB14" s="7">
        <v>42534.75</v>
      </c>
      <c r="BC14" s="4" t="s">
        <v>136</v>
      </c>
      <c r="BD14" s="125" t="str">
        <f>BY14</f>
        <v>Irland</v>
      </c>
      <c r="BE14" s="80" t="s">
        <v>21</v>
      </c>
      <c r="BF14" s="125" t="str">
        <f>BY15</f>
        <v>Schweden</v>
      </c>
      <c r="BG14" s="124"/>
      <c r="BH14" s="137"/>
      <c r="BI14" s="13" t="s">
        <v>22</v>
      </c>
      <c r="BJ14" s="136"/>
      <c r="BK14" s="9" t="s">
        <v>23</v>
      </c>
      <c r="BL14" s="1"/>
      <c r="BM14" s="11" t="str">
        <f>VLOOKUP(3,$BX$12:$CC$15,2,FALSE)</f>
        <v>Irland</v>
      </c>
      <c r="BN14" s="2">
        <f>VLOOKUP(3,$BX$12:$CC$15,3,FALSE)</f>
        <v>0</v>
      </c>
      <c r="BO14" s="2">
        <f>VLOOKUP(3,$BX$12:$CC$15,4,FALSE)</f>
        <v>0</v>
      </c>
      <c r="BP14" s="2">
        <f>VLOOKUP(3,$BX$12:$CC$15,5,FALSE)</f>
        <v>0</v>
      </c>
      <c r="BQ14" s="2">
        <f>VLOOKUP(3,$BX$12:$CC$15,6,FALSE)</f>
        <v>0</v>
      </c>
      <c r="BS14" s="130">
        <f>IF(BJ15="",0,IF(BK15=$B$63,IF(BH15&lt;BJ15,3,IF(BH15=BJ15,1,0)),0))</f>
        <v>0</v>
      </c>
      <c r="BT14" s="130">
        <f>IF(BJ18="",0,IF(BK18=$B$63,IF(BH18&lt;BJ18,3,IF(BH18=BJ18,1,0)),0))</f>
        <v>0</v>
      </c>
      <c r="BU14" s="129"/>
      <c r="BV14" s="130">
        <f>IF(BH14="",0,IF(BK14=$B$63,IF(BH14&gt;BJ14,3,IF(BH14=BJ14,1,0)),0))</f>
        <v>0</v>
      </c>
      <c r="BW14" s="1"/>
      <c r="BX14" s="185">
        <f>RANK(CD14,CD12:CD15)+COUNTIF(CD12:CD14,CD14)-1</f>
        <v>3</v>
      </c>
      <c r="BY14" s="132" t="s">
        <v>196</v>
      </c>
      <c r="BZ14" s="1">
        <f>SUM(BS14:BV14)</f>
        <v>0</v>
      </c>
      <c r="CA14" s="1">
        <f>SUM(BS18:BV18)</f>
        <v>0</v>
      </c>
      <c r="CB14" s="1">
        <f>SUM(BU16:BU19)</f>
        <v>0</v>
      </c>
      <c r="CC14" s="1">
        <f>CA14-CB14</f>
        <v>0</v>
      </c>
      <c r="CD14" s="33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2</v>
      </c>
      <c r="CE14" s="5"/>
      <c r="CF14" s="34">
        <f>IF($BZ14=$BZ12,$BS14-$BU12,0)</f>
        <v>0</v>
      </c>
      <c r="CG14" s="34">
        <f>IF($BZ14=$BZ13,$BT14-$BU13,0)</f>
        <v>0</v>
      </c>
      <c r="CH14" s="34"/>
      <c r="CI14" s="34">
        <f>IF($BZ14=$BZ15,$BV14-$BU15,0)</f>
        <v>0</v>
      </c>
      <c r="CJ14" s="34">
        <f>SUM(CF14:CI14)</f>
        <v>0</v>
      </c>
      <c r="CK14" s="5"/>
      <c r="CL14" s="34">
        <f>IF($BZ14=$BZ12,$BS18-$BU16,0)</f>
        <v>0</v>
      </c>
      <c r="CM14" s="34">
        <f>IF($BZ14=$BZ13,$BT18-$BU17,0)</f>
        <v>0</v>
      </c>
      <c r="CN14" s="34"/>
      <c r="CO14" s="34">
        <f>IF($BZ14=$BZ15,$BV18-$BU19,0)</f>
        <v>0</v>
      </c>
      <c r="CP14" s="34">
        <f>SUM(CL14:CO14)</f>
        <v>0</v>
      </c>
      <c r="CQ14" s="34">
        <f>IF($BZ14=$BZ12,$BS18,0)</f>
        <v>0</v>
      </c>
      <c r="CR14" s="34">
        <f>IF($BZ14=$BZ13,$BT18,0)</f>
        <v>0</v>
      </c>
      <c r="CS14" s="34"/>
      <c r="CT14" s="34">
        <f>IF($BZ14=$BZ15,$BV18,0)</f>
        <v>0</v>
      </c>
      <c r="CU14" s="34">
        <f>SUM(CQ14:CT14)</f>
        <v>0</v>
      </c>
      <c r="CV14" s="184">
        <f>IF(AND(COUNTIF(BK13:BK18,$B$63)=COUNTA(BH13:BH18),COUNTIF(BK13:BK18,$B$63)=COUNTA(BJ13:BJ18)),IF(CU14=CU12,BS18-BU16,IF(CU14=CU13,BT18-BU17,IF(CU14=CU15,BV18-BU19,2))),2)</f>
        <v>2</v>
      </c>
    </row>
    <row r="15" spans="1:100" ht="12.75">
      <c r="A15" s="2">
        <f>A13+12</f>
        <v>15</v>
      </c>
      <c r="B15" s="7">
        <v>42537.625</v>
      </c>
      <c r="C15" s="4" t="s">
        <v>137</v>
      </c>
      <c r="D15" s="125" t="str">
        <f>Y12</f>
        <v>England</v>
      </c>
      <c r="E15" s="80" t="s">
        <v>21</v>
      </c>
      <c r="F15" s="125" t="str">
        <f>Y14</f>
        <v>Wales</v>
      </c>
      <c r="G15" s="124"/>
      <c r="H15" s="137"/>
      <c r="I15" s="13" t="s">
        <v>22</v>
      </c>
      <c r="J15" s="136"/>
      <c r="K15" s="9" t="s">
        <v>23</v>
      </c>
      <c r="L15" s="1"/>
      <c r="M15" s="11" t="str">
        <f>VLOOKUP(4,$X$12:$AC$15,2,FALSE)</f>
        <v>Slowakei</v>
      </c>
      <c r="N15" s="2">
        <f>VLOOKUP(4,$X$12:$AC$15,3,FALSE)</f>
        <v>0</v>
      </c>
      <c r="O15" s="2">
        <f>VLOOKUP(4,$X$12:$AC$15,4,FALSE)</f>
        <v>0</v>
      </c>
      <c r="P15" s="2">
        <f>VLOOKUP(4,$X$12:$AC$15,5,FALSE)</f>
        <v>0</v>
      </c>
      <c r="Q15" s="2">
        <f>VLOOKUP(4,$X$12:$AC$15,6,FALSE)</f>
        <v>0</v>
      </c>
      <c r="S15" s="130">
        <f>IF(H17="",0,IF(K17=$B$63,IF(H17&gt;J17,3,IF(H17=J17,1,0)),0))</f>
        <v>0</v>
      </c>
      <c r="T15" s="130">
        <f>IF(J16="",0,IF(K16=$B$63,IF(H16&lt;J16,3,IF(H16=J16,1,0)),0))</f>
        <v>0</v>
      </c>
      <c r="U15" s="130">
        <f>IF(J14="",0,IF(K14=$B$63,IF(H14&lt;J14,3,IF(H14=J14,1,0)),0))</f>
        <v>0</v>
      </c>
      <c r="V15" s="129"/>
      <c r="W15" s="131"/>
      <c r="X15" s="185">
        <f>RANK(AD15,AD12:AD15)+COUNTIF(AD12:AD15,AD15)-1</f>
        <v>4</v>
      </c>
      <c r="Y15" s="132" t="s">
        <v>193</v>
      </c>
      <c r="Z15" s="131">
        <f>SUM(S15:V15)</f>
        <v>0</v>
      </c>
      <c r="AA15" s="131">
        <f>SUM(S19:V19)</f>
        <v>0</v>
      </c>
      <c r="AB15" s="131">
        <f>SUM(V16:V19)</f>
        <v>0</v>
      </c>
      <c r="AC15" s="131">
        <f>AA15-AB15</f>
        <v>0</v>
      </c>
      <c r="AD15" s="133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1</v>
      </c>
      <c r="AE15" s="134"/>
      <c r="AF15" s="135">
        <f>IF($Z15=$Z12,$S15-$V12,0)</f>
        <v>0</v>
      </c>
      <c r="AG15" s="135">
        <f>IF($Z15=$Z13,$T15-$V13,0)</f>
        <v>0</v>
      </c>
      <c r="AH15" s="135">
        <f>IF($Z15=$Z14,$U15-$V14,0)</f>
        <v>0</v>
      </c>
      <c r="AI15" s="135"/>
      <c r="AJ15" s="135">
        <f>SUM(AF15:AI15)</f>
        <v>0</v>
      </c>
      <c r="AK15" s="134"/>
      <c r="AL15" s="135">
        <f>IF($Z15=$Z12,$S19-$V16,0)</f>
        <v>0</v>
      </c>
      <c r="AM15" s="135">
        <f>IF($Z15=$Z13,$T19-$V17,0)</f>
        <v>0</v>
      </c>
      <c r="AN15" s="135">
        <f>IF($Z15=$Z14,$U19-$V18,0)</f>
        <v>0</v>
      </c>
      <c r="AO15" s="135"/>
      <c r="AP15" s="135">
        <f>SUM(AL15:AO15)</f>
        <v>0</v>
      </c>
      <c r="AQ15" s="135">
        <f>IF($Z15=$Z12,$S19,0)</f>
        <v>0</v>
      </c>
      <c r="AR15" s="135">
        <f>IF($Z15=$Z13,$T19,0)</f>
        <v>0</v>
      </c>
      <c r="AS15" s="135">
        <f>IF($Z15=$Z14,$U19,0)</f>
        <v>0</v>
      </c>
      <c r="AT15" s="135"/>
      <c r="AU15" s="135">
        <f>SUM(AQ15:AT15)</f>
        <v>0</v>
      </c>
      <c r="AV15" s="184">
        <f>IF(AND(COUNTIF(K13:K18,$B$63)=COUNTA(H13:H18),COUNTIF(K13:K18,$B$63)=COUNTA(J13:J18)),IF(AU15=AU12,S19-V16,IF(AU15=AU13,T19-V17,IF(AU15=AU14,U19-V18,1))),1)</f>
        <v>1</v>
      </c>
      <c r="AW15" s="133"/>
      <c r="BA15" s="2">
        <f>BA13+12</f>
        <v>21</v>
      </c>
      <c r="BB15" s="7">
        <v>42539.625</v>
      </c>
      <c r="BC15" s="4" t="s">
        <v>142</v>
      </c>
      <c r="BD15" s="125" t="str">
        <f>BY12</f>
        <v>Belgien</v>
      </c>
      <c r="BE15" s="80" t="s">
        <v>21</v>
      </c>
      <c r="BF15" s="125" t="str">
        <f>BY14</f>
        <v>Irland</v>
      </c>
      <c r="BG15" s="124"/>
      <c r="BH15" s="137"/>
      <c r="BI15" s="13" t="s">
        <v>22</v>
      </c>
      <c r="BJ15" s="136"/>
      <c r="BK15" s="9" t="s">
        <v>23</v>
      </c>
      <c r="BL15" s="1"/>
      <c r="BM15" s="11" t="str">
        <f>VLOOKUP(4,$BX$12:CC$15,2,FALSE)</f>
        <v>Schweden</v>
      </c>
      <c r="BN15" s="2">
        <f>VLOOKUP(4,$BX$12:$CC$15,3,FALSE)</f>
        <v>0</v>
      </c>
      <c r="BO15" s="2">
        <f>VLOOKUP(4,$BX$12:$CC$15,4,FALSE)</f>
        <v>0</v>
      </c>
      <c r="BP15" s="2">
        <f>VLOOKUP(4,$BX$12:$CC$15,5,FALSE)</f>
        <v>0</v>
      </c>
      <c r="BQ15" s="2">
        <f>VLOOKUP(4,$BX$12:$CC$15,6,FALSE)</f>
        <v>0</v>
      </c>
      <c r="BS15" s="130">
        <f>IF(BH17="",0,IF(BK17=$B$63,IF(BH17&gt;BJ17,3,IF(BH17=BJ17,1,0)),0))</f>
        <v>0</v>
      </c>
      <c r="BT15" s="130">
        <f>IF(BJ16="",0,IF(BK16=$B$63,IF(BH16&lt;BJ16,3,IF(BH16=BJ16,1,0)),0))</f>
        <v>0</v>
      </c>
      <c r="BU15" s="130">
        <f>IF(BJ14="",0,IF(BK14=$B$63,IF(BH14&lt;BJ14,3,IF(BH14=BJ14,1,0)),0))</f>
        <v>0</v>
      </c>
      <c r="BV15" s="129"/>
      <c r="BW15" s="1"/>
      <c r="BX15" s="185">
        <f>RANK(CD15,CD12:CD15)+COUNTIF(CD12:CD15,CD15)-1</f>
        <v>4</v>
      </c>
      <c r="BY15" s="132" t="s">
        <v>197</v>
      </c>
      <c r="BZ15" s="1">
        <f>SUM(BS15:BV15)</f>
        <v>0</v>
      </c>
      <c r="CA15" s="1">
        <f>SUM(BS19:BV19)</f>
        <v>0</v>
      </c>
      <c r="CB15" s="1">
        <f>SUM(BV16:BV19)</f>
        <v>0</v>
      </c>
      <c r="CC15" s="1">
        <f>CA15-CB15</f>
        <v>0</v>
      </c>
      <c r="CD15" s="33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1</v>
      </c>
      <c r="CE15" s="5"/>
      <c r="CF15" s="34">
        <f>IF($BZ15=$BZ12,$BS15-$BV12,0)</f>
        <v>0</v>
      </c>
      <c r="CG15" s="34">
        <f>IF($BZ15=$BZ13,$BT15-$BV13,0)</f>
        <v>0</v>
      </c>
      <c r="CH15" s="34">
        <f>IF($BZ15=$BZ14,$BU15-$BV14,0)</f>
        <v>0</v>
      </c>
      <c r="CI15" s="34"/>
      <c r="CJ15" s="34">
        <f>SUM(CF15:CI15)</f>
        <v>0</v>
      </c>
      <c r="CK15" s="5"/>
      <c r="CL15" s="34">
        <f>IF($BZ15=$BZ12,$BS19-$BV16,0)</f>
        <v>0</v>
      </c>
      <c r="CM15" s="34">
        <f>IF($BZ15=$BZ13,$BT19-$BV17,0)</f>
        <v>0</v>
      </c>
      <c r="CN15" s="34">
        <f>IF($BZ15=$BZ14,$BU19-$BV18,0)</f>
        <v>0</v>
      </c>
      <c r="CO15" s="34"/>
      <c r="CP15" s="34">
        <f>SUM(CL15:CO15)</f>
        <v>0</v>
      </c>
      <c r="CQ15" s="34">
        <f>IF($BZ15=$BZ12,$BS19,0)</f>
        <v>0</v>
      </c>
      <c r="CR15" s="34">
        <f>IF($BZ15=$BZ13,$BT19,0)</f>
        <v>0</v>
      </c>
      <c r="CS15" s="34">
        <f>IF($BZ15=$BZ14,$BU19,0)</f>
        <v>0</v>
      </c>
      <c r="CT15" s="34"/>
      <c r="CU15" s="34">
        <f>SUM(CQ15:CT15)</f>
        <v>0</v>
      </c>
      <c r="CV15" s="184">
        <f>IF(AND(COUNTIF(BK13:BK18,$B$63)=COUNTA(BH13:BH18),COUNTIF(BK13:BK18,$B$63)=COUNTA(BJ13:BJ18)),IF(CU15=CU12,BS19-BV16,IF(CU15=CU13,BT19-BV17,IF(CU15=CU14,BU19-BV18,1))),1)</f>
        <v>1</v>
      </c>
    </row>
    <row r="16" spans="1:100" ht="12.75">
      <c r="A16" s="2">
        <f>A14+12</f>
        <v>16</v>
      </c>
      <c r="B16" s="4">
        <v>42536.625</v>
      </c>
      <c r="C16" s="4" t="s">
        <v>140</v>
      </c>
      <c r="D16" s="125" t="str">
        <f>Y13</f>
        <v>Russland</v>
      </c>
      <c r="E16" s="80" t="s">
        <v>21</v>
      </c>
      <c r="F16" s="125" t="str">
        <f>Y15</f>
        <v>Slowakei</v>
      </c>
      <c r="G16" s="124"/>
      <c r="H16" s="137"/>
      <c r="I16" s="13" t="s">
        <v>22</v>
      </c>
      <c r="J16" s="136"/>
      <c r="K16" s="9" t="s">
        <v>23</v>
      </c>
      <c r="L16" s="1"/>
      <c r="N16" s="1"/>
      <c r="O16" s="1"/>
      <c r="P16" s="1"/>
      <c r="S16" s="129"/>
      <c r="T16" s="130">
        <f>IF(K13=$B$63,H13,0)</f>
        <v>0</v>
      </c>
      <c r="U16" s="130">
        <f>IF(K15=$B$63,H15,0)</f>
        <v>0</v>
      </c>
      <c r="V16" s="130">
        <f>IF(K17=$B$63,J17,0)</f>
        <v>0</v>
      </c>
      <c r="W16" s="131"/>
      <c r="X16" s="131"/>
      <c r="Y16" s="131"/>
      <c r="Z16" s="131"/>
      <c r="AA16" s="131"/>
      <c r="AB16" s="131"/>
      <c r="AC16" s="131"/>
      <c r="AD16" s="138"/>
      <c r="AE16" s="139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V16" s="135"/>
      <c r="AW16" s="133"/>
      <c r="BA16" s="2">
        <f>BA14+12</f>
        <v>22</v>
      </c>
      <c r="BB16" s="7">
        <v>42538.625</v>
      </c>
      <c r="BC16" s="4" t="s">
        <v>144</v>
      </c>
      <c r="BD16" s="125" t="str">
        <f>BY13</f>
        <v>Italien</v>
      </c>
      <c r="BE16" s="80" t="s">
        <v>21</v>
      </c>
      <c r="BF16" s="125" t="str">
        <f>BY15</f>
        <v>Schweden</v>
      </c>
      <c r="BG16" s="124"/>
      <c r="BH16" s="137"/>
      <c r="BI16" s="13" t="s">
        <v>22</v>
      </c>
      <c r="BJ16" s="136"/>
      <c r="BK16" s="9" t="s">
        <v>23</v>
      </c>
      <c r="BL16" s="1"/>
      <c r="BN16" s="1"/>
      <c r="BO16" s="1"/>
      <c r="BP16" s="1"/>
      <c r="BS16" s="129"/>
      <c r="BT16" s="130">
        <f>IF(BK13=$B$63,BH13,0)</f>
        <v>0</v>
      </c>
      <c r="BU16" s="130">
        <f>IF(BK15=$B$63,BH15,0)</f>
        <v>0</v>
      </c>
      <c r="BV16" s="130">
        <f>IF(BK17=$B$63,BJ17,0)</f>
        <v>0</v>
      </c>
      <c r="BW16" s="1"/>
      <c r="BX16" s="1"/>
      <c r="BY16" s="131"/>
      <c r="BZ16" s="1"/>
      <c r="CA16" s="1"/>
      <c r="CB16" s="1"/>
      <c r="CC16" s="1"/>
      <c r="CD16" s="6"/>
      <c r="CE16" s="9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V16" s="34"/>
    </row>
    <row r="17" spans="1:100" ht="12.75">
      <c r="A17" s="2">
        <f>A15+12</f>
        <v>27</v>
      </c>
      <c r="B17" s="7">
        <v>42541.875</v>
      </c>
      <c r="C17" s="4" t="s">
        <v>143</v>
      </c>
      <c r="D17" s="125" t="str">
        <f>Y15</f>
        <v>Slowakei</v>
      </c>
      <c r="E17" s="80" t="s">
        <v>21</v>
      </c>
      <c r="F17" s="125" t="str">
        <f>Y12</f>
        <v>England</v>
      </c>
      <c r="G17" s="123"/>
      <c r="H17" s="136"/>
      <c r="I17" s="13" t="s">
        <v>22</v>
      </c>
      <c r="J17" s="137"/>
      <c r="K17" s="9" t="s">
        <v>23</v>
      </c>
      <c r="M17" s="71">
        <f>IF(N12&gt;0,M12,"")</f>
      </c>
      <c r="N17" s="2" t="s">
        <v>27</v>
      </c>
      <c r="P17" s="51"/>
      <c r="S17" s="130">
        <f>IF(K13=$B$63,J13,0)</f>
        <v>0</v>
      </c>
      <c r="T17" s="129"/>
      <c r="U17" s="130">
        <f>IF(K18=$B$63,H18,0)</f>
        <v>0</v>
      </c>
      <c r="V17" s="130">
        <f>IF(K16=$B$63,H16,0)</f>
        <v>0</v>
      </c>
      <c r="AD17" s="123" t="s">
        <v>119</v>
      </c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V17" s="141"/>
      <c r="AW17" s="133"/>
      <c r="BA17" s="2">
        <f>BA15+12</f>
        <v>33</v>
      </c>
      <c r="BB17" s="7">
        <v>42543.875</v>
      </c>
      <c r="BC17" s="4" t="s">
        <v>145</v>
      </c>
      <c r="BD17" s="125" t="str">
        <f>BY15</f>
        <v>Schweden</v>
      </c>
      <c r="BE17" s="80" t="s">
        <v>21</v>
      </c>
      <c r="BF17" s="125" t="str">
        <f>BY12</f>
        <v>Belgien</v>
      </c>
      <c r="BG17" s="123"/>
      <c r="BH17" s="136"/>
      <c r="BI17" s="13" t="s">
        <v>22</v>
      </c>
      <c r="BJ17" s="137"/>
      <c r="BK17" s="9" t="s">
        <v>23</v>
      </c>
      <c r="BM17" s="74">
        <f>IF(BN12&gt;0,BM12,"")</f>
      </c>
      <c r="BN17" s="2" t="s">
        <v>36</v>
      </c>
      <c r="BP17" s="51"/>
      <c r="BS17" s="130">
        <f>IF(BK13=$B$63,BJ13,0)</f>
        <v>0</v>
      </c>
      <c r="BT17" s="129"/>
      <c r="BU17" s="130">
        <f>IF(BK18=$B$63,BH18,0)</f>
        <v>0</v>
      </c>
      <c r="BV17" s="130">
        <f>IF(BK16=$B$63,BH16,0)</f>
        <v>0</v>
      </c>
      <c r="CD17" s="2" t="s">
        <v>119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V17" s="35"/>
    </row>
    <row r="18" spans="1:100" ht="12.75">
      <c r="A18" s="2">
        <f>A16+12</f>
        <v>28</v>
      </c>
      <c r="B18" s="7">
        <v>42541.875</v>
      </c>
      <c r="C18" s="4" t="s">
        <v>144</v>
      </c>
      <c r="D18" s="125" t="str">
        <f>Y13</f>
        <v>Russland</v>
      </c>
      <c r="E18" s="80" t="s">
        <v>21</v>
      </c>
      <c r="F18" s="125" t="str">
        <f>Y14</f>
        <v>Wales</v>
      </c>
      <c r="G18" s="123"/>
      <c r="H18" s="137"/>
      <c r="I18" s="13" t="s">
        <v>22</v>
      </c>
      <c r="J18" s="137"/>
      <c r="K18" s="9" t="s">
        <v>23</v>
      </c>
      <c r="M18" s="71">
        <f>IF(N13&gt;0,M13,"")</f>
      </c>
      <c r="N18" s="2" t="s">
        <v>28</v>
      </c>
      <c r="O18" s="52"/>
      <c r="P18" s="53"/>
      <c r="S18" s="130">
        <f>IF(K15=$B$63,J15,0)</f>
        <v>0</v>
      </c>
      <c r="T18" s="130">
        <f>IF(K18=$B$63,J18,0)</f>
        <v>0</v>
      </c>
      <c r="U18" s="129"/>
      <c r="V18" s="130">
        <f>IF(K14=$B$63,H14,0)</f>
        <v>0</v>
      </c>
      <c r="AD18" s="123" t="s">
        <v>120</v>
      </c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V18" s="141"/>
      <c r="AW18" s="133"/>
      <c r="BA18" s="2">
        <f>BA16+12</f>
        <v>34</v>
      </c>
      <c r="BB18" s="7">
        <v>42543.875</v>
      </c>
      <c r="BC18" s="4" t="s">
        <v>140</v>
      </c>
      <c r="BD18" s="125" t="str">
        <f>BY13</f>
        <v>Italien</v>
      </c>
      <c r="BE18" s="80" t="s">
        <v>21</v>
      </c>
      <c r="BF18" s="125" t="str">
        <f>BY14</f>
        <v>Irland</v>
      </c>
      <c r="BG18" s="123"/>
      <c r="BH18" s="137"/>
      <c r="BI18" s="13" t="s">
        <v>22</v>
      </c>
      <c r="BJ18" s="137"/>
      <c r="BK18" s="9" t="s">
        <v>23</v>
      </c>
      <c r="BM18" s="74">
        <f>IF(BN13&gt;0,BM13,"")</f>
      </c>
      <c r="BN18" s="2" t="s">
        <v>37</v>
      </c>
      <c r="BO18" s="52"/>
      <c r="BP18" s="53"/>
      <c r="BS18" s="130">
        <f>IF(BK15=$B$63,BJ15,0)</f>
        <v>0</v>
      </c>
      <c r="BT18" s="130">
        <f>IF(BK18=$B$63,BJ18,0)</f>
        <v>0</v>
      </c>
      <c r="BU18" s="129"/>
      <c r="BV18" s="130">
        <f>IF(BK14=$B$63,BH14,0)</f>
        <v>0</v>
      </c>
      <c r="CD18" s="2" t="s">
        <v>120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V18" s="35"/>
    </row>
    <row r="19" spans="4:100" ht="12.75">
      <c r="D19" s="123"/>
      <c r="E19" s="123"/>
      <c r="F19" s="123"/>
      <c r="G19" s="123"/>
      <c r="M19" s="71">
        <f>IF(N14&gt;0,M14,"")</f>
      </c>
      <c r="N19" s="2" t="s">
        <v>76</v>
      </c>
      <c r="S19" s="130">
        <f>IF(K17=$B$63,H17,0)</f>
        <v>0</v>
      </c>
      <c r="T19" s="130">
        <f>IF(K16=$B$63,J16,0)</f>
        <v>0</v>
      </c>
      <c r="U19" s="130">
        <f>IF(K14=$B$63,J14,0)</f>
        <v>0</v>
      </c>
      <c r="V19" s="129"/>
      <c r="AD19" s="2" t="s">
        <v>200</v>
      </c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V19" s="141"/>
      <c r="AW19" s="133"/>
      <c r="BB19" s="2" t="s">
        <v>2</v>
      </c>
      <c r="BD19" s="123"/>
      <c r="BE19" s="123"/>
      <c r="BF19" s="123"/>
      <c r="BG19" s="123"/>
      <c r="BM19" s="74">
        <f>IF(BN14&gt;0,BM14,"")</f>
      </c>
      <c r="BN19" s="2" t="s">
        <v>77</v>
      </c>
      <c r="BS19" s="130">
        <f>IF(BK17=$B$63,BH17,0)</f>
        <v>0</v>
      </c>
      <c r="BT19" s="130">
        <f>IF(BK16=$B$63,BJ16,0)</f>
        <v>0</v>
      </c>
      <c r="BU19" s="130">
        <f>IF(BK14=$B$63,BJ14,0)</f>
        <v>0</v>
      </c>
      <c r="BV19" s="129"/>
      <c r="CD19" s="2" t="s">
        <v>200</v>
      </c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V19" s="35"/>
    </row>
    <row r="20" spans="4:100" ht="6" customHeight="1">
      <c r="D20" s="123"/>
      <c r="E20" s="126"/>
      <c r="F20" s="128"/>
      <c r="G20" s="128"/>
      <c r="H20" s="123"/>
      <c r="I20" s="123"/>
      <c r="J20" s="123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V20" s="141"/>
      <c r="AW20" s="133"/>
      <c r="BD20" s="123"/>
      <c r="BE20" s="126"/>
      <c r="BF20" s="128"/>
      <c r="BG20" s="128"/>
      <c r="BH20" s="123"/>
      <c r="BI20" s="123"/>
      <c r="BJ20" s="123"/>
      <c r="BS20" s="123"/>
      <c r="BT20" s="123"/>
      <c r="BU20" s="123"/>
      <c r="BV20" s="123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V20" s="35"/>
    </row>
    <row r="21" spans="2:100" s="12" customFormat="1" ht="12.75">
      <c r="B21" s="49" t="s">
        <v>0</v>
      </c>
      <c r="C21" s="40" t="s">
        <v>29</v>
      </c>
      <c r="D21" s="124" t="s">
        <v>2</v>
      </c>
      <c r="E21" s="142"/>
      <c r="F21" s="124"/>
      <c r="G21" s="124"/>
      <c r="H21" s="28"/>
      <c r="I21" s="27"/>
      <c r="J21" s="28"/>
      <c r="K21" s="29"/>
      <c r="L21" s="24"/>
      <c r="M21" s="69" t="s">
        <v>3</v>
      </c>
      <c r="N21" s="24" t="s">
        <v>4</v>
      </c>
      <c r="O21" s="24" t="s">
        <v>5</v>
      </c>
      <c r="P21" s="24" t="s">
        <v>6</v>
      </c>
      <c r="Q21" s="24" t="s">
        <v>7</v>
      </c>
      <c r="R21" s="24"/>
      <c r="S21" s="123"/>
      <c r="T21" s="123"/>
      <c r="U21" s="123"/>
      <c r="V21" s="123"/>
      <c r="W21" s="124"/>
      <c r="X21" s="124" t="s">
        <v>8</v>
      </c>
      <c r="Y21" s="125" t="s">
        <v>9</v>
      </c>
      <c r="Z21" s="124" t="s">
        <v>4</v>
      </c>
      <c r="AA21" s="124" t="s">
        <v>5</v>
      </c>
      <c r="AB21" s="124" t="s">
        <v>6</v>
      </c>
      <c r="AC21" s="124" t="s">
        <v>7</v>
      </c>
      <c r="AD21" s="124"/>
      <c r="AE21" s="27" t="s">
        <v>10</v>
      </c>
      <c r="AF21" s="80" t="s">
        <v>11</v>
      </c>
      <c r="AG21" s="80"/>
      <c r="AH21" s="80"/>
      <c r="AI21" s="80"/>
      <c r="AJ21" s="80" t="s">
        <v>12</v>
      </c>
      <c r="AK21" s="125" t="s">
        <v>13</v>
      </c>
      <c r="AL21" s="80" t="s">
        <v>14</v>
      </c>
      <c r="AM21" s="80"/>
      <c r="AN21" s="80"/>
      <c r="AO21" s="80"/>
      <c r="AP21" s="80" t="s">
        <v>15</v>
      </c>
      <c r="AQ21" s="80" t="s">
        <v>16</v>
      </c>
      <c r="AR21" s="80"/>
      <c r="AS21" s="80"/>
      <c r="AT21" s="80"/>
      <c r="AU21" s="126" t="s">
        <v>17</v>
      </c>
      <c r="AV21" s="125" t="s">
        <v>18</v>
      </c>
      <c r="AW21" s="127"/>
      <c r="AX21" s="128"/>
      <c r="AY21" s="128"/>
      <c r="AZ21" s="128"/>
      <c r="BB21" s="64" t="s">
        <v>0</v>
      </c>
      <c r="BC21" s="75" t="s">
        <v>38</v>
      </c>
      <c r="BD21" s="124" t="s">
        <v>2</v>
      </c>
      <c r="BE21" s="142"/>
      <c r="BF21" s="124"/>
      <c r="BG21" s="124"/>
      <c r="BH21" s="28"/>
      <c r="BI21" s="27"/>
      <c r="BJ21" s="28"/>
      <c r="BK21" s="29"/>
      <c r="BL21" s="24"/>
      <c r="BM21" s="69" t="s">
        <v>3</v>
      </c>
      <c r="BN21" s="24" t="s">
        <v>4</v>
      </c>
      <c r="BO21" s="24" t="s">
        <v>5</v>
      </c>
      <c r="BP21" s="24" t="s">
        <v>6</v>
      </c>
      <c r="BQ21" s="24" t="s">
        <v>7</v>
      </c>
      <c r="BR21" s="24"/>
      <c r="BS21" s="123"/>
      <c r="BT21" s="123"/>
      <c r="BU21" s="123"/>
      <c r="BV21" s="123"/>
      <c r="BW21" s="24"/>
      <c r="BX21" s="24" t="s">
        <v>8</v>
      </c>
      <c r="BY21" s="125" t="s">
        <v>9</v>
      </c>
      <c r="BZ21" s="24" t="s">
        <v>4</v>
      </c>
      <c r="CA21" s="24" t="s">
        <v>5</v>
      </c>
      <c r="CB21" s="24" t="s">
        <v>6</v>
      </c>
      <c r="CC21" s="24" t="s">
        <v>7</v>
      </c>
      <c r="CD21" s="24"/>
      <c r="CE21" s="29" t="s">
        <v>10</v>
      </c>
      <c r="CF21" s="22" t="s">
        <v>11</v>
      </c>
      <c r="CG21" s="22"/>
      <c r="CH21" s="22"/>
      <c r="CI21" s="22"/>
      <c r="CJ21" s="22" t="s">
        <v>12</v>
      </c>
      <c r="CK21" s="30" t="s">
        <v>13</v>
      </c>
      <c r="CL21" s="22" t="s">
        <v>14</v>
      </c>
      <c r="CM21" s="22"/>
      <c r="CN21" s="22"/>
      <c r="CO21" s="22"/>
      <c r="CP21" s="22" t="s">
        <v>15</v>
      </c>
      <c r="CQ21" s="22" t="s">
        <v>16</v>
      </c>
      <c r="CR21" s="22"/>
      <c r="CS21" s="22"/>
      <c r="CT21" s="22"/>
      <c r="CU21" s="23" t="s">
        <v>17</v>
      </c>
      <c r="CV21" s="30" t="s">
        <v>18</v>
      </c>
    </row>
    <row r="22" spans="2:100" ht="12.75">
      <c r="B22" s="3" t="s">
        <v>19</v>
      </c>
      <c r="C22" s="3" t="s">
        <v>20</v>
      </c>
      <c r="D22" s="123"/>
      <c r="E22" s="123"/>
      <c r="F22" s="123"/>
      <c r="G22" s="123"/>
      <c r="L22" s="1"/>
      <c r="M22" s="11" t="str">
        <f>VLOOKUP(1,$X$22:$AC$25,2,FALSE)</f>
        <v>Deutschland</v>
      </c>
      <c r="N22" s="2">
        <f>VLOOKUP(1,$X$22:$AC$25,3,FALSE)</f>
        <v>0</v>
      </c>
      <c r="O22" s="2">
        <f>VLOOKUP(1,$X$22:$AC$25,4,FALSE)</f>
        <v>0</v>
      </c>
      <c r="P22" s="2">
        <f>VLOOKUP(1,$X$22:$AC$25,5,FALSE)</f>
        <v>0</v>
      </c>
      <c r="Q22" s="2">
        <f>VLOOKUP(1,$X$22:$AC$25,6,FALSE)</f>
        <v>0</v>
      </c>
      <c r="S22" s="129"/>
      <c r="T22" s="130">
        <f>IF(H23="",0,IF(K23=$B$63,IF(H23&gt;J23,3,IF(H23=J23,1,0)),0))</f>
        <v>0</v>
      </c>
      <c r="U22" s="130">
        <f>IF(H25="",0,IF(K25=$B$63,IF(H25&gt;J25,3,IF(H25=J25,1,0)),0))</f>
        <v>0</v>
      </c>
      <c r="V22" s="130">
        <f>IF(J27="",0,IF(K27=$B$63,IF(H27&lt;J27,3,IF(H27=J27,1,0)),0))</f>
        <v>0</v>
      </c>
      <c r="W22" s="131"/>
      <c r="X22" s="185">
        <f>RANK(AD22,AD22:AD25)+COUNTIF(AD22:AD22,AD22)-1</f>
        <v>1</v>
      </c>
      <c r="Y22" s="132" t="s">
        <v>175</v>
      </c>
      <c r="Z22" s="131">
        <f>SUM(S22:V22)</f>
        <v>0</v>
      </c>
      <c r="AA22" s="131">
        <f>SUM(S26:V26)</f>
        <v>0</v>
      </c>
      <c r="AB22" s="131">
        <f>SUM(S26:S29)</f>
        <v>0</v>
      </c>
      <c r="AC22" s="131">
        <f>AA22-AB22</f>
        <v>0</v>
      </c>
      <c r="AD22" s="133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4</v>
      </c>
      <c r="AE22" s="134"/>
      <c r="AF22" s="135"/>
      <c r="AG22" s="135">
        <f>IF($Z22=$Z23,$T22-$S23,0)</f>
        <v>0</v>
      </c>
      <c r="AH22" s="135">
        <f>IF($Z22=$Z24,$U22-$S24,0)</f>
        <v>0</v>
      </c>
      <c r="AI22" s="135">
        <f>IF($Z22=$Z25,$V22-$S25,0)</f>
        <v>0</v>
      </c>
      <c r="AJ22" s="135">
        <f>SUM(AF22:AI22)</f>
        <v>0</v>
      </c>
      <c r="AK22" s="134"/>
      <c r="AL22" s="135"/>
      <c r="AM22" s="135">
        <f>IF($Z22=$Z23,$T26-$S27,0)</f>
        <v>0</v>
      </c>
      <c r="AN22" s="135">
        <f>IF($Z22=$Z24,$U26-$S28,0)</f>
        <v>0</v>
      </c>
      <c r="AO22" s="135">
        <f>IF($Z22=$Z25,$V26-$S29,0)</f>
        <v>0</v>
      </c>
      <c r="AP22" s="135">
        <f>SUM(AL22:AO22)</f>
        <v>0</v>
      </c>
      <c r="AQ22" s="135"/>
      <c r="AR22" s="135">
        <f>IF($Z22=$Z23,$T26,0)</f>
        <v>0</v>
      </c>
      <c r="AS22" s="135">
        <f>IF($Z22=$Z24,$U26,0)</f>
        <v>0</v>
      </c>
      <c r="AT22" s="135">
        <f>IF($Z22=$Z25,$V26,0)</f>
        <v>0</v>
      </c>
      <c r="AU22" s="135">
        <f>SUM(AQ22:AT22)</f>
        <v>0</v>
      </c>
      <c r="AV22" s="184">
        <f>IF(AND(COUNTIF(K23:K28,$B$63)=COUNTA(H23:H28),COUNTIF(K23:K28,$B$63)=COUNTA(J23:J28)),IF(AU22=AU23,T26-S27,IF(AU22=AU24,U26-S28,IF(AU22=AU25,V26-S29,4))),4)</f>
        <v>4</v>
      </c>
      <c r="AW22" s="133"/>
      <c r="BB22" s="3" t="s">
        <v>19</v>
      </c>
      <c r="BC22" s="3" t="s">
        <v>20</v>
      </c>
      <c r="BD22" s="123"/>
      <c r="BE22" s="123"/>
      <c r="BF22" s="123"/>
      <c r="BG22" s="123"/>
      <c r="BL22" s="1"/>
      <c r="BM22" s="11" t="str">
        <f>VLOOKUP(1,$BX$22:$CC$25,2,FALSE)</f>
        <v>Portugal</v>
      </c>
      <c r="BN22" s="2">
        <f>VLOOKUP(1,$BX$22:$CC$25,3,FALSE)</f>
        <v>0</v>
      </c>
      <c r="BO22" s="2">
        <f>VLOOKUP(1,$BX$22:$CC$25,4,FALSE)</f>
        <v>0</v>
      </c>
      <c r="BP22" s="2">
        <f>VLOOKUP(1,$BX$22:$CC$25,5,FALSE)</f>
        <v>0</v>
      </c>
      <c r="BQ22" s="2">
        <f>VLOOKUP(1,$BX$22:$CC$25,6,FALSE)</f>
        <v>0</v>
      </c>
      <c r="BS22" s="129"/>
      <c r="BT22" s="130">
        <f>IF(BH23="",0,IF(BK23=$B$63,IF(BH23&gt;BJ23,3,IF(BH23=BJ23,1,0)),0))</f>
        <v>0</v>
      </c>
      <c r="BU22" s="130">
        <f>IF(BH25="",0,IF(BK25=$B$63,IF(BH25&gt;BJ25,3,IF(BH25=BJ25,1,0)),0))</f>
        <v>0</v>
      </c>
      <c r="BV22" s="130">
        <f>IF(BJ27="",0,IF(BK27=$B$63,IF(BH27&lt;BJ27,3,IF(BH27=BJ27,1,0)),0))</f>
        <v>0</v>
      </c>
      <c r="BW22" s="1"/>
      <c r="BX22" s="185">
        <f>RANK(CD22,CD22:CD25)+COUNTIF(CD22:CD22,CD22)-1</f>
        <v>1</v>
      </c>
      <c r="BY22" s="132" t="s">
        <v>178</v>
      </c>
      <c r="BZ22" s="1">
        <f>SUM(BS22:BV22)</f>
        <v>0</v>
      </c>
      <c r="CA22" s="1">
        <f>SUM(BS26:BV26)</f>
        <v>0</v>
      </c>
      <c r="CB22" s="1">
        <f>SUM(BS26:BS29)</f>
        <v>0</v>
      </c>
      <c r="CC22" s="1">
        <f>CA22-CB22</f>
        <v>0</v>
      </c>
      <c r="CD22" s="33">
        <f>IF(BP$28="",CE22*10000000000000000+BZ22*100000000000000+CC22*1000000000000+CA22*10000000000+CK22*100000000+CJ22*1000000+CP22*10000+CU22*100+CV22,CE22*10000000000000000+BZ22*100000000000000+CK22*1000000000000+CJ22*10000000000+CP22*100000000+CU22*1000000+CC22*10000+CA22*100+CV22)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4</v>
      </c>
      <c r="CE22" s="5"/>
      <c r="CF22" s="34"/>
      <c r="CG22" s="34">
        <f>IF($BZ22=$BZ23,$BT22-$BS23,0)</f>
        <v>0</v>
      </c>
      <c r="CH22" s="34">
        <f>IF($BZ22=$BZ24,$BU22-$BS24,0)</f>
        <v>0</v>
      </c>
      <c r="CI22" s="34">
        <f>IF($BZ22=$BZ25,$BV22-$BS25,0)</f>
        <v>0</v>
      </c>
      <c r="CJ22" s="34">
        <f>SUM(CF22:CI22)</f>
        <v>0</v>
      </c>
      <c r="CK22" s="5"/>
      <c r="CL22" s="34"/>
      <c r="CM22" s="34">
        <f>IF($BZ22=$BZ23,$BT26-$BS27,0)</f>
        <v>0</v>
      </c>
      <c r="CN22" s="34">
        <f>IF($BZ22=$BZ24,$BU26-$BS28,0)</f>
        <v>0</v>
      </c>
      <c r="CO22" s="34">
        <f>IF($BZ22=$BZ25,$BV26-$BS29,0)</f>
        <v>0</v>
      </c>
      <c r="CP22" s="34">
        <f>SUM(CL22:CO22)</f>
        <v>0</v>
      </c>
      <c r="CQ22" s="34"/>
      <c r="CR22" s="34">
        <f>IF($BZ22=$BZ23,$BT26,0)</f>
        <v>0</v>
      </c>
      <c r="CS22" s="34">
        <f>IF($BZ22=$BZ24,$BU26,0)</f>
        <v>0</v>
      </c>
      <c r="CT22" s="34">
        <f>IF($BZ22=$BZ25,$BV26,0)</f>
        <v>0</v>
      </c>
      <c r="CU22" s="34">
        <f>SUM(CQ22:CT22)</f>
        <v>0</v>
      </c>
      <c r="CV22" s="184">
        <f>IF(AND(COUNTIF(BK23:BK28,$B$63)=COUNTA(BH23:BH28),COUNTIF(BK23:BK28,$B$63)=COUNTA(BJ23:BJ28)),IF(CU22=CU23,BT26-BS27,IF(CU22=CU24,BU26-BS28,IF(CU22=CU25,BV26-BS29,4))),4)</f>
        <v>4</v>
      </c>
    </row>
    <row r="23" spans="1:100" ht="12.75">
      <c r="A23" s="2">
        <v>5</v>
      </c>
      <c r="B23" s="7">
        <v>42533.875</v>
      </c>
      <c r="C23" s="4" t="s">
        <v>140</v>
      </c>
      <c r="D23" s="125" t="str">
        <f>Y22</f>
        <v>Deutschland</v>
      </c>
      <c r="E23" s="80" t="s">
        <v>21</v>
      </c>
      <c r="F23" s="125" t="str">
        <f>Y23</f>
        <v>Ukraine</v>
      </c>
      <c r="G23" s="124"/>
      <c r="H23" s="136"/>
      <c r="I23" s="13" t="s">
        <v>22</v>
      </c>
      <c r="J23" s="136"/>
      <c r="K23" s="9" t="s">
        <v>23</v>
      </c>
      <c r="L23" s="1"/>
      <c r="M23" s="11" t="str">
        <f>VLOOKUP(2,$X$22:$AC$25,2,FALSE)</f>
        <v>Ukraine</v>
      </c>
      <c r="N23" s="2">
        <f>VLOOKUP(2,$X$22:$AC$25,3,FALSE)</f>
        <v>0</v>
      </c>
      <c r="O23" s="2">
        <f>VLOOKUP(2,$X$22:$AC$25,4,FALSE)</f>
        <v>0</v>
      </c>
      <c r="P23" s="2">
        <f>VLOOKUP(2,$X$22:$AC$25,5,FALSE)</f>
        <v>0</v>
      </c>
      <c r="Q23" s="2">
        <f>VLOOKUP(2,$X$22:$AC$25,6,FALSE)</f>
        <v>0</v>
      </c>
      <c r="S23" s="130">
        <f>IF(J23="",0,IF(K23=$B$63,IF(H23&lt;J23,3,IF(H23=J23,1,0)),0))</f>
        <v>0</v>
      </c>
      <c r="T23" s="129"/>
      <c r="U23" s="130">
        <f>IF(H28="",0,IF(K28=$B$63,IF(H28&gt;J28,3,IF(H28=J28,1,0)),0))</f>
        <v>0</v>
      </c>
      <c r="V23" s="130">
        <f>IF(H26="",0,IF(K26=$B$63,IF(H26&gt;J26,3,IF(H26=J26,1,0)),0))</f>
        <v>0</v>
      </c>
      <c r="W23" s="131"/>
      <c r="X23" s="185">
        <f>RANK(AD23,AD22:AD25)+COUNTIF(AD22:AD23,AD23)-1</f>
        <v>2</v>
      </c>
      <c r="Y23" s="132" t="s">
        <v>199</v>
      </c>
      <c r="Z23" s="131">
        <f>SUM(S23:V23)</f>
        <v>0</v>
      </c>
      <c r="AA23" s="131">
        <f>SUM(S27:V27)</f>
        <v>0</v>
      </c>
      <c r="AB23" s="131">
        <f>SUM(T26:T29)</f>
        <v>0</v>
      </c>
      <c r="AC23" s="131">
        <f>AA23-AB23</f>
        <v>0</v>
      </c>
      <c r="AD23" s="133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3</v>
      </c>
      <c r="AE23" s="134"/>
      <c r="AF23" s="135">
        <f>IF($Z23=$Z22,$S23-$T22,0)</f>
        <v>0</v>
      </c>
      <c r="AG23" s="135"/>
      <c r="AH23" s="135">
        <f>IF($Z23=$Z24,$U23-$T24,0)</f>
        <v>0</v>
      </c>
      <c r="AI23" s="135">
        <f>IF($Z23=$Z25,$V23-$T25,0)</f>
        <v>0</v>
      </c>
      <c r="AJ23" s="135">
        <f>SUM(AF23:AI23)</f>
        <v>0</v>
      </c>
      <c r="AK23" s="134"/>
      <c r="AL23" s="135">
        <f>IF($Z23=$Z22,$S27-$T26,0)</f>
        <v>0</v>
      </c>
      <c r="AM23" s="135"/>
      <c r="AN23" s="135">
        <f>IF($Z23=$Z24,$U27-$T28,0)</f>
        <v>0</v>
      </c>
      <c r="AO23" s="135">
        <f>IF($Z23=$Z25,$V27-$T29,0)</f>
        <v>0</v>
      </c>
      <c r="AP23" s="135">
        <f>SUM(AL23:AO23)</f>
        <v>0</v>
      </c>
      <c r="AQ23" s="135">
        <f>IF($Z23=$Z22,$S27,0)</f>
        <v>0</v>
      </c>
      <c r="AR23" s="135"/>
      <c r="AS23" s="135">
        <f>IF($Z23=$Z24,$U27,0)</f>
        <v>0</v>
      </c>
      <c r="AT23" s="135">
        <f>IF($Z23=$Z25,$V27,0)</f>
        <v>0</v>
      </c>
      <c r="AU23" s="135">
        <f>SUM(AQ23:AT23)</f>
        <v>0</v>
      </c>
      <c r="AV23" s="184">
        <f>IF(AND(COUNTIF(K23:K28,$B$63)=COUNTA(H23:H28),COUNTIF(K23:K28,$B$63)=COUNTA(J23:J28)),IF(AU23=AU22,S27-T26,IF(AU23=AU24,U27-T28,IF(AU23=AU25,V27-T29,3))),3)</f>
        <v>3</v>
      </c>
      <c r="AW23" s="133"/>
      <c r="BA23" s="2">
        <v>11</v>
      </c>
      <c r="BB23" s="7">
        <v>42535.875</v>
      </c>
      <c r="BC23" s="4" t="s">
        <v>143</v>
      </c>
      <c r="BD23" s="125" t="str">
        <f>BY22</f>
        <v>Portugal</v>
      </c>
      <c r="BE23" s="80" t="s">
        <v>21</v>
      </c>
      <c r="BF23" s="125" t="str">
        <f>BY23</f>
        <v>Island</v>
      </c>
      <c r="BG23" s="124"/>
      <c r="BH23" s="136"/>
      <c r="BI23" s="13" t="s">
        <v>22</v>
      </c>
      <c r="BJ23" s="136"/>
      <c r="BK23" s="9" t="s">
        <v>23</v>
      </c>
      <c r="BL23" s="1"/>
      <c r="BM23" s="11" t="str">
        <f>VLOOKUP(2,$BX$22:$CC$25,2,FALSE)</f>
        <v>Island</v>
      </c>
      <c r="BN23" s="2">
        <f>VLOOKUP(2,$BX$22:$CC$25,3,FALSE)</f>
        <v>0</v>
      </c>
      <c r="BO23" s="2">
        <f>VLOOKUP(2,$BX$22:$CC$25,4,FALSE)</f>
        <v>0</v>
      </c>
      <c r="BP23" s="2">
        <f>VLOOKUP(2,$BX$22:$CC$25,5,FALSE)</f>
        <v>0</v>
      </c>
      <c r="BQ23" s="2">
        <f>VLOOKUP(2,$BX$22:$CC$25,6,FALSE)</f>
        <v>0</v>
      </c>
      <c r="BS23" s="130">
        <f>IF(BJ23="",0,IF(BK23=$B$63,IF(BH23&lt;BJ23,3,IF(BH23=BJ23,1,0)),0))</f>
        <v>0</v>
      </c>
      <c r="BT23" s="129"/>
      <c r="BU23" s="130">
        <f>IF(BH28="",0,IF(BK28=$B$63,IF(BH28&gt;BJ28,3,IF(BH28=BJ28,1,0)),0))</f>
        <v>0</v>
      </c>
      <c r="BV23" s="130">
        <f>IF(BH26="",0,IF(BK26=$B$63,IF(BH26&gt;BJ26,3,IF(BH26=BJ26,1,0)),0))</f>
        <v>0</v>
      </c>
      <c r="BW23" s="1"/>
      <c r="BX23" s="185">
        <f>RANK(CD23,CD22:CD25)+COUNTIF(CD22:CD23,CD23)-1</f>
        <v>2</v>
      </c>
      <c r="BY23" s="132" t="s">
        <v>185</v>
      </c>
      <c r="BZ23" s="1">
        <f>SUM(BS23:BV23)</f>
        <v>0</v>
      </c>
      <c r="CA23" s="1">
        <f>SUM(BS27:BV27)</f>
        <v>0</v>
      </c>
      <c r="CB23" s="1">
        <f>SUM(BT26:BT29)</f>
        <v>0</v>
      </c>
      <c r="CC23" s="1">
        <f>CA23-CB23</f>
        <v>0</v>
      </c>
      <c r="CD23" s="33">
        <f>IF(BP$28="",CE23*10000000000000000+BZ23*100000000000000+CC23*1000000000000+CA23*10000000000+CK23*100000000+CJ23*1000000+CP23*10000+CU23*100+CV23,CE23*10000000000000000+BZ23*100000000000000+CK23*1000000000000+CJ23*10000000000+CP23*100000000+CU23*1000000+CC23*10000+CA23*100+CV23)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3</v>
      </c>
      <c r="CE23" s="5"/>
      <c r="CF23" s="34">
        <f>IF($BZ23=$BZ22,$BS23-$BT22,0)</f>
        <v>0</v>
      </c>
      <c r="CG23" s="34"/>
      <c r="CH23" s="34">
        <f>IF($BZ23=$BZ24,$BU23-$BT24,0)</f>
        <v>0</v>
      </c>
      <c r="CI23" s="34">
        <f>IF($BZ23=$BZ25,$BV23-$BT25,0)</f>
        <v>0</v>
      </c>
      <c r="CJ23" s="34">
        <f>SUM(CF23:CI23)</f>
        <v>0</v>
      </c>
      <c r="CK23" s="5"/>
      <c r="CL23" s="34">
        <f>IF($BZ23=$BZ22,$BS27-$BT26,0)</f>
        <v>0</v>
      </c>
      <c r="CM23" s="34"/>
      <c r="CN23" s="34">
        <f>IF($BZ23=$BZ24,$BU27-$BT28,0)</f>
        <v>0</v>
      </c>
      <c r="CO23" s="34">
        <f>IF($BZ23=$BZ25,$BV27-$BT29,0)</f>
        <v>0</v>
      </c>
      <c r="CP23" s="34">
        <f>SUM(CL23:CO23)</f>
        <v>0</v>
      </c>
      <c r="CQ23" s="34">
        <f>IF($BZ23=$BZ22,$BS27,0)</f>
        <v>0</v>
      </c>
      <c r="CR23" s="34"/>
      <c r="CS23" s="34">
        <f>IF($BZ23=$BZ24,$BU27,0)</f>
        <v>0</v>
      </c>
      <c r="CT23" s="34">
        <f>IF($BZ23=$BZ25,$BV27,0)</f>
        <v>0</v>
      </c>
      <c r="CU23" s="34">
        <f>SUM(CQ23:CT23)</f>
        <v>0</v>
      </c>
      <c r="CV23" s="184">
        <f>IF(AND(COUNTIF(BK23:BK28,$B$63)=COUNTA(BH23:BH28),COUNTIF(BK23:BK28,$B$63)=COUNTA(BJ23:BJ28)),IF(CU23=CU22,BS27-BT26,IF(CU23=CU24,BU27-BT28,IF(CU23=CU25,BV27-BT29,3))),3)</f>
        <v>3</v>
      </c>
    </row>
    <row r="24" spans="1:100" ht="12.75">
      <c r="A24" s="2">
        <v>6</v>
      </c>
      <c r="B24" s="7">
        <v>42533.75</v>
      </c>
      <c r="C24" s="4" t="s">
        <v>145</v>
      </c>
      <c r="D24" s="125" t="str">
        <f>Y24</f>
        <v>Polen</v>
      </c>
      <c r="E24" s="80" t="s">
        <v>21</v>
      </c>
      <c r="F24" s="125" t="str">
        <f>Y25</f>
        <v>Nordirland</v>
      </c>
      <c r="G24" s="124"/>
      <c r="H24" s="137"/>
      <c r="I24" s="13" t="s">
        <v>22</v>
      </c>
      <c r="J24" s="136"/>
      <c r="K24" s="9" t="s">
        <v>23</v>
      </c>
      <c r="L24" s="1"/>
      <c r="M24" s="11" t="str">
        <f>VLOOKUP(3,$X$22:$AC$25,2,FALSE)</f>
        <v>Polen</v>
      </c>
      <c r="N24" s="2">
        <f>VLOOKUP(3,$X$22:$AC$25,3,FALSE)</f>
        <v>0</v>
      </c>
      <c r="O24" s="2">
        <f>VLOOKUP(3,$X$22:$AC$25,4,FALSE)</f>
        <v>0</v>
      </c>
      <c r="P24" s="2">
        <f>VLOOKUP(3,$X$22:$AC$25,5,FALSE)</f>
        <v>0</v>
      </c>
      <c r="Q24" s="2">
        <f>VLOOKUP(3,$X$22:$AC$25,6,FALSE)</f>
        <v>0</v>
      </c>
      <c r="S24" s="130">
        <f>IF(J25="",0,IF(K25=$B$63,IF(H25&lt;J25,3,IF(H25=J25,1,0)),0))</f>
        <v>0</v>
      </c>
      <c r="T24" s="130">
        <f>IF(J28="",0,IF(K28=$B$63,IF(H28&lt;J28,3,IF(H28=J28,1,0)),0))</f>
        <v>0</v>
      </c>
      <c r="U24" s="129"/>
      <c r="V24" s="130">
        <f>IF(H24="",0,IF(K24=$B$63,IF(H24&gt;J24,3,IF(H24=J24,1,0)),0))</f>
        <v>0</v>
      </c>
      <c r="W24" s="131"/>
      <c r="X24" s="185">
        <f>RANK(AD24,AD22:AD25)+COUNTIF(AD22:AD24,AD24)-1</f>
        <v>3</v>
      </c>
      <c r="Y24" s="132" t="s">
        <v>190</v>
      </c>
      <c r="Z24" s="131">
        <f>SUM(S24:V24)</f>
        <v>0</v>
      </c>
      <c r="AA24" s="131">
        <f>SUM(S28:V28)</f>
        <v>0</v>
      </c>
      <c r="AB24" s="131">
        <f>SUM(U26:U29)</f>
        <v>0</v>
      </c>
      <c r="AC24" s="131">
        <f>AA24-AB24</f>
        <v>0</v>
      </c>
      <c r="AD24" s="133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2</v>
      </c>
      <c r="AE24" s="134"/>
      <c r="AF24" s="135">
        <f>IF($Z24=$Z22,$S24-$U22,0)</f>
        <v>0</v>
      </c>
      <c r="AG24" s="135">
        <f>IF($Z24=$Z23,$T24-$U23,0)</f>
        <v>0</v>
      </c>
      <c r="AH24" s="135"/>
      <c r="AI24" s="135">
        <f>IF($Z24=$Z25,$V24-$U25,0)</f>
        <v>0</v>
      </c>
      <c r="AJ24" s="135">
        <f>SUM(AF24:AI24)</f>
        <v>0</v>
      </c>
      <c r="AK24" s="134"/>
      <c r="AL24" s="135">
        <f>IF($Z24=$Z22,$S28-$U26,0)</f>
        <v>0</v>
      </c>
      <c r="AM24" s="135">
        <f>IF($Z24=$Z23,$T28-$U27,0)</f>
        <v>0</v>
      </c>
      <c r="AN24" s="135"/>
      <c r="AO24" s="135">
        <f>IF($Z24=$Z25,$V28-$U29,0)</f>
        <v>0</v>
      </c>
      <c r="AP24" s="135">
        <f>SUM(AL24:AO24)</f>
        <v>0</v>
      </c>
      <c r="AQ24" s="135">
        <f>IF($Z24=$Z22,$S28,0)</f>
        <v>0</v>
      </c>
      <c r="AR24" s="135">
        <f>IF($Z24=$Z23,$T28,0)</f>
        <v>0</v>
      </c>
      <c r="AS24" s="135"/>
      <c r="AT24" s="135">
        <f>IF($Z24=$Z25,$V28,0)</f>
        <v>0</v>
      </c>
      <c r="AU24" s="135">
        <f>SUM(AQ24:AT24)</f>
        <v>0</v>
      </c>
      <c r="AV24" s="184">
        <f>IF(AND(COUNTIF(K23:K28,$B$63)=COUNTA(H23:H28),COUNTIF(K23:K28,$B$63)=COUNTA(J23:J28)),IF(AU24=AU22,S28-U26,IF(AU24=AU23,T28-U27,IF(AU24=AU25,V28-U29,2))),2)</f>
        <v>2</v>
      </c>
      <c r="AW24" s="133"/>
      <c r="BA24" s="2">
        <v>12</v>
      </c>
      <c r="BB24" s="4">
        <v>42535.75</v>
      </c>
      <c r="BC24" s="4" t="s">
        <v>142</v>
      </c>
      <c r="BD24" s="125" t="str">
        <f>BY24</f>
        <v>Österreich</v>
      </c>
      <c r="BE24" s="80" t="s">
        <v>21</v>
      </c>
      <c r="BF24" s="125" t="str">
        <f>BY25</f>
        <v>Ungarn</v>
      </c>
      <c r="BG24" s="124"/>
      <c r="BH24" s="137"/>
      <c r="BI24" s="13" t="s">
        <v>22</v>
      </c>
      <c r="BJ24" s="136"/>
      <c r="BK24" s="9" t="s">
        <v>23</v>
      </c>
      <c r="BL24" s="1"/>
      <c r="BM24" s="11" t="str">
        <f>VLOOKUP(3,$BX$22:$CC$25,2,FALSE)</f>
        <v>Österreich</v>
      </c>
      <c r="BN24" s="2">
        <f>VLOOKUP(3,$BX$22:$CC$25,3,FALSE)</f>
        <v>0</v>
      </c>
      <c r="BO24" s="2">
        <f>VLOOKUP(3,$BX$22:$CC$25,4,FALSE)</f>
        <v>0</v>
      </c>
      <c r="BP24" s="2">
        <f>VLOOKUP(3,$BX$22:$CC$25,5,FALSE)</f>
        <v>0</v>
      </c>
      <c r="BQ24" s="2">
        <f>VLOOKUP(3,$BX$22:$CC$25,6,FALSE)</f>
        <v>0</v>
      </c>
      <c r="BS24" s="130">
        <f>IF(BJ25="",0,IF(BK25=$B$63,IF(BH25&lt;BJ25,3,IF(BH25=BJ25,1,0)),0))</f>
        <v>0</v>
      </c>
      <c r="BT24" s="130">
        <f>IF(BJ28="",0,IF(BK28=$B$63,IF(BH28&lt;BJ28,3,IF(BH28=BJ28,1,0)),0))</f>
        <v>0</v>
      </c>
      <c r="BU24" s="129"/>
      <c r="BV24" s="130">
        <f>IF(BH24="",0,IF(BK24=$B$63,IF(BH24&gt;BJ24,3,IF(BH24=BJ24,1,0)),0))</f>
        <v>0</v>
      </c>
      <c r="BW24" s="1"/>
      <c r="BX24" s="185">
        <f>RANK(CD24,CD22:CD25)+COUNTIF(CD22:CD24,CD24)-1</f>
        <v>3</v>
      </c>
      <c r="BY24" s="132" t="s">
        <v>183</v>
      </c>
      <c r="BZ24" s="1">
        <f>SUM(BS24:BV24)</f>
        <v>0</v>
      </c>
      <c r="CA24" s="1">
        <f>SUM(BS28:BV28)</f>
        <v>0</v>
      </c>
      <c r="CB24" s="1">
        <f>SUM(BU26:BU29)</f>
        <v>0</v>
      </c>
      <c r="CC24" s="1">
        <f>CA24-CB24</f>
        <v>0</v>
      </c>
      <c r="CD24" s="33">
        <f>IF(BP$28="",CE24*10000000000000000+BZ24*100000000000000+CC24*1000000000000+CA24*10000000000+CK24*100000000+CJ24*1000000+CP24*10000+CU24*100+CV24,CE24*10000000000000000+BZ24*100000000000000+CK24*1000000000000+CJ24*10000000000+CP24*100000000+CU24*1000000+CC24*10000+CA24*100+CV24)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2</v>
      </c>
      <c r="CE24" s="5"/>
      <c r="CF24" s="34">
        <f>IF($BZ24=$BZ22,$BS24-$BU22,0)</f>
        <v>0</v>
      </c>
      <c r="CG24" s="34">
        <f>IF($BZ24=$BZ23,$BT24-$BU23,0)</f>
        <v>0</v>
      </c>
      <c r="CH24" s="34"/>
      <c r="CI24" s="34">
        <f>IF($BZ24=$BZ25,$BV24-$BU25,0)</f>
        <v>0</v>
      </c>
      <c r="CJ24" s="34">
        <f>SUM(CF24:CI24)</f>
        <v>0</v>
      </c>
      <c r="CK24" s="5"/>
      <c r="CL24" s="34">
        <f>IF($BZ24=$BZ22,$BS28-$BU26,0)</f>
        <v>0</v>
      </c>
      <c r="CM24" s="34">
        <f>IF($BZ24=$BZ23,$BT28-$BU27,0)</f>
        <v>0</v>
      </c>
      <c r="CN24" s="34"/>
      <c r="CO24" s="34">
        <f>IF($BZ24=$BZ25,$BV28-$BU29,0)</f>
        <v>0</v>
      </c>
      <c r="CP24" s="34">
        <f>SUM(CL24:CO24)</f>
        <v>0</v>
      </c>
      <c r="CQ24" s="34">
        <f>IF($BZ24=$BZ22,$BS28,0)</f>
        <v>0</v>
      </c>
      <c r="CR24" s="34">
        <f>IF($BZ24=$BZ23,$BT28,0)</f>
        <v>0</v>
      </c>
      <c r="CS24" s="34"/>
      <c r="CT24" s="34">
        <f>IF($BZ24=$BZ25,$BV28,0)</f>
        <v>0</v>
      </c>
      <c r="CU24" s="34">
        <f>SUM(CQ24:CT24)</f>
        <v>0</v>
      </c>
      <c r="CV24" s="184">
        <f>IF(AND(COUNTIF(BK23:BK28,$B$63)=COUNTA(BH23:BH28),COUNTIF(BK23:BK28,$B$63)=COUNTA(BJ23:BJ28)),IF(CU24=CU22,BS28-BU26,IF(CU24=CU23,BT28-BU27,IF(CU24=CU25,BV28-BU29,2))),2)</f>
        <v>2</v>
      </c>
    </row>
    <row r="25" spans="1:100" ht="12.75">
      <c r="A25" s="2">
        <f>A23+12</f>
        <v>17</v>
      </c>
      <c r="B25" s="7">
        <v>42537.875</v>
      </c>
      <c r="C25" s="4" t="s">
        <v>136</v>
      </c>
      <c r="D25" s="125" t="str">
        <f>Y22</f>
        <v>Deutschland</v>
      </c>
      <c r="E25" s="80" t="s">
        <v>21</v>
      </c>
      <c r="F25" s="125" t="str">
        <f>Y24</f>
        <v>Polen</v>
      </c>
      <c r="G25" s="124"/>
      <c r="H25" s="137"/>
      <c r="I25" s="13" t="s">
        <v>22</v>
      </c>
      <c r="J25" s="136"/>
      <c r="K25" s="9" t="s">
        <v>23</v>
      </c>
      <c r="L25" s="1"/>
      <c r="M25" s="11" t="str">
        <f>VLOOKUP(4,$X$22:$AC$25,2,FALSE)</f>
        <v>Nordirland</v>
      </c>
      <c r="N25" s="2">
        <f>VLOOKUP(4,$X$22:$AC$25,3,FALSE)</f>
        <v>0</v>
      </c>
      <c r="O25" s="2">
        <f>VLOOKUP(4,$X$22:$AC$25,4,FALSE)</f>
        <v>0</v>
      </c>
      <c r="P25" s="2">
        <f>VLOOKUP(4,$X$22:$AC$25,5,FALSE)</f>
        <v>0</v>
      </c>
      <c r="Q25" s="2">
        <f>VLOOKUP(4,$X$22:$AC$25,6,FALSE)</f>
        <v>0</v>
      </c>
      <c r="S25" s="130">
        <f>IF(H27="",0,IF(K27=$B$63,IF(H27&gt;J27,3,IF(H27=J27,1,0)),0))</f>
        <v>0</v>
      </c>
      <c r="T25" s="130">
        <f>IF(J26="",0,IF(K26=$B$63,IF(H26&lt;J26,3,IF(H26=J26,1,0)),0))</f>
        <v>0</v>
      </c>
      <c r="U25" s="130">
        <f>IF(J24="",0,IF(K24=$B$63,IF(H24&lt;J24,3,IF(H24=J24,1,0)),0))</f>
        <v>0</v>
      </c>
      <c r="V25" s="129"/>
      <c r="W25" s="131"/>
      <c r="X25" s="185">
        <f>RANK(AD25,AD22:AD25)+COUNTIF(AD22:AD25,AD25)-1</f>
        <v>4</v>
      </c>
      <c r="Y25" s="132" t="s">
        <v>188</v>
      </c>
      <c r="Z25" s="131">
        <f>SUM(S25:V25)</f>
        <v>0</v>
      </c>
      <c r="AA25" s="131">
        <f>SUM(S29:V29)</f>
        <v>0</v>
      </c>
      <c r="AB25" s="131">
        <f>SUM(V26:V29)</f>
        <v>0</v>
      </c>
      <c r="AC25" s="131">
        <f>AA25-AB25</f>
        <v>0</v>
      </c>
      <c r="AD25" s="133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1</v>
      </c>
      <c r="AE25" s="134"/>
      <c r="AF25" s="135">
        <f>IF($Z25=$Z22,$S25-$V22,0)</f>
        <v>0</v>
      </c>
      <c r="AG25" s="135">
        <f>IF($Z25=$Z23,$T25-$V23,0)</f>
        <v>0</v>
      </c>
      <c r="AH25" s="135">
        <f>IF($Z25=$Z24,$U25-$V24,0)</f>
        <v>0</v>
      </c>
      <c r="AI25" s="135"/>
      <c r="AJ25" s="135">
        <f>SUM(AF25:AI25)</f>
        <v>0</v>
      </c>
      <c r="AK25" s="134"/>
      <c r="AL25" s="135">
        <f>IF($Z25=$Z22,$S29-$V26,0)</f>
        <v>0</v>
      </c>
      <c r="AM25" s="135">
        <f>IF($Z25=$Z23,$T29-$V27,0)</f>
        <v>0</v>
      </c>
      <c r="AN25" s="135">
        <f>IF($Z25=$Z24,$U29-$V28,0)</f>
        <v>0</v>
      </c>
      <c r="AO25" s="135"/>
      <c r="AP25" s="135">
        <f>SUM(AL25:AO25)</f>
        <v>0</v>
      </c>
      <c r="AQ25" s="135">
        <f>IF($Z25=$Z22,$S29,0)</f>
        <v>0</v>
      </c>
      <c r="AR25" s="135">
        <f>IF($Z25=$Z23,$T29,0)</f>
        <v>0</v>
      </c>
      <c r="AS25" s="135">
        <f>IF($Z25=$Z24,$U29,0)</f>
        <v>0</v>
      </c>
      <c r="AT25" s="135"/>
      <c r="AU25" s="135">
        <f>SUM(AQ25:AT25)</f>
        <v>0</v>
      </c>
      <c r="AV25" s="184">
        <f>IF(AND(COUNTIF(K23:K28,$B$63)=COUNTA(H23:H28),COUNTIF(K23:K28,$B$63)=COUNTA(J23:J28)),IF(AU25=AU22,S29-V26,IF(AU25=AU23,T29-V27,IF(AU25=AU24,U29-V28,1))),1)</f>
        <v>1</v>
      </c>
      <c r="AW25" s="133"/>
      <c r="BA25" s="2">
        <f>BA23+12</f>
        <v>23</v>
      </c>
      <c r="BB25" s="7">
        <v>42539.875</v>
      </c>
      <c r="BC25" s="4" t="s">
        <v>138</v>
      </c>
      <c r="BD25" s="125" t="str">
        <f>BY22</f>
        <v>Portugal</v>
      </c>
      <c r="BE25" s="80" t="s">
        <v>21</v>
      </c>
      <c r="BF25" s="125" t="str">
        <f>BY24</f>
        <v>Österreich</v>
      </c>
      <c r="BG25" s="124"/>
      <c r="BH25" s="137"/>
      <c r="BI25" s="13" t="s">
        <v>22</v>
      </c>
      <c r="BJ25" s="136"/>
      <c r="BK25" s="9" t="s">
        <v>23</v>
      </c>
      <c r="BL25" s="1"/>
      <c r="BM25" s="11" t="str">
        <f>VLOOKUP(4,$BX$22:$CC$25,2,FALSE)</f>
        <v>Ungarn</v>
      </c>
      <c r="BN25" s="2">
        <f>VLOOKUP(4,$BX$22:$CC$25,3,FALSE)</f>
        <v>0</v>
      </c>
      <c r="BO25" s="2">
        <f>VLOOKUP(4,$BX$22:$CC$25,4,FALSE)</f>
        <v>0</v>
      </c>
      <c r="BP25" s="2">
        <f>VLOOKUP(4,$BX$22:$CC$25,5,FALSE)</f>
        <v>0</v>
      </c>
      <c r="BQ25" s="2">
        <f>VLOOKUP(4,$BX$22:$CC$25,6,FALSE)</f>
        <v>0</v>
      </c>
      <c r="BS25" s="130">
        <f>IF(BH27="",0,IF(BK27=$B$63,IF(BH27&gt;BJ27,3,IF(BH27=BJ27,1,0)),0))</f>
        <v>0</v>
      </c>
      <c r="BT25" s="130">
        <f>IF(BJ26="",0,IF(BK26=$B$63,IF(BH26&lt;BJ26,3,IF(BH26=BJ26,1,0)),0))</f>
        <v>0</v>
      </c>
      <c r="BU25" s="130">
        <f>IF(BJ24="",0,IF(BK24=$B$63,IF(BH24&lt;BJ24,3,IF(BH24=BJ24,1,0)),0))</f>
        <v>0</v>
      </c>
      <c r="BV25" s="129"/>
      <c r="BW25" s="1"/>
      <c r="BX25" s="185">
        <f>RANK(CD25,CD22:CD25)+COUNTIF(CD22:CD25,CD25)-1</f>
        <v>4</v>
      </c>
      <c r="BY25" s="132" t="s">
        <v>198</v>
      </c>
      <c r="BZ25" s="1">
        <f>SUM(BS25:BV25)</f>
        <v>0</v>
      </c>
      <c r="CA25" s="1">
        <f>SUM(BS29:BV29)</f>
        <v>0</v>
      </c>
      <c r="CB25" s="1">
        <f>SUM(BV26:BV29)</f>
        <v>0</v>
      </c>
      <c r="CC25" s="1">
        <f>CA25-CB25</f>
        <v>0</v>
      </c>
      <c r="CD25" s="33">
        <f>IF(BP$28="",CE25*10000000000000000+BZ25*100000000000000+CC25*1000000000000+CA25*10000000000+CK25*100000000+CJ25*1000000+CP25*10000+CU25*100+CV25,CE25*10000000000000000+BZ25*100000000000000+CK25*1000000000000+CJ25*10000000000+CP25*100000000+CU25*1000000+CC25*10000+CA25*100+CV25)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1</v>
      </c>
      <c r="CE25" s="5"/>
      <c r="CF25" s="34">
        <f>IF($BZ25=$BZ22,$BS25-$BV22,0)</f>
        <v>0</v>
      </c>
      <c r="CG25" s="34">
        <f>IF($BZ25=$BZ23,$BT25-$BV23,0)</f>
        <v>0</v>
      </c>
      <c r="CH25" s="34">
        <f>IF($BZ25=$BZ24,$BU25-$BV24,0)</f>
        <v>0</v>
      </c>
      <c r="CI25" s="34"/>
      <c r="CJ25" s="34">
        <f>SUM(CF25:CI25)</f>
        <v>0</v>
      </c>
      <c r="CK25" s="5"/>
      <c r="CL25" s="34">
        <f>IF($BZ25=$BZ22,$BS29-$BV26,0)</f>
        <v>0</v>
      </c>
      <c r="CM25" s="34">
        <f>IF($BZ25=$BZ23,$BT29-$BV27,0)</f>
        <v>0</v>
      </c>
      <c r="CN25" s="34">
        <f>IF($BZ25=$BZ24,$BU29-$BV28,0)</f>
        <v>0</v>
      </c>
      <c r="CO25" s="34"/>
      <c r="CP25" s="34">
        <f>SUM(CL25:CO25)</f>
        <v>0</v>
      </c>
      <c r="CQ25" s="34">
        <f>IF($BZ25=$BZ22,$BS29,0)</f>
        <v>0</v>
      </c>
      <c r="CR25" s="34">
        <f>IF($BZ25=$BZ23,$BT29,0)</f>
        <v>0</v>
      </c>
      <c r="CS25" s="34">
        <f>IF($BZ25=$BZ24,$BU29,0)</f>
        <v>0</v>
      </c>
      <c r="CT25" s="34"/>
      <c r="CU25" s="34">
        <f>SUM(CQ25:CT25)</f>
        <v>0</v>
      </c>
      <c r="CV25" s="184">
        <f>IF(AND(COUNTIF(BK23:BK28,$B$63)=COUNTA(BH23:BH28),COUNTIF(BK23:BK28,$B$63)=COUNTA(BJ23:BJ28)),IF(CU25=CU22,BS29-BV26,IF(CU25=CU23,BT29-BV27,IF(CU25=CU24,BU29-BV28,1))),1)</f>
        <v>1</v>
      </c>
    </row>
    <row r="26" spans="1:100" ht="12.75">
      <c r="A26" s="2">
        <f>A24+12</f>
        <v>18</v>
      </c>
      <c r="B26" s="7">
        <v>42537.75</v>
      </c>
      <c r="C26" s="4" t="s">
        <v>141</v>
      </c>
      <c r="D26" s="125" t="str">
        <f>Y23</f>
        <v>Ukraine</v>
      </c>
      <c r="E26" s="80" t="s">
        <v>21</v>
      </c>
      <c r="F26" s="125" t="str">
        <f>Y25</f>
        <v>Nordirland</v>
      </c>
      <c r="G26" s="124"/>
      <c r="H26" s="137"/>
      <c r="I26" s="13" t="s">
        <v>22</v>
      </c>
      <c r="J26" s="136"/>
      <c r="K26" s="9" t="s">
        <v>23</v>
      </c>
      <c r="L26" s="1"/>
      <c r="N26" s="1"/>
      <c r="O26" s="1"/>
      <c r="P26" s="1"/>
      <c r="S26" s="129"/>
      <c r="T26" s="130">
        <f>IF(K23=$B$63,H23,0)</f>
        <v>0</v>
      </c>
      <c r="U26" s="130">
        <f>IF(K25=$B$63,H25,0)</f>
        <v>0</v>
      </c>
      <c r="V26" s="130">
        <f>IF(K27=$B$63,J27,0)</f>
        <v>0</v>
      </c>
      <c r="W26" s="131"/>
      <c r="X26" s="131"/>
      <c r="Y26" s="131"/>
      <c r="Z26" s="131"/>
      <c r="AA26" s="131"/>
      <c r="AB26" s="131"/>
      <c r="AC26" s="131"/>
      <c r="AD26" s="138"/>
      <c r="AE26" s="139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V26" s="135"/>
      <c r="AW26" s="133"/>
      <c r="BA26" s="2">
        <f>BA24+12</f>
        <v>24</v>
      </c>
      <c r="BB26" s="7">
        <v>42539.75</v>
      </c>
      <c r="BC26" s="4" t="s">
        <v>139</v>
      </c>
      <c r="BD26" s="125" t="str">
        <f>BY23</f>
        <v>Island</v>
      </c>
      <c r="BE26" s="80" t="s">
        <v>21</v>
      </c>
      <c r="BF26" s="125" t="str">
        <f>BY25</f>
        <v>Ungarn</v>
      </c>
      <c r="BG26" s="124"/>
      <c r="BH26" s="137"/>
      <c r="BI26" s="13" t="s">
        <v>22</v>
      </c>
      <c r="BJ26" s="136"/>
      <c r="BK26" s="9" t="s">
        <v>23</v>
      </c>
      <c r="BL26" s="1"/>
      <c r="BN26" s="1"/>
      <c r="BO26" s="1"/>
      <c r="BP26" s="1"/>
      <c r="BS26" s="129"/>
      <c r="BT26" s="130">
        <f>IF(BK23=$B$63,BH23,0)</f>
        <v>0</v>
      </c>
      <c r="BU26" s="130">
        <f>IF(BK25=$B$63,BH25,0)</f>
        <v>0</v>
      </c>
      <c r="BV26" s="130">
        <f>IF(BK27=$B$63,BJ27,0)</f>
        <v>0</v>
      </c>
      <c r="BW26" s="1"/>
      <c r="BX26" s="1"/>
      <c r="BY26" s="131"/>
      <c r="BZ26" s="1"/>
      <c r="CA26" s="1"/>
      <c r="CB26" s="1"/>
      <c r="CC26" s="1"/>
      <c r="CD26" s="6"/>
      <c r="CE26" s="9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V26" s="34"/>
    </row>
    <row r="27" spans="1:100" ht="12.75">
      <c r="A27" s="2">
        <f>A25+12</f>
        <v>29</v>
      </c>
      <c r="B27" s="7">
        <v>42542.75</v>
      </c>
      <c r="C27" s="4" t="s">
        <v>138</v>
      </c>
      <c r="D27" s="125" t="str">
        <f>Y25</f>
        <v>Nordirland</v>
      </c>
      <c r="E27" s="80" t="s">
        <v>21</v>
      </c>
      <c r="F27" s="125" t="str">
        <f>Y22</f>
        <v>Deutschland</v>
      </c>
      <c r="G27" s="123"/>
      <c r="H27" s="136"/>
      <c r="I27" s="13" t="s">
        <v>22</v>
      </c>
      <c r="J27" s="137"/>
      <c r="K27" s="9" t="s">
        <v>23</v>
      </c>
      <c r="M27" s="72">
        <f>IF(N22&gt;0,M22,"")</f>
      </c>
      <c r="N27" s="2" t="s">
        <v>30</v>
      </c>
      <c r="P27" s="51"/>
      <c r="S27" s="130">
        <f>IF(K23=$B$63,J23,0)</f>
        <v>0</v>
      </c>
      <c r="T27" s="129"/>
      <c r="U27" s="130">
        <f>IF(K28=$B$63,H28,0)</f>
        <v>0</v>
      </c>
      <c r="V27" s="130">
        <f>IF(K26=$B$63,H26,0)</f>
        <v>0</v>
      </c>
      <c r="AD27" s="123" t="s">
        <v>119</v>
      </c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V27" s="141"/>
      <c r="AW27" s="133"/>
      <c r="BA27" s="2">
        <f>BA25+12</f>
        <v>35</v>
      </c>
      <c r="BB27" s="7">
        <v>42543.75</v>
      </c>
      <c r="BC27" s="4" t="s">
        <v>141</v>
      </c>
      <c r="BD27" s="125" t="str">
        <f>BY25</f>
        <v>Ungarn</v>
      </c>
      <c r="BE27" s="80" t="s">
        <v>21</v>
      </c>
      <c r="BF27" s="125" t="str">
        <f>BY22</f>
        <v>Portugal</v>
      </c>
      <c r="BG27" s="123"/>
      <c r="BH27" s="136"/>
      <c r="BI27" s="13" t="s">
        <v>22</v>
      </c>
      <c r="BJ27" s="137"/>
      <c r="BK27" s="9" t="s">
        <v>23</v>
      </c>
      <c r="BM27" s="75">
        <f>IF(BN22&gt;0,BM22,"")</f>
      </c>
      <c r="BN27" s="2" t="s">
        <v>39</v>
      </c>
      <c r="BP27" s="51"/>
      <c r="BS27" s="130">
        <f>IF(BK23=$B$63,BJ23,0)</f>
        <v>0</v>
      </c>
      <c r="BT27" s="129"/>
      <c r="BU27" s="130">
        <f>IF(BK28=$B$63,BH28,0)</f>
        <v>0</v>
      </c>
      <c r="BV27" s="130">
        <f>IF(BK26=$B$63,BH26,0)</f>
        <v>0</v>
      </c>
      <c r="CD27" s="2" t="s">
        <v>119</v>
      </c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V27" s="35"/>
    </row>
    <row r="28" spans="1:100" ht="12.75">
      <c r="A28" s="2">
        <f>A26+12</f>
        <v>30</v>
      </c>
      <c r="B28" s="7">
        <v>42542.75</v>
      </c>
      <c r="C28" s="4" t="s">
        <v>139</v>
      </c>
      <c r="D28" s="125" t="str">
        <f>Y23</f>
        <v>Ukraine</v>
      </c>
      <c r="E28" s="80" t="s">
        <v>21</v>
      </c>
      <c r="F28" s="125" t="str">
        <f>Y24</f>
        <v>Polen</v>
      </c>
      <c r="G28" s="123"/>
      <c r="H28" s="137"/>
      <c r="I28" s="13" t="s">
        <v>22</v>
      </c>
      <c r="J28" s="137"/>
      <c r="K28" s="9" t="s">
        <v>23</v>
      </c>
      <c r="M28" s="72">
        <f>IF(N23&gt;0,M23,"")</f>
      </c>
      <c r="N28" s="2" t="s">
        <v>31</v>
      </c>
      <c r="O28" s="52"/>
      <c r="P28" s="53"/>
      <c r="S28" s="130">
        <f>IF(K25=$B$63,J25,0)</f>
        <v>0</v>
      </c>
      <c r="T28" s="130">
        <f>IF(K28=$B$63,J28,0)</f>
        <v>0</v>
      </c>
      <c r="U28" s="129"/>
      <c r="V28" s="130">
        <f>IF(K24=$B$63,H24,0)</f>
        <v>0</v>
      </c>
      <c r="AD28" s="123" t="s">
        <v>120</v>
      </c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V28" s="141"/>
      <c r="AW28" s="133"/>
      <c r="BA28" s="2">
        <f>BA26+12</f>
        <v>36</v>
      </c>
      <c r="BB28" s="7">
        <v>42543.75</v>
      </c>
      <c r="BC28" s="4" t="s">
        <v>136</v>
      </c>
      <c r="BD28" s="125" t="str">
        <f>BY23</f>
        <v>Island</v>
      </c>
      <c r="BE28" s="80" t="s">
        <v>21</v>
      </c>
      <c r="BF28" s="125" t="str">
        <f>BY24</f>
        <v>Österreich</v>
      </c>
      <c r="BG28" s="123"/>
      <c r="BH28" s="137"/>
      <c r="BI28" s="13" t="s">
        <v>22</v>
      </c>
      <c r="BJ28" s="137"/>
      <c r="BK28" s="9" t="s">
        <v>23</v>
      </c>
      <c r="BM28" s="75">
        <f>IF(BN23&gt;0,BM23,"")</f>
      </c>
      <c r="BN28" s="2" t="s">
        <v>40</v>
      </c>
      <c r="BO28" s="52"/>
      <c r="BP28" s="53"/>
      <c r="BS28" s="130">
        <f>IF(BK25=$B$63,BJ25,0)</f>
        <v>0</v>
      </c>
      <c r="BT28" s="130">
        <f>IF(BK28=$B$63,BJ28,0)</f>
        <v>0</v>
      </c>
      <c r="BU28" s="129"/>
      <c r="BV28" s="130">
        <f>IF(BK24=$B$63,BH24,0)</f>
        <v>0</v>
      </c>
      <c r="CD28" s="2" t="s">
        <v>120</v>
      </c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V28" s="35"/>
    </row>
    <row r="29" spans="4:100" ht="12.75">
      <c r="D29" s="123"/>
      <c r="E29" s="123"/>
      <c r="F29" s="123"/>
      <c r="G29" s="123"/>
      <c r="M29" s="72">
        <f>IF(N24&gt;0,M24,"")</f>
      </c>
      <c r="N29" s="2" t="s">
        <v>74</v>
      </c>
      <c r="S29" s="130">
        <f>IF(K27=$B$63,H27,0)</f>
        <v>0</v>
      </c>
      <c r="T29" s="130">
        <f>IF(K26=$B$63,J26,0)</f>
        <v>0</v>
      </c>
      <c r="U29" s="130">
        <f>IF(K24=$B$63,J24,0)</f>
        <v>0</v>
      </c>
      <c r="V29" s="129"/>
      <c r="AD29" s="2" t="s">
        <v>200</v>
      </c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V29" s="141"/>
      <c r="AW29" s="133"/>
      <c r="BD29" s="123"/>
      <c r="BE29" s="123"/>
      <c r="BF29" s="123"/>
      <c r="BG29" s="123"/>
      <c r="BM29" s="75">
        <f>IF(BN24&gt;0,BM24,"")</f>
      </c>
      <c r="BN29" s="2" t="s">
        <v>75</v>
      </c>
      <c r="BS29" s="130">
        <f>IF(BK27=$B$63,BH27,0)</f>
        <v>0</v>
      </c>
      <c r="BT29" s="130">
        <f>IF(BK26=$B$63,BJ26,0)</f>
        <v>0</v>
      </c>
      <c r="BU29" s="130">
        <f>IF(BK24=$B$63,BJ24,0)</f>
        <v>0</v>
      </c>
      <c r="BV29" s="129"/>
      <c r="CD29" s="2" t="s">
        <v>200</v>
      </c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V29" s="35"/>
    </row>
    <row r="30" spans="4:100" ht="6" customHeight="1">
      <c r="D30" s="123"/>
      <c r="E30" s="126"/>
      <c r="F30" s="128"/>
      <c r="G30" s="128"/>
      <c r="H30" s="123"/>
      <c r="I30" s="123"/>
      <c r="J30" s="123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V30" s="141"/>
      <c r="AW30" s="133"/>
      <c r="BD30" s="123"/>
      <c r="BE30" s="126"/>
      <c r="BF30" s="128"/>
      <c r="BG30" s="128"/>
      <c r="BH30" s="123"/>
      <c r="BI30" s="123"/>
      <c r="BJ30" s="123"/>
      <c r="BS30" s="123"/>
      <c r="BT30" s="123"/>
      <c r="BU30" s="123"/>
      <c r="BV30" s="123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V30" s="35"/>
    </row>
    <row r="31" spans="2:95" ht="12.75" hidden="1">
      <c r="B31" s="67" t="s">
        <v>118</v>
      </c>
      <c r="C31" s="122">
        <f>CONCATENATE(D35,D36,D37,D38)</f>
      </c>
      <c r="AW31" s="133"/>
      <c r="BJ31"/>
      <c r="BK31"/>
      <c r="BL31"/>
      <c r="BM31"/>
      <c r="BN31"/>
      <c r="BO31"/>
      <c r="BP31"/>
      <c r="BQ31"/>
      <c r="BR31"/>
      <c r="BS31" s="116"/>
      <c r="BT31" s="116"/>
      <c r="BU31" s="116"/>
      <c r="CE31"/>
      <c r="CF31" s="116" t="s">
        <v>27</v>
      </c>
      <c r="CG31" s="116"/>
      <c r="CH31" s="116"/>
      <c r="CI31" t="s">
        <v>24</v>
      </c>
      <c r="CJ31"/>
      <c r="CK31"/>
      <c r="CL31" t="s">
        <v>33</v>
      </c>
      <c r="CM31"/>
      <c r="CN31"/>
      <c r="CO31" t="s">
        <v>30</v>
      </c>
      <c r="CP31"/>
      <c r="CQ31"/>
    </row>
    <row r="32" spans="13:95" ht="12.75" hidden="1">
      <c r="M32" s="69" t="s">
        <v>128</v>
      </c>
      <c r="AW32" s="133"/>
      <c r="BJ32"/>
      <c r="BK32"/>
      <c r="BL32"/>
      <c r="BM32"/>
      <c r="BN32"/>
      <c r="BO32"/>
      <c r="BP32"/>
      <c r="BQ32"/>
      <c r="BR32"/>
      <c r="BS32" s="143"/>
      <c r="BT32" s="143"/>
      <c r="BU32" s="143"/>
      <c r="CE32"/>
      <c r="CF32" s="116" t="s">
        <v>97</v>
      </c>
      <c r="CG32" s="116" t="s">
        <v>98</v>
      </c>
      <c r="CH32" s="116" t="s">
        <v>99</v>
      </c>
      <c r="CI32" t="s">
        <v>98</v>
      </c>
      <c r="CJ32" t="s">
        <v>99</v>
      </c>
      <c r="CK32" t="s">
        <v>100</v>
      </c>
      <c r="CL32" t="s">
        <v>101</v>
      </c>
      <c r="CM32" t="s">
        <v>100</v>
      </c>
      <c r="CN32" t="s">
        <v>102</v>
      </c>
      <c r="CO32" t="s">
        <v>97</v>
      </c>
      <c r="CP32" t="s">
        <v>101</v>
      </c>
      <c r="CQ32" t="s">
        <v>102</v>
      </c>
    </row>
    <row r="33" spans="4:98" ht="12.75" hidden="1">
      <c r="D33" s="31" t="s">
        <v>129</v>
      </c>
      <c r="F33" s="31" t="s">
        <v>130</v>
      </c>
      <c r="M33" s="69"/>
      <c r="AW33" s="133"/>
      <c r="BJ33"/>
      <c r="BK33"/>
      <c r="BL33"/>
      <c r="BM33"/>
      <c r="BN33"/>
      <c r="BO33"/>
      <c r="BP33"/>
      <c r="BQ33"/>
      <c r="BR33"/>
      <c r="BS33" s="143"/>
      <c r="BT33" s="143"/>
      <c r="BU33" s="143"/>
      <c r="CE33"/>
      <c r="CF33" s="144" t="s">
        <v>83</v>
      </c>
      <c r="CG33" s="144" t="s">
        <v>94</v>
      </c>
      <c r="CH33" s="144" t="s">
        <v>82</v>
      </c>
      <c r="CI33" s="145" t="s">
        <v>82</v>
      </c>
      <c r="CJ33" s="145" t="s">
        <v>85</v>
      </c>
      <c r="CK33" s="145" t="s">
        <v>87</v>
      </c>
      <c r="CL33" s="145" t="s">
        <v>82</v>
      </c>
      <c r="CM33" s="145" t="s">
        <v>83</v>
      </c>
      <c r="CN33" s="145" t="s">
        <v>84</v>
      </c>
      <c r="CO33" s="145" t="s">
        <v>82</v>
      </c>
      <c r="CP33" s="145" t="s">
        <v>83</v>
      </c>
      <c r="CQ33" s="145" t="s">
        <v>90</v>
      </c>
      <c r="CR33" s="144"/>
      <c r="CS33" s="144"/>
      <c r="CT33" s="144"/>
    </row>
    <row r="34" spans="1:100" s="12" customFormat="1" ht="12.75" hidden="1">
      <c r="A34" s="32"/>
      <c r="D34" s="24" t="s">
        <v>131</v>
      </c>
      <c r="F34" s="24" t="s">
        <v>97</v>
      </c>
      <c r="L34" s="24"/>
      <c r="M34" s="69" t="s">
        <v>3</v>
      </c>
      <c r="N34" s="24" t="s">
        <v>4</v>
      </c>
      <c r="O34" s="24" t="s">
        <v>5</v>
      </c>
      <c r="P34" s="24" t="s">
        <v>6</v>
      </c>
      <c r="Q34" s="24" t="s">
        <v>7</v>
      </c>
      <c r="R34" s="24" t="s">
        <v>8</v>
      </c>
      <c r="S34" s="128"/>
      <c r="T34" s="128" t="s">
        <v>98</v>
      </c>
      <c r="U34" s="128"/>
      <c r="V34" s="128"/>
      <c r="W34" s="128"/>
      <c r="X34" s="124" t="s">
        <v>122</v>
      </c>
      <c r="Y34" s="128" t="s">
        <v>118</v>
      </c>
      <c r="Z34" s="128"/>
      <c r="AA34" s="128"/>
      <c r="AB34" s="128"/>
      <c r="AC34" s="128"/>
      <c r="AD34" s="128"/>
      <c r="AE34" s="27" t="s">
        <v>10</v>
      </c>
      <c r="AF34" s="124" t="s">
        <v>8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5" t="s">
        <v>18</v>
      </c>
      <c r="AW34" s="128"/>
      <c r="BJ34"/>
      <c r="BK34"/>
      <c r="BL34"/>
      <c r="BM34"/>
      <c r="BN34"/>
      <c r="BO34"/>
      <c r="BP34"/>
      <c r="BQ34"/>
      <c r="BR34"/>
      <c r="BS34" s="143"/>
      <c r="BT34" s="143"/>
      <c r="BU34" s="143"/>
      <c r="CE34"/>
      <c r="CF34" s="144" t="s">
        <v>84</v>
      </c>
      <c r="CG34" s="144"/>
      <c r="CH34" s="144" t="s">
        <v>88</v>
      </c>
      <c r="CI34" s="145" t="s">
        <v>83</v>
      </c>
      <c r="CJ34" s="145" t="s">
        <v>86</v>
      </c>
      <c r="CK34" s="145" t="s">
        <v>94</v>
      </c>
      <c r="CL34" s="145"/>
      <c r="CM34" s="145" t="s">
        <v>85</v>
      </c>
      <c r="CN34" s="145" t="s">
        <v>86</v>
      </c>
      <c r="CO34" s="145" t="s">
        <v>88</v>
      </c>
      <c r="CP34" s="145" t="s">
        <v>84</v>
      </c>
      <c r="CQ34" s="145" t="s">
        <v>91</v>
      </c>
      <c r="CV34" s="2"/>
    </row>
    <row r="35" spans="1:95" ht="12.75" hidden="1">
      <c r="A35" s="33"/>
      <c r="B35" s="67" t="str">
        <f>CONCATENATE("3",D35)</f>
        <v>3</v>
      </c>
      <c r="C35" s="68">
        <f>IF(AND(N$35=0,N$36=0,N$37=0,N$38=0),"",VLOOKUP(1,$F$35:$M$43,8,FALSE))</f>
      </c>
      <c r="D35" s="1">
        <f>IF(AND(N$35=0,N$36=0,N$37=0,N$38=0),"",VLOOKUP(1,$F$35:$M$38,7,FALSE))</f>
      </c>
      <c r="F35" s="1">
        <f>RANK(T35,$T$35:$T$38)</f>
        <v>1</v>
      </c>
      <c r="I35" s="2"/>
      <c r="K35" s="11"/>
      <c r="L35" s="158" t="str">
        <f aca="true" t="shared" si="0" ref="L35:L40">MID(R35,2,1)</f>
        <v>A</v>
      </c>
      <c r="M35" s="158" t="str">
        <f>VLOOKUP(1,$X$35:$AC$40,2,FALSE)</f>
        <v>Albanien</v>
      </c>
      <c r="N35" s="2">
        <f>VLOOKUP(1,$X$35:$AC$40,3,FALSE)</f>
        <v>0</v>
      </c>
      <c r="O35" s="2">
        <f>VLOOKUP(1,$X$35:$AC$40,4,FALSE)</f>
        <v>0</v>
      </c>
      <c r="P35" s="2">
        <f>VLOOKUP(1,$X$35:$AC$40,5,FALSE)</f>
        <v>0</v>
      </c>
      <c r="Q35" s="2">
        <f>VLOOKUP(1,$X$35:$AC$40,6,FALSE)</f>
        <v>0</v>
      </c>
      <c r="R35" s="21" t="str">
        <f>VLOOKUP(1,$X$35:$AF$40,9,FALSE)</f>
        <v>3A</v>
      </c>
      <c r="T35" s="123">
        <f>71-CODE(L35)</f>
        <v>6</v>
      </c>
      <c r="X35" s="131">
        <f aca="true" t="shared" si="1" ref="X35:X40">RANK(AD35,$AD$35:$AD$40)</f>
        <v>1</v>
      </c>
      <c r="Y35" s="146" t="str">
        <f>M4</f>
        <v>Albanien</v>
      </c>
      <c r="Z35" s="123">
        <f>N4</f>
        <v>0</v>
      </c>
      <c r="AA35" s="123">
        <f>O4</f>
        <v>0</v>
      </c>
      <c r="AB35" s="123">
        <f>P4</f>
        <v>0</v>
      </c>
      <c r="AC35" s="123">
        <f>Q4</f>
        <v>0</v>
      </c>
      <c r="AD35" s="133">
        <f aca="true" t="shared" si="2" ref="AD35:AD40">AE35*10000000000000000+Z35*100000000000000+AC35*1000000000000+AA35*10000000000+AV35</f>
        <v>6</v>
      </c>
      <c r="AE35" s="134"/>
      <c r="AF35" s="123" t="str">
        <f>N9</f>
        <v>3A</v>
      </c>
      <c r="AV35" s="134">
        <v>6</v>
      </c>
      <c r="BJ35"/>
      <c r="BK35"/>
      <c r="BL35"/>
      <c r="BM35"/>
      <c r="BN35"/>
      <c r="BO35"/>
      <c r="BP35"/>
      <c r="BQ35"/>
      <c r="BR35"/>
      <c r="BS35" s="143"/>
      <c r="BT35" s="143"/>
      <c r="BU35" s="143"/>
      <c r="CE35"/>
      <c r="CF35" s="144" t="s">
        <v>85</v>
      </c>
      <c r="CG35" s="144"/>
      <c r="CH35" s="144" t="s">
        <v>89</v>
      </c>
      <c r="CI35" s="145" t="s">
        <v>84</v>
      </c>
      <c r="CJ35" s="145" t="s">
        <v>91</v>
      </c>
      <c r="CK35" s="145" t="s">
        <v>95</v>
      </c>
      <c r="CL35" s="145"/>
      <c r="CM35" s="145" t="s">
        <v>88</v>
      </c>
      <c r="CN35" s="145" t="s">
        <v>87</v>
      </c>
      <c r="CO35" s="145" t="s">
        <v>89</v>
      </c>
      <c r="CP35" s="145" t="s">
        <v>85</v>
      </c>
      <c r="CQ35" s="145" t="s">
        <v>96</v>
      </c>
    </row>
    <row r="36" spans="1:95" ht="12.75" hidden="1">
      <c r="A36" s="33"/>
      <c r="B36" s="67" t="str">
        <f>CONCATENATE("3",D36)</f>
        <v>3</v>
      </c>
      <c r="C36" s="68">
        <f>IF(AND(N$35=0,N$36=0,N$37=0,N$38=0),"",VLOOKUP(2,$F$35:$M$43,8,FALSE))</f>
      </c>
      <c r="D36" s="1">
        <f>IF(AND(N$35=0,N$36=0,N$37=0,N$38=0),"",VLOOKUP(2,$F$35:$M$38,7,FALSE))</f>
      </c>
      <c r="F36" s="1">
        <f>RANK(T36,$T$35:$T$38)</f>
        <v>2</v>
      </c>
      <c r="I36" s="2"/>
      <c r="K36" s="11"/>
      <c r="L36" s="158" t="str">
        <f t="shared" si="0"/>
        <v>B</v>
      </c>
      <c r="M36" s="158" t="str">
        <f>VLOOKUP(2,$X$35:$AC$40,2,FALSE)</f>
        <v>Wales</v>
      </c>
      <c r="N36" s="2">
        <f>VLOOKUP(2,$X$35:$AC$40,3,FALSE)</f>
        <v>0</v>
      </c>
      <c r="O36" s="2">
        <f>VLOOKUP(2,$X$35:$AC$40,4,FALSE)</f>
        <v>0</v>
      </c>
      <c r="P36" s="2">
        <f>VLOOKUP(2,$X$35:$AC$40,5,FALSE)</f>
        <v>0</v>
      </c>
      <c r="Q36" s="2">
        <f>VLOOKUP(2,$X$35:$AC$40,6,FALSE)</f>
        <v>0</v>
      </c>
      <c r="R36" s="21" t="str">
        <f>VLOOKUP(2,$X$35:$AF$40,9,FALSE)</f>
        <v>3B</v>
      </c>
      <c r="T36" s="123">
        <f>71-CODE(L36)</f>
        <v>5</v>
      </c>
      <c r="X36" s="131">
        <f t="shared" si="1"/>
        <v>2</v>
      </c>
      <c r="Y36" s="146" t="str">
        <f>M14</f>
        <v>Wales</v>
      </c>
      <c r="Z36" s="123">
        <f>N14</f>
        <v>0</v>
      </c>
      <c r="AA36" s="123">
        <f>O14</f>
        <v>0</v>
      </c>
      <c r="AB36" s="123">
        <f>P14</f>
        <v>0</v>
      </c>
      <c r="AC36" s="123">
        <f>Q14</f>
        <v>0</v>
      </c>
      <c r="AD36" s="133">
        <f t="shared" si="2"/>
        <v>5</v>
      </c>
      <c r="AE36" s="134"/>
      <c r="AF36" s="123" t="str">
        <f>N19</f>
        <v>3B</v>
      </c>
      <c r="AV36" s="134">
        <v>5</v>
      </c>
      <c r="BJ36"/>
      <c r="BK36"/>
      <c r="BL36"/>
      <c r="BM36"/>
      <c r="BN36"/>
      <c r="BO36"/>
      <c r="BP36"/>
      <c r="BQ36"/>
      <c r="BR36"/>
      <c r="BS36" s="143"/>
      <c r="BT36" s="143"/>
      <c r="BU36" s="143"/>
      <c r="CE36"/>
      <c r="CF36" s="144" t="s">
        <v>86</v>
      </c>
      <c r="CG36" s="144"/>
      <c r="CH36" s="144" t="s">
        <v>92</v>
      </c>
      <c r="CI36" s="145" t="s">
        <v>88</v>
      </c>
      <c r="CJ36" s="145"/>
      <c r="CK36" s="145"/>
      <c r="CL36" s="145"/>
      <c r="CM36" s="145" t="s">
        <v>90</v>
      </c>
      <c r="CN36" s="145" t="s">
        <v>89</v>
      </c>
      <c r="CO36" s="145"/>
      <c r="CP36" s="145" t="s">
        <v>86</v>
      </c>
      <c r="CQ36" s="145"/>
    </row>
    <row r="37" spans="1:95" ht="12.75" hidden="1">
      <c r="A37" s="33"/>
      <c r="B37" s="67" t="str">
        <f>CONCATENATE("3",D37)</f>
        <v>3</v>
      </c>
      <c r="C37" s="68">
        <f>IF(AND(N$35=0,N$36=0,N$37=0,N$38=0),"",VLOOKUP(3,$F$35:$M$43,8,FALSE))</f>
      </c>
      <c r="D37" s="1">
        <f>IF(AND(N$35=0,N$36=0,N$37=0,N$38=0),"",VLOOKUP(3,$F$35:$M$38,7,FALSE))</f>
      </c>
      <c r="F37" s="1">
        <f>RANK(T37,$T$35:$T$38)</f>
        <v>3</v>
      </c>
      <c r="I37" s="2"/>
      <c r="K37" s="11"/>
      <c r="L37" s="158" t="str">
        <f t="shared" si="0"/>
        <v>C</v>
      </c>
      <c r="M37" s="158" t="str">
        <f>VLOOKUP(3,$X$35:$AC$40,2,FALSE)</f>
        <v>Polen</v>
      </c>
      <c r="N37" s="2">
        <f>VLOOKUP(3,$X$35:$AC$40,3,FALSE)</f>
        <v>0</v>
      </c>
      <c r="O37" s="2">
        <f>VLOOKUP(3,$X$35:$AC$40,4,FALSE)</f>
        <v>0</v>
      </c>
      <c r="P37" s="2">
        <f>VLOOKUP(3,$X$35:$AC$40,5,FALSE)</f>
        <v>0</v>
      </c>
      <c r="Q37" s="2">
        <f>VLOOKUP(3,$X$35:$AC$40,6,FALSE)</f>
        <v>0</v>
      </c>
      <c r="R37" s="21" t="str">
        <f>VLOOKUP(3,$X$35:$AF$40,9,FALSE)</f>
        <v>3C</v>
      </c>
      <c r="T37" s="123">
        <f>71-CODE(L37)</f>
        <v>4</v>
      </c>
      <c r="X37" s="131">
        <f t="shared" si="1"/>
        <v>3</v>
      </c>
      <c r="Y37" s="146" t="str">
        <f>M24</f>
        <v>Polen</v>
      </c>
      <c r="Z37" s="123">
        <f>N24</f>
        <v>0</v>
      </c>
      <c r="AA37" s="123">
        <f>O24</f>
        <v>0</v>
      </c>
      <c r="AB37" s="123">
        <f>P24</f>
        <v>0</v>
      </c>
      <c r="AC37" s="123">
        <f>Q24</f>
        <v>0</v>
      </c>
      <c r="AD37" s="133">
        <f t="shared" si="2"/>
        <v>4</v>
      </c>
      <c r="AE37" s="134"/>
      <c r="AF37" s="123" t="str">
        <f>N29</f>
        <v>3C</v>
      </c>
      <c r="AV37" s="134">
        <v>4</v>
      </c>
      <c r="BJ37"/>
      <c r="BK37"/>
      <c r="BL37"/>
      <c r="BM37"/>
      <c r="BN37"/>
      <c r="BO37"/>
      <c r="BP37"/>
      <c r="BQ37"/>
      <c r="BR37"/>
      <c r="BS37" s="143"/>
      <c r="BT37" s="143"/>
      <c r="BU37" s="143"/>
      <c r="CE37"/>
      <c r="CF37" s="144" t="s">
        <v>87</v>
      </c>
      <c r="CG37" s="144"/>
      <c r="CH37" s="144" t="s">
        <v>93</v>
      </c>
      <c r="CI37" s="145" t="s">
        <v>89</v>
      </c>
      <c r="CJ37" s="145"/>
      <c r="CK37" s="145"/>
      <c r="CL37" s="145"/>
      <c r="CM37" s="145" t="s">
        <v>91</v>
      </c>
      <c r="CN37" s="145" t="s">
        <v>93</v>
      </c>
      <c r="CO37" s="145"/>
      <c r="CP37" s="145" t="s">
        <v>87</v>
      </c>
      <c r="CQ37" s="145"/>
    </row>
    <row r="38" spans="1:95" ht="12.75" hidden="1">
      <c r="A38" s="33"/>
      <c r="B38" s="67" t="str">
        <f>CONCATENATE("3",D38)</f>
        <v>3</v>
      </c>
      <c r="C38" s="68">
        <f>IF(AND(N$35=0,N$36=0,N$37=0,N$38=0),"",VLOOKUP(4,$F$35:$M$43,8,FALSE))</f>
      </c>
      <c r="D38" s="1">
        <f>IF(AND(N$35=0,N$36=0,N$37=0,N$38=0),"",VLOOKUP(4,$F$35:$M$38,7,FALSE))</f>
      </c>
      <c r="F38" s="1">
        <f>RANK(T38,$T$35:$T$38)</f>
        <v>4</v>
      </c>
      <c r="I38" s="2"/>
      <c r="K38" s="11"/>
      <c r="L38" s="158" t="str">
        <f t="shared" si="0"/>
        <v>D</v>
      </c>
      <c r="M38" s="158" t="str">
        <f>VLOOKUP(4,$X$35:$AC$40,2,FALSE)</f>
        <v>Türkei</v>
      </c>
      <c r="N38" s="2">
        <f>VLOOKUP(4,$X$35:$AC$40,3,FALSE)</f>
        <v>0</v>
      </c>
      <c r="O38" s="2">
        <f>VLOOKUP(4,$X$35:$AC$40,4,FALSE)</f>
        <v>0</v>
      </c>
      <c r="P38" s="2">
        <f>VLOOKUP(4,$X$35:$AC$40,5,FALSE)</f>
        <v>0</v>
      </c>
      <c r="Q38" s="2">
        <f>VLOOKUP(4,$X$35:$AC$40,6,FALSE)</f>
        <v>0</v>
      </c>
      <c r="R38" s="21" t="str">
        <f>VLOOKUP(4,$X$35:$AF$40,9,FALSE)</f>
        <v>3D</v>
      </c>
      <c r="T38" s="123">
        <f>71-CODE(L38)</f>
        <v>3</v>
      </c>
      <c r="X38" s="131">
        <f t="shared" si="1"/>
        <v>4</v>
      </c>
      <c r="Y38" s="146" t="str">
        <f>BM4</f>
        <v>Türkei</v>
      </c>
      <c r="Z38" s="123">
        <f>BN4</f>
        <v>0</v>
      </c>
      <c r="AA38" s="123">
        <f>BO4</f>
        <v>0</v>
      </c>
      <c r="AB38" s="123">
        <f>BP4</f>
        <v>0</v>
      </c>
      <c r="AC38" s="123">
        <f>BQ4</f>
        <v>0</v>
      </c>
      <c r="AD38" s="133">
        <f t="shared" si="2"/>
        <v>3</v>
      </c>
      <c r="AE38" s="134"/>
      <c r="AF38" s="123" t="str">
        <f>BN9</f>
        <v>3D</v>
      </c>
      <c r="AV38" s="134">
        <v>3</v>
      </c>
      <c r="BJ38"/>
      <c r="BK38"/>
      <c r="BL38"/>
      <c r="BM38"/>
      <c r="BN38"/>
      <c r="BO38"/>
      <c r="BP38"/>
      <c r="BQ38"/>
      <c r="BR38"/>
      <c r="BS38" s="143"/>
      <c r="BT38" s="143"/>
      <c r="BU38" s="143"/>
      <c r="CE38"/>
      <c r="CF38" s="144" t="s">
        <v>90</v>
      </c>
      <c r="CG38" s="144"/>
      <c r="CH38" s="144" t="s">
        <v>95</v>
      </c>
      <c r="CI38" s="145" t="s">
        <v>90</v>
      </c>
      <c r="CJ38" s="145"/>
      <c r="CK38" s="145"/>
      <c r="CL38" s="145"/>
      <c r="CM38" s="145" t="s">
        <v>92</v>
      </c>
      <c r="CN38" s="145" t="s">
        <v>94</v>
      </c>
      <c r="CO38" s="145"/>
      <c r="CP38" s="145" t="s">
        <v>92</v>
      </c>
      <c r="CQ38" s="145"/>
    </row>
    <row r="39" spans="1:95" ht="12.75" hidden="1">
      <c r="A39" s="33"/>
      <c r="H39" s="2"/>
      <c r="I39" s="2"/>
      <c r="K39" s="11"/>
      <c r="L39" s="1" t="str">
        <f t="shared" si="0"/>
        <v>E</v>
      </c>
      <c r="M39" s="11" t="str">
        <f>VLOOKUP(5,$X$35:$AC$40,2,FALSE)</f>
        <v>Irland</v>
      </c>
      <c r="N39" s="2">
        <f>VLOOKUP(5,$X$35:$AC$40,3,FALSE)</f>
        <v>0</v>
      </c>
      <c r="O39" s="2">
        <f>VLOOKUP(5,$X$35:$AC$40,4,FALSE)</f>
        <v>0</v>
      </c>
      <c r="P39" s="2">
        <f>VLOOKUP(5,$X$35:$AC$40,5,FALSE)</f>
        <v>0</v>
      </c>
      <c r="Q39" s="2">
        <f>VLOOKUP(5,$X$35:$AC$40,6,FALSE)</f>
        <v>0</v>
      </c>
      <c r="R39" s="21" t="str">
        <f>VLOOKUP(5,$X$35:$AF$40,9,FALSE)</f>
        <v>3E</v>
      </c>
      <c r="X39" s="131">
        <f t="shared" si="1"/>
        <v>5</v>
      </c>
      <c r="Y39" s="146" t="str">
        <f>BM14</f>
        <v>Irland</v>
      </c>
      <c r="Z39" s="123">
        <f>BN14</f>
        <v>0</v>
      </c>
      <c r="AA39" s="123">
        <f>BO14</f>
        <v>0</v>
      </c>
      <c r="AB39" s="123">
        <f>BP14</f>
        <v>0</v>
      </c>
      <c r="AC39" s="123">
        <f>BQ14</f>
        <v>0</v>
      </c>
      <c r="AD39" s="133">
        <f t="shared" si="2"/>
        <v>2</v>
      </c>
      <c r="AE39" s="134"/>
      <c r="AF39" s="123" t="str">
        <f>BN19</f>
        <v>3E</v>
      </c>
      <c r="AV39" s="134">
        <v>2</v>
      </c>
      <c r="BJ39"/>
      <c r="BK39"/>
      <c r="BL39"/>
      <c r="BM39"/>
      <c r="BN39"/>
      <c r="BO39"/>
      <c r="BP39"/>
      <c r="BQ39"/>
      <c r="BR39"/>
      <c r="BS39" s="143"/>
      <c r="BT39" s="143"/>
      <c r="BU39" s="143"/>
      <c r="CE39"/>
      <c r="CF39" s="144" t="s">
        <v>91</v>
      </c>
      <c r="CG39" s="144"/>
      <c r="CH39" s="144" t="s">
        <v>96</v>
      </c>
      <c r="CI39" s="145" t="s">
        <v>92</v>
      </c>
      <c r="CJ39" s="145"/>
      <c r="CK39" s="145"/>
      <c r="CL39" s="145"/>
      <c r="CM39" s="145" t="s">
        <v>96</v>
      </c>
      <c r="CN39" s="145" t="s">
        <v>95</v>
      </c>
      <c r="CO39" s="145"/>
      <c r="CP39" s="145" t="s">
        <v>93</v>
      </c>
      <c r="CQ39" s="145"/>
    </row>
    <row r="40" spans="1:95" ht="12.75" hidden="1">
      <c r="A40" s="33"/>
      <c r="H40" s="2"/>
      <c r="I40" s="2"/>
      <c r="K40" s="11"/>
      <c r="L40" s="1" t="str">
        <f t="shared" si="0"/>
        <v>F</v>
      </c>
      <c r="M40" s="11" t="str">
        <f>VLOOKUP(6,$X$35:$AC$40,2,FALSE)</f>
        <v>Österreich</v>
      </c>
      <c r="N40" s="2">
        <f>VLOOKUP(6,$X$35:$AC$40,3,FALSE)</f>
        <v>0</v>
      </c>
      <c r="O40" s="2">
        <f>VLOOKUP(6,$X$35:$AC$40,4,FALSE)</f>
        <v>0</v>
      </c>
      <c r="P40" s="2">
        <f>VLOOKUP(6,$X$35:$AC$40,5,FALSE)</f>
        <v>0</v>
      </c>
      <c r="Q40" s="2">
        <f>VLOOKUP(6,$X$35:$AC$40,6,FALSE)</f>
        <v>0</v>
      </c>
      <c r="R40" s="21" t="str">
        <f>VLOOKUP(6,$X$35:$AF$40,9,FALSE)</f>
        <v>3F</v>
      </c>
      <c r="X40" s="131">
        <f t="shared" si="1"/>
        <v>6</v>
      </c>
      <c r="Y40" s="146" t="str">
        <f>BM24</f>
        <v>Österreich</v>
      </c>
      <c r="Z40" s="123">
        <f>BN24</f>
        <v>0</v>
      </c>
      <c r="AA40" s="123">
        <f>BO24</f>
        <v>0</v>
      </c>
      <c r="AB40" s="123">
        <f>BP24</f>
        <v>0</v>
      </c>
      <c r="AC40" s="123">
        <f>BQ24</f>
        <v>0</v>
      </c>
      <c r="AD40" s="133">
        <f t="shared" si="2"/>
        <v>1</v>
      </c>
      <c r="AE40" s="134"/>
      <c r="AF40" s="123" t="str">
        <f>BN29</f>
        <v>3F</v>
      </c>
      <c r="AV40" s="134">
        <v>1</v>
      </c>
      <c r="BJ40"/>
      <c r="BK40"/>
      <c r="BL40"/>
      <c r="BM40"/>
      <c r="BN40"/>
      <c r="BO40"/>
      <c r="BP40"/>
      <c r="BQ40"/>
      <c r="BR40"/>
      <c r="BS40" s="143"/>
      <c r="BT40" s="143"/>
      <c r="BU40" s="143"/>
      <c r="CE40"/>
      <c r="CF40" s="144"/>
      <c r="CG40" s="144"/>
      <c r="CH40" s="144"/>
      <c r="CI40" s="145" t="s">
        <v>93</v>
      </c>
      <c r="CJ40" s="145"/>
      <c r="CK40" s="145"/>
      <c r="CL40" s="145"/>
      <c r="CM40" s="145"/>
      <c r="CN40" s="145"/>
      <c r="CO40" s="145"/>
      <c r="CP40" s="145" t="s">
        <v>94</v>
      </c>
      <c r="CQ40" s="145"/>
    </row>
    <row r="41" spans="1:95" ht="12.75" hidden="1">
      <c r="A41" s="33"/>
      <c r="H41" s="2"/>
      <c r="I41" s="2"/>
      <c r="J41" s="1"/>
      <c r="K41" s="2"/>
      <c r="M41" s="2"/>
      <c r="AE41" s="123"/>
      <c r="BJ41"/>
      <c r="BK41"/>
      <c r="BL41"/>
      <c r="BM41"/>
      <c r="BN41"/>
      <c r="BO41"/>
      <c r="BP41"/>
      <c r="BQ41"/>
      <c r="BR41"/>
      <c r="BS41" s="143"/>
      <c r="BT41" s="143"/>
      <c r="BU41" s="143"/>
      <c r="CE41"/>
      <c r="CF41" s="144"/>
      <c r="CG41" s="144"/>
      <c r="CH41" s="144"/>
      <c r="CI41" s="145" t="s">
        <v>96</v>
      </c>
      <c r="CJ41" s="145"/>
      <c r="CK41" s="145"/>
      <c r="CL41" s="145"/>
      <c r="CM41" s="145"/>
      <c r="CN41" s="145"/>
      <c r="CO41" s="145"/>
      <c r="CP41" s="145" t="s">
        <v>95</v>
      </c>
      <c r="CQ41" s="145"/>
    </row>
    <row r="42" spans="1:100" ht="12.75" hidden="1">
      <c r="A42" s="33"/>
      <c r="H42" s="2"/>
      <c r="I42" s="2"/>
      <c r="J42" s="1"/>
      <c r="K42" s="2"/>
      <c r="M42" s="2"/>
      <c r="AD42" s="123" t="s">
        <v>119</v>
      </c>
      <c r="AE42" s="123"/>
      <c r="BJ42"/>
      <c r="BK42"/>
      <c r="BL42"/>
      <c r="BM42"/>
      <c r="BN42"/>
      <c r="BO42"/>
      <c r="BP42"/>
      <c r="BQ42"/>
      <c r="BR42"/>
      <c r="BS42" s="143"/>
      <c r="BT42" s="143"/>
      <c r="BU42" s="143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84" ht="12.75" customHeight="1" hidden="1">
      <c r="A43" s="33"/>
      <c r="H43" s="2"/>
      <c r="I43" s="2"/>
      <c r="J43" s="1"/>
      <c r="K43" s="2"/>
      <c r="M43" s="2"/>
      <c r="AD43" s="123" t="s">
        <v>121</v>
      </c>
      <c r="AE43" s="123"/>
      <c r="AX43" s="116"/>
      <c r="AY43" s="116"/>
      <c r="AZ43" s="116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3"/>
      <c r="I44" s="14"/>
      <c r="J44" s="13"/>
      <c r="AD44" s="138"/>
      <c r="AX44" s="116"/>
      <c r="AY44" s="116"/>
      <c r="AZ44" s="116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3"/>
      <c r="I45" s="14"/>
      <c r="J45" s="13"/>
      <c r="AD45" s="138"/>
      <c r="AX45" s="116"/>
      <c r="AY45" s="116"/>
      <c r="AZ45" s="116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3"/>
      <c r="I46" s="14"/>
      <c r="J46" s="13"/>
      <c r="AD46" s="138"/>
      <c r="AX46" s="116"/>
      <c r="AY46" s="116"/>
      <c r="AZ46" s="11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4" ht="12.75">
      <c r="B47" s="24" t="s">
        <v>41</v>
      </c>
      <c r="C47" s="3"/>
      <c r="D47" s="24"/>
      <c r="E47" s="21"/>
      <c r="F47" s="24"/>
      <c r="G47" s="24"/>
      <c r="H47" s="28"/>
      <c r="I47" s="13"/>
      <c r="J47" s="28"/>
      <c r="K47" s="78"/>
      <c r="L47" s="1"/>
      <c r="M47" s="3"/>
      <c r="N47" s="1"/>
      <c r="O47" s="1"/>
      <c r="P47" s="1"/>
      <c r="Q47" s="1"/>
      <c r="V47" s="131"/>
      <c r="W47" s="131"/>
      <c r="Y47" s="3" t="s">
        <v>124</v>
      </c>
      <c r="Z47" s="131"/>
      <c r="AB47" s="131" t="s">
        <v>97</v>
      </c>
      <c r="AC47" s="131"/>
      <c r="AD47" s="138"/>
      <c r="AE47" s="27" t="s">
        <v>125</v>
      </c>
      <c r="AF47" s="131"/>
      <c r="AG47" s="131"/>
      <c r="AH47" s="131"/>
      <c r="AX47" s="116"/>
      <c r="AY47" s="116"/>
      <c r="AZ47" s="116"/>
      <c r="BB47" s="79" t="s">
        <v>50</v>
      </c>
      <c r="BC47" s="3"/>
      <c r="BD47" s="24"/>
      <c r="BE47" s="21"/>
      <c r="BF47" s="24"/>
      <c r="BG47" s="24"/>
      <c r="BH47" s="28"/>
      <c r="BI47" s="13"/>
      <c r="BJ47" s="100"/>
      <c r="BK47" s="78"/>
      <c r="BL47" s="1"/>
      <c r="BM47" s="3"/>
      <c r="BN47" s="1"/>
      <c r="BO47" s="1"/>
      <c r="BP47" s="1"/>
      <c r="BQ47" s="1"/>
      <c r="BR47" s="1"/>
      <c r="BS47" s="131"/>
      <c r="BT47" s="131"/>
      <c r="BU47" s="131"/>
      <c r="BV47" s="131"/>
      <c r="BW47" s="131"/>
      <c r="BX47" s="131"/>
      <c r="BY47" s="132"/>
      <c r="BZ47" s="131"/>
      <c r="CA47" s="131"/>
      <c r="CB47" s="131"/>
      <c r="CC47" s="131"/>
      <c r="CD47" s="131"/>
      <c r="CE47" s="138"/>
      <c r="CF47" s="139"/>
      <c r="CG47" s="131"/>
      <c r="CH47" s="131"/>
      <c r="CI47" s="123"/>
      <c r="CJ47" s="123"/>
      <c r="CK47" s="123"/>
      <c r="CL47" s="123"/>
      <c r="CM47" s="123"/>
      <c r="CN47" s="123"/>
      <c r="CO47" s="131"/>
      <c r="CP47" s="123"/>
      <c r="CQ47" s="123"/>
      <c r="CR47" s="123"/>
      <c r="CS47" s="123"/>
      <c r="CT47" s="123"/>
      <c r="CU47" s="123"/>
      <c r="CV47" s="123"/>
      <c r="CW47" s="123"/>
      <c r="CX47" s="116"/>
      <c r="CY47" s="116"/>
      <c r="CZ47" s="116"/>
    </row>
    <row r="48" spans="1:104" ht="12.75">
      <c r="A48" s="2">
        <v>37</v>
      </c>
      <c r="B48" s="7">
        <v>42546.625</v>
      </c>
      <c r="C48" s="4" t="s">
        <v>143</v>
      </c>
      <c r="D48" s="43">
        <f>M8</f>
      </c>
      <c r="E48" s="22" t="s">
        <v>21</v>
      </c>
      <c r="F48" s="72">
        <f>M28</f>
      </c>
      <c r="G48" s="24"/>
      <c r="H48" s="136"/>
      <c r="I48" s="28" t="s">
        <v>22</v>
      </c>
      <c r="J48" s="136"/>
      <c r="K48" s="9" t="s">
        <v>23</v>
      </c>
      <c r="L48" s="1"/>
      <c r="M48" s="103">
        <f aca="true" t="shared" si="3" ref="M48:M55">IF(J48="","",IF(J48=H48,"falsch!!! K.Remis",IF(H48&gt;J48,D48,F48)))</f>
      </c>
      <c r="N48" s="1" t="str">
        <f>N8</f>
        <v>2A</v>
      </c>
      <c r="O48" s="1" t="str">
        <f>N28</f>
        <v>2C</v>
      </c>
      <c r="P48" s="1" t="s">
        <v>42</v>
      </c>
      <c r="Q48" s="1"/>
      <c r="V48" s="131"/>
      <c r="W48" s="131"/>
      <c r="Y48" s="1"/>
      <c r="Z48" s="131"/>
      <c r="AB48" s="131"/>
      <c r="AC48" s="116"/>
      <c r="AD48" s="116"/>
      <c r="AE48" s="134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X48" s="116"/>
      <c r="AY48" s="116"/>
      <c r="AZ48" s="116"/>
      <c r="BA48" s="2">
        <f>A55+1</f>
        <v>45</v>
      </c>
      <c r="BB48" s="7">
        <v>42551.875</v>
      </c>
      <c r="BC48" s="4" t="s">
        <v>139</v>
      </c>
      <c r="BD48" s="104">
        <f>M48</f>
      </c>
      <c r="BE48" s="22" t="s">
        <v>21</v>
      </c>
      <c r="BF48" s="104">
        <f>M49</f>
      </c>
      <c r="BG48" s="24"/>
      <c r="BH48" s="136"/>
      <c r="BI48" s="28" t="s">
        <v>22</v>
      </c>
      <c r="BJ48" s="137"/>
      <c r="BK48" s="9" t="s">
        <v>23</v>
      </c>
      <c r="BL48" s="1"/>
      <c r="BM48" s="105">
        <f>IF(BJ48="","",IF(BJ48=BH48,"falsch!!! K.Remis",IF(BH48&gt;BJ48,BD48,BF48)))</f>
      </c>
      <c r="BN48" s="1" t="str">
        <f>P48</f>
        <v>AF1</v>
      </c>
      <c r="BO48" s="1" t="str">
        <f>P49</f>
        <v>AF2</v>
      </c>
      <c r="BP48" s="2" t="s">
        <v>52</v>
      </c>
      <c r="BQ48" s="1"/>
      <c r="BR48" s="1"/>
      <c r="BS48" s="131"/>
      <c r="BT48" s="131"/>
      <c r="BU48" s="131"/>
      <c r="BV48" s="131"/>
      <c r="BW48" s="131"/>
      <c r="BX48" s="131"/>
      <c r="BY48" s="132"/>
      <c r="BZ48" s="131"/>
      <c r="CA48" s="131"/>
      <c r="CB48" s="131"/>
      <c r="CC48" s="131"/>
      <c r="CD48" s="131"/>
      <c r="CE48" s="138"/>
      <c r="CF48" s="139"/>
      <c r="CG48" s="131"/>
      <c r="CH48" s="131"/>
      <c r="CI48" s="123"/>
      <c r="CJ48" s="123"/>
      <c r="CK48" s="123"/>
      <c r="CL48" s="123"/>
      <c r="CM48" s="123"/>
      <c r="CN48" s="123"/>
      <c r="CO48" s="131"/>
      <c r="CP48" s="123"/>
      <c r="CQ48" s="123"/>
      <c r="CR48" s="123"/>
      <c r="CS48" s="123"/>
      <c r="CT48" s="123"/>
      <c r="CU48" s="123"/>
      <c r="CV48" s="123"/>
      <c r="CW48" s="123"/>
      <c r="CX48" s="116"/>
      <c r="CY48" s="116"/>
      <c r="CZ48" s="116"/>
    </row>
    <row r="49" spans="1:104" ht="12.75">
      <c r="A49" s="2">
        <f>A48+1</f>
        <v>38</v>
      </c>
      <c r="B49" s="7">
        <v>42546.875</v>
      </c>
      <c r="C49" s="4" t="s">
        <v>137</v>
      </c>
      <c r="D49" s="157">
        <f>BM7</f>
      </c>
      <c r="E49" s="22" t="s">
        <v>21</v>
      </c>
      <c r="F49" s="68">
        <f>VLOOKUP(O49,$B$35:$C$38,2,TRUE)</f>
      </c>
      <c r="G49" s="24"/>
      <c r="H49" s="137"/>
      <c r="I49" s="28" t="s">
        <v>22</v>
      </c>
      <c r="J49" s="137"/>
      <c r="K49" s="9" t="s">
        <v>23</v>
      </c>
      <c r="L49" s="1"/>
      <c r="M49" s="103">
        <f t="shared" si="3"/>
      </c>
      <c r="N49" s="1" t="str">
        <f>BN7</f>
        <v>1D</v>
      </c>
      <c r="O49" s="1" t="str">
        <f>IF(AE49="",CONCATENATE("3",AB49),CONCATENATE("3",AE49))</f>
        <v>3B</v>
      </c>
      <c r="P49" s="1" t="s">
        <v>43</v>
      </c>
      <c r="Q49" s="1"/>
      <c r="V49" s="131"/>
      <c r="W49" s="131"/>
      <c r="Y49" s="3" t="s">
        <v>80</v>
      </c>
      <c r="Z49" s="131"/>
      <c r="AA49" s="131" t="s">
        <v>126</v>
      </c>
      <c r="AB49" s="148" t="str">
        <f>IF(COUNTIF($CL$33:$CL$41,C$31)&gt;0,$CL$32,IF(COUNTIF($CM$33:$CM$41,C$31)&gt;0,$CM$32,IF(COUNTIF($CN$33:$CN$41,C$31)&gt;0,$CN$32,CONCATENATE("??? ",C$31))))</f>
        <v>B</v>
      </c>
      <c r="AC49" s="116"/>
      <c r="AD49" s="116"/>
      <c r="AE49" s="13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X49" s="116"/>
      <c r="AY49" s="116"/>
      <c r="AZ49" s="116"/>
      <c r="BA49" s="2">
        <f>BA48+1</f>
        <v>46</v>
      </c>
      <c r="BB49" s="7">
        <v>42552.875</v>
      </c>
      <c r="BC49" s="4" t="s">
        <v>140</v>
      </c>
      <c r="BD49" s="81">
        <f>M50</f>
      </c>
      <c r="BE49" s="80" t="s">
        <v>21</v>
      </c>
      <c r="BF49" s="81">
        <f>M51</f>
      </c>
      <c r="BG49" s="24"/>
      <c r="BH49" s="136"/>
      <c r="BI49" s="28" t="s">
        <v>22</v>
      </c>
      <c r="BJ49" s="136"/>
      <c r="BK49" s="9" t="s">
        <v>23</v>
      </c>
      <c r="BL49" s="1"/>
      <c r="BM49" s="82">
        <f>IF(BJ49="","",IF(BJ49=BH49,"falsch!!! K.Remis",IF(BH49&gt;BJ49,BD49,BF49)))</f>
      </c>
      <c r="BN49" s="1" t="str">
        <f>P50</f>
        <v>AF3</v>
      </c>
      <c r="BO49" s="1" t="str">
        <f>P51</f>
        <v>AF4</v>
      </c>
      <c r="BP49" s="2" t="s">
        <v>54</v>
      </c>
      <c r="BQ49" s="1"/>
      <c r="BR49" s="1"/>
      <c r="BS49" s="131"/>
      <c r="BT49" s="131"/>
      <c r="BU49" s="131"/>
      <c r="BV49" s="131"/>
      <c r="BW49" s="131"/>
      <c r="BX49" s="131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23"/>
      <c r="CQ49" s="123"/>
      <c r="CR49" s="123"/>
      <c r="CS49" s="123"/>
      <c r="CT49" s="123"/>
      <c r="CU49" s="123"/>
      <c r="CV49" s="123"/>
      <c r="CW49" s="123"/>
      <c r="CX49" s="116"/>
      <c r="CY49" s="116"/>
      <c r="CZ49" s="116"/>
    </row>
    <row r="50" spans="1:104" ht="12.75">
      <c r="A50" s="2">
        <f aca="true" t="shared" si="4" ref="A50:A55">A49+1</f>
        <v>39</v>
      </c>
      <c r="B50" s="7">
        <v>42546.75</v>
      </c>
      <c r="C50" s="4" t="s">
        <v>138</v>
      </c>
      <c r="D50" s="71">
        <f>M17</f>
      </c>
      <c r="E50" s="22" t="s">
        <v>21</v>
      </c>
      <c r="F50" s="68">
        <f>VLOOKUP(O50,$B$35:$C$38,2,TRUE)</f>
      </c>
      <c r="G50" s="24"/>
      <c r="H50" s="137"/>
      <c r="I50" s="28" t="s">
        <v>22</v>
      </c>
      <c r="J50" s="137"/>
      <c r="K50" s="9" t="s">
        <v>23</v>
      </c>
      <c r="L50" s="1"/>
      <c r="M50" s="83">
        <f t="shared" si="3"/>
      </c>
      <c r="N50" s="1" t="str">
        <f>N17</f>
        <v>1B</v>
      </c>
      <c r="O50" s="1" t="str">
        <f>IF(AE50="",CONCATENATE("3",AB50),CONCATENATE("3",AE50))</f>
        <v>3A</v>
      </c>
      <c r="P50" s="1" t="s">
        <v>44</v>
      </c>
      <c r="Q50" s="1"/>
      <c r="V50" s="131"/>
      <c r="W50" s="131"/>
      <c r="Y50" s="3" t="s">
        <v>78</v>
      </c>
      <c r="Z50" s="131"/>
      <c r="AA50" s="131" t="s">
        <v>126</v>
      </c>
      <c r="AB50" s="148" t="str">
        <f>IF(COUNTIF($CF$33:$CF$41,C$31)&gt;0,$CF$32,IF(COUNTIF($CG$33:$CG$41,C$31)&gt;0,$CG$32,IF(COUNTIF($CH$33:$CH$41,C$31)&gt;0,$CH$32,CONCATENATE("??? ",C$31))))</f>
        <v>A</v>
      </c>
      <c r="AC50" s="116"/>
      <c r="AD50" s="116"/>
      <c r="AE50" s="13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X50" s="116"/>
      <c r="AY50" s="116"/>
      <c r="AZ50" s="116"/>
      <c r="BA50" s="2">
        <f>BA49+1</f>
        <v>47</v>
      </c>
      <c r="BB50" s="7">
        <v>42553.875</v>
      </c>
      <c r="BC50" s="4" t="s">
        <v>142</v>
      </c>
      <c r="BD50" s="84">
        <f>M52</f>
      </c>
      <c r="BE50" s="80" t="s">
        <v>21</v>
      </c>
      <c r="BF50" s="84">
        <f>M53</f>
      </c>
      <c r="BG50" s="24"/>
      <c r="BH50" s="136"/>
      <c r="BI50" s="28" t="s">
        <v>22</v>
      </c>
      <c r="BJ50" s="137"/>
      <c r="BK50" s="9" t="s">
        <v>23</v>
      </c>
      <c r="BL50" s="1"/>
      <c r="BM50" s="85">
        <f>IF(BJ50="","",IF(BJ50=BH50,"falsch!!! K.Remis",IF(BH50&gt;BJ50,BD50,BF50)))</f>
      </c>
      <c r="BN50" s="1" t="str">
        <f>P52</f>
        <v>AF5</v>
      </c>
      <c r="BO50" s="1" t="str">
        <f>P53</f>
        <v>AF6</v>
      </c>
      <c r="BP50" s="1" t="s">
        <v>51</v>
      </c>
      <c r="BQ50" s="1"/>
      <c r="BR50" s="1"/>
      <c r="BS50" s="131"/>
      <c r="BT50" s="131"/>
      <c r="BU50" s="131"/>
      <c r="BV50" s="131"/>
      <c r="BW50" s="131"/>
      <c r="BX50" s="131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23"/>
      <c r="CQ50" s="123"/>
      <c r="CR50" s="123"/>
      <c r="CS50" s="123"/>
      <c r="CT50" s="123"/>
      <c r="CU50" s="123"/>
      <c r="CV50" s="123"/>
      <c r="CW50" s="123"/>
      <c r="CX50" s="116"/>
      <c r="CY50" s="116"/>
      <c r="CZ50" s="116"/>
    </row>
    <row r="51" spans="1:104" ht="12.75">
      <c r="A51" s="2">
        <f t="shared" si="4"/>
        <v>40</v>
      </c>
      <c r="B51" s="7">
        <v>42547.875</v>
      </c>
      <c r="C51" s="4" t="s">
        <v>144</v>
      </c>
      <c r="D51" s="75">
        <f>BM27</f>
      </c>
      <c r="E51" s="22" t="s">
        <v>21</v>
      </c>
      <c r="F51" s="74">
        <f>BM18</f>
      </c>
      <c r="G51" s="24"/>
      <c r="H51" s="137"/>
      <c r="I51" s="28" t="s">
        <v>22</v>
      </c>
      <c r="J51" s="136"/>
      <c r="K51" s="9" t="s">
        <v>23</v>
      </c>
      <c r="L51" s="1"/>
      <c r="M51" s="83">
        <f t="shared" si="3"/>
      </c>
      <c r="N51" s="1" t="str">
        <f>BN27</f>
        <v>1F</v>
      </c>
      <c r="O51" s="1" t="str">
        <f>BN18</f>
        <v>2E</v>
      </c>
      <c r="P51" s="1" t="s">
        <v>45</v>
      </c>
      <c r="Q51" s="1"/>
      <c r="V51" s="131"/>
      <c r="W51" s="131"/>
      <c r="Y51" s="3"/>
      <c r="Z51" s="131"/>
      <c r="AA51" s="131"/>
      <c r="AB51" s="124"/>
      <c r="AC51" s="116"/>
      <c r="AD51" s="116"/>
      <c r="AE51" s="13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X51" s="116"/>
      <c r="AY51" s="116"/>
      <c r="AZ51" s="116"/>
      <c r="BA51" s="2">
        <f>BA50+1</f>
        <v>48</v>
      </c>
      <c r="BB51" s="7">
        <v>42554.875</v>
      </c>
      <c r="BC51" s="4" t="s">
        <v>136</v>
      </c>
      <c r="BD51" s="86">
        <f>M54</f>
      </c>
      <c r="BE51" s="22" t="s">
        <v>21</v>
      </c>
      <c r="BF51" s="86">
        <f>M55</f>
      </c>
      <c r="BG51" s="24"/>
      <c r="BH51" s="136"/>
      <c r="BI51" s="28" t="s">
        <v>22</v>
      </c>
      <c r="BJ51" s="137"/>
      <c r="BK51" s="9" t="s">
        <v>23</v>
      </c>
      <c r="BL51" s="1"/>
      <c r="BM51" s="87">
        <f>IF(BJ51="","",IF(BJ51=BH51,"falsch!!! K.Remis",IF(BH51&gt;BJ51,BD51,BF51)))</f>
      </c>
      <c r="BN51" s="1" t="str">
        <f>P54</f>
        <v>AF7</v>
      </c>
      <c r="BO51" s="1" t="str">
        <f>P55</f>
        <v>AF8</v>
      </c>
      <c r="BP51" s="1" t="s">
        <v>53</v>
      </c>
      <c r="BQ51" s="1"/>
      <c r="BR51" s="1"/>
      <c r="BS51" s="131"/>
      <c r="BT51" s="131"/>
      <c r="BU51" s="131"/>
      <c r="BV51" s="131"/>
      <c r="BW51" s="131"/>
      <c r="BX51" s="131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23"/>
      <c r="CQ51" s="123"/>
      <c r="CR51" s="123"/>
      <c r="CS51" s="123"/>
      <c r="CT51" s="123"/>
      <c r="CU51" s="123"/>
      <c r="CV51" s="123"/>
      <c r="CW51" s="123"/>
      <c r="CX51" s="116"/>
      <c r="CY51" s="116"/>
      <c r="CZ51" s="116"/>
    </row>
    <row r="52" spans="1:104" ht="12.75">
      <c r="A52" s="2">
        <f t="shared" si="4"/>
        <v>41</v>
      </c>
      <c r="B52" s="7">
        <v>42548.75</v>
      </c>
      <c r="C52" s="4" t="s">
        <v>136</v>
      </c>
      <c r="D52" s="74">
        <f>BM17</f>
      </c>
      <c r="E52" s="22" t="s">
        <v>21</v>
      </c>
      <c r="F52" s="157">
        <f>BM8</f>
      </c>
      <c r="G52" s="24"/>
      <c r="H52" s="137"/>
      <c r="I52" s="28" t="s">
        <v>22</v>
      </c>
      <c r="J52" s="137"/>
      <c r="K52" s="9" t="s">
        <v>23</v>
      </c>
      <c r="L52" s="1"/>
      <c r="M52" s="88">
        <f t="shared" si="3"/>
      </c>
      <c r="N52" s="1" t="str">
        <f>BN17</f>
        <v>1E</v>
      </c>
      <c r="O52" s="1" t="str">
        <f>BN8</f>
        <v>2D</v>
      </c>
      <c r="P52" s="1" t="s">
        <v>46</v>
      </c>
      <c r="Q52" s="1"/>
      <c r="V52" s="131"/>
      <c r="W52" s="131"/>
      <c r="Y52" s="3"/>
      <c r="Z52" s="131"/>
      <c r="AA52" s="131"/>
      <c r="AB52" s="124"/>
      <c r="AC52" s="116"/>
      <c r="AD52" s="116"/>
      <c r="AE52" s="13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X52" s="116"/>
      <c r="AY52" s="116"/>
      <c r="AZ52" s="116"/>
      <c r="BQ52" s="1"/>
      <c r="BR52" s="1"/>
      <c r="BS52" s="131"/>
      <c r="BT52" s="131"/>
      <c r="BU52" s="131"/>
      <c r="BV52" s="131"/>
      <c r="BW52" s="131"/>
      <c r="BX52" s="131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23"/>
      <c r="CQ52" s="123"/>
      <c r="CR52" s="123"/>
      <c r="CS52" s="123"/>
      <c r="CT52" s="123"/>
      <c r="CU52" s="123"/>
      <c r="CV52" s="123"/>
      <c r="CW52" s="123"/>
      <c r="CX52" s="116"/>
      <c r="CY52" s="116"/>
      <c r="CZ52" s="116"/>
    </row>
    <row r="53" spans="1:104" ht="12.75">
      <c r="A53" s="2">
        <f t="shared" si="4"/>
        <v>42</v>
      </c>
      <c r="B53" s="7">
        <v>42547.75</v>
      </c>
      <c r="C53" s="4" t="s">
        <v>140</v>
      </c>
      <c r="D53" s="72">
        <f>M27</f>
      </c>
      <c r="E53" s="22" t="s">
        <v>21</v>
      </c>
      <c r="F53" s="68">
        <f>VLOOKUP(O53,$B$35:$C$38,2,TRUE)</f>
      </c>
      <c r="G53" s="24"/>
      <c r="H53" s="137"/>
      <c r="I53" s="28" t="s">
        <v>22</v>
      </c>
      <c r="J53" s="137"/>
      <c r="K53" s="9" t="s">
        <v>23</v>
      </c>
      <c r="L53" s="1"/>
      <c r="M53" s="88">
        <f t="shared" si="3"/>
      </c>
      <c r="N53" s="1" t="str">
        <f>N27</f>
        <v>1C</v>
      </c>
      <c r="O53" s="1" t="str">
        <f>IF(AE53="",CONCATENATE("3",AB53),CONCATENATE("3",AE53))</f>
        <v>3A</v>
      </c>
      <c r="P53" s="1" t="s">
        <v>47</v>
      </c>
      <c r="Q53" s="1"/>
      <c r="V53" s="131"/>
      <c r="W53" s="131"/>
      <c r="Y53" s="3" t="s">
        <v>81</v>
      </c>
      <c r="Z53" s="131"/>
      <c r="AA53" s="131" t="s">
        <v>126</v>
      </c>
      <c r="AB53" s="148" t="str">
        <f>IF(COUNTIF($CO$33:$CO$41,C$31)&gt;0,$CO$32,IF(COUNTIF($CP$33:$CP$41,C$31)&gt;0,$CP$32,IF(COUNTIF($CQ$33:$CQ$41,C$31)&gt;0,$CQ$32,CONCATENATE("??? ",C$31))))</f>
        <v>A</v>
      </c>
      <c r="AC53" s="116"/>
      <c r="AD53" s="116"/>
      <c r="AE53" s="13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X53" s="116"/>
      <c r="AY53" s="116"/>
      <c r="AZ53" s="116"/>
      <c r="BC53" s="30"/>
      <c r="BD53" s="24"/>
      <c r="BE53" s="21"/>
      <c r="BF53" s="24"/>
      <c r="BG53" s="24"/>
      <c r="BH53" s="28"/>
      <c r="BI53" s="27"/>
      <c r="BJ53" s="28"/>
      <c r="BK53" s="78"/>
      <c r="BL53" s="24"/>
      <c r="BM53" s="30"/>
      <c r="BN53" s="24"/>
      <c r="BO53" s="24"/>
      <c r="BP53" s="24"/>
      <c r="BQ53" s="1"/>
      <c r="BR53" s="1"/>
      <c r="BS53" s="131"/>
      <c r="BT53" s="131"/>
      <c r="BU53" s="131"/>
      <c r="BV53" s="131"/>
      <c r="BW53" s="131"/>
      <c r="BX53" s="131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23"/>
      <c r="CQ53" s="123"/>
      <c r="CR53" s="123"/>
      <c r="CS53" s="123"/>
      <c r="CT53" s="123"/>
      <c r="CU53" s="123"/>
      <c r="CV53" s="123"/>
      <c r="CW53" s="123"/>
      <c r="CX53" s="116"/>
      <c r="CY53" s="116"/>
      <c r="CZ53" s="116"/>
    </row>
    <row r="54" spans="1:104" ht="12.75">
      <c r="A54" s="2">
        <f t="shared" si="4"/>
        <v>43</v>
      </c>
      <c r="B54" s="7">
        <v>42548.875</v>
      </c>
      <c r="C54" s="4" t="s">
        <v>145</v>
      </c>
      <c r="D54" s="71">
        <f>M18</f>
      </c>
      <c r="E54" s="22" t="s">
        <v>21</v>
      </c>
      <c r="F54" s="75">
        <f>BM28</f>
      </c>
      <c r="G54" s="24"/>
      <c r="H54" s="137"/>
      <c r="I54" s="28" t="s">
        <v>22</v>
      </c>
      <c r="J54" s="137"/>
      <c r="K54" s="9" t="s">
        <v>23</v>
      </c>
      <c r="L54" s="1"/>
      <c r="M54" s="90">
        <f t="shared" si="3"/>
      </c>
      <c r="N54" s="1" t="str">
        <f>N18</f>
        <v>2B</v>
      </c>
      <c r="O54" s="1" t="str">
        <f>BN28</f>
        <v>2F</v>
      </c>
      <c r="P54" s="1" t="s">
        <v>48</v>
      </c>
      <c r="Q54" s="1"/>
      <c r="V54" s="131"/>
      <c r="W54" s="131"/>
      <c r="Y54" s="3"/>
      <c r="Z54" s="131"/>
      <c r="AA54" s="131"/>
      <c r="AB54" s="124"/>
      <c r="AC54" s="116"/>
      <c r="AD54" s="116"/>
      <c r="AE54" s="13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X54" s="116"/>
      <c r="AY54" s="116"/>
      <c r="AZ54" s="116"/>
      <c r="BB54" s="89" t="s">
        <v>55</v>
      </c>
      <c r="BC54" s="3"/>
      <c r="BD54" s="24"/>
      <c r="BE54" s="21"/>
      <c r="BF54" s="24"/>
      <c r="BG54" s="24"/>
      <c r="BH54" s="28"/>
      <c r="BI54" s="13"/>
      <c r="BJ54" s="28"/>
      <c r="BK54" s="78"/>
      <c r="BL54" s="1"/>
      <c r="BM54" s="3"/>
      <c r="BN54" s="1"/>
      <c r="BO54" s="1"/>
      <c r="BP54" s="1"/>
      <c r="BQ54" s="1"/>
      <c r="BR54" s="1"/>
      <c r="BS54" s="131"/>
      <c r="BT54" s="131"/>
      <c r="BU54" s="131"/>
      <c r="BV54" s="131"/>
      <c r="BW54" s="131"/>
      <c r="BX54" s="131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23"/>
      <c r="CQ54" s="123"/>
      <c r="CR54" s="123"/>
      <c r="CS54" s="123"/>
      <c r="CT54" s="123"/>
      <c r="CU54" s="123"/>
      <c r="CV54" s="123"/>
      <c r="CW54" s="123"/>
      <c r="CX54" s="116"/>
      <c r="CY54" s="116"/>
      <c r="CZ54" s="116"/>
    </row>
    <row r="55" spans="1:104" ht="12.75">
      <c r="A55" s="2">
        <f t="shared" si="4"/>
        <v>44</v>
      </c>
      <c r="B55" s="7">
        <v>42547.625</v>
      </c>
      <c r="C55" s="4" t="s">
        <v>141</v>
      </c>
      <c r="D55" s="70">
        <f>M7</f>
      </c>
      <c r="E55" s="22" t="s">
        <v>21</v>
      </c>
      <c r="F55" s="68">
        <f>VLOOKUP(O55,$B$35:$C$38,2,TRUE)</f>
      </c>
      <c r="G55" s="24"/>
      <c r="H55" s="137"/>
      <c r="I55" s="28" t="s">
        <v>22</v>
      </c>
      <c r="J55" s="137"/>
      <c r="K55" s="9" t="s">
        <v>23</v>
      </c>
      <c r="L55" s="1"/>
      <c r="M55" s="90">
        <f t="shared" si="3"/>
      </c>
      <c r="N55" s="1" t="str">
        <f>N7</f>
        <v>1A</v>
      </c>
      <c r="O55" s="1" t="str">
        <f>IF(AE55="",CONCATENATE("3",AB55),CONCATENATE("3",AE55))</f>
        <v>3D</v>
      </c>
      <c r="P55" s="1" t="s">
        <v>49</v>
      </c>
      <c r="Q55" s="1"/>
      <c r="V55" s="131"/>
      <c r="W55" s="131"/>
      <c r="Y55" s="3" t="s">
        <v>79</v>
      </c>
      <c r="Z55" s="131"/>
      <c r="AA55" s="131" t="s">
        <v>126</v>
      </c>
      <c r="AB55" s="148" t="str">
        <f>IF(COUNTIF($CI$33:$CI$41,C$31)&gt;0,$CI$32,IF(COUNTIF($CJ$33:$CJ$41,C$31)&gt;0,$CJ$32,IF(COUNTIF($CK$33:$CK$41,C$31)&gt;0,$CK$32,CONCATENATE("??? ",C$31))))</f>
        <v>D</v>
      </c>
      <c r="AC55" s="116"/>
      <c r="AD55" s="116"/>
      <c r="AE55" s="13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X55" s="116"/>
      <c r="AY55" s="116"/>
      <c r="AZ55" s="116"/>
      <c r="BA55" s="2">
        <f>BA51+1</f>
        <v>49</v>
      </c>
      <c r="BB55" s="7">
        <v>42557.875</v>
      </c>
      <c r="BC55" s="4" t="s">
        <v>141</v>
      </c>
      <c r="BD55" s="106">
        <f>BM48</f>
      </c>
      <c r="BE55" s="30" t="s">
        <v>21</v>
      </c>
      <c r="BF55" s="26">
        <f>BM49</f>
      </c>
      <c r="BG55" s="24"/>
      <c r="BH55" s="136"/>
      <c r="BI55" s="28" t="s">
        <v>22</v>
      </c>
      <c r="BJ55" s="136"/>
      <c r="BK55" s="9" t="s">
        <v>23</v>
      </c>
      <c r="BL55" s="1"/>
      <c r="BM55" s="107">
        <f>IF(BJ55="","",IF(BJ55=BH55,"falsch!!! K.Remis",IF(BH55&gt;BJ55,BD55,BF55)))</f>
      </c>
      <c r="BN55" s="1" t="s">
        <v>52</v>
      </c>
      <c r="BO55" s="1" t="s">
        <v>54</v>
      </c>
      <c r="BP55" s="1" t="s">
        <v>56</v>
      </c>
      <c r="BQ55" s="1"/>
      <c r="BR55" s="1"/>
      <c r="BS55" s="131"/>
      <c r="BT55" s="131"/>
      <c r="BU55" s="131"/>
      <c r="BV55" s="131"/>
      <c r="BW55" s="131"/>
      <c r="BX55" s="131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23"/>
      <c r="CQ55" s="123"/>
      <c r="CR55" s="123"/>
      <c r="CS55" s="123"/>
      <c r="CT55" s="123"/>
      <c r="CU55" s="123"/>
      <c r="CV55" s="123"/>
      <c r="CW55" s="123"/>
      <c r="CX55" s="116"/>
      <c r="CY55" s="116"/>
      <c r="CZ55" s="116"/>
    </row>
    <row r="56" spans="2:104" ht="12.75">
      <c r="B56" s="1"/>
      <c r="C56" s="3"/>
      <c r="D56" s="24"/>
      <c r="E56" s="21"/>
      <c r="F56" s="24"/>
      <c r="G56" s="24"/>
      <c r="H56" s="28"/>
      <c r="I56" s="13"/>
      <c r="J56" s="28"/>
      <c r="K56" s="78"/>
      <c r="L56" s="1"/>
      <c r="M56" s="3"/>
      <c r="N56" s="1"/>
      <c r="O56" s="1"/>
      <c r="P56" s="1"/>
      <c r="Q56" s="1"/>
      <c r="R56" s="1"/>
      <c r="S56" s="131"/>
      <c r="T56" s="131"/>
      <c r="U56" s="131"/>
      <c r="V56" s="131"/>
      <c r="W56" s="131"/>
      <c r="Y56" s="116"/>
      <c r="Z56" s="116"/>
      <c r="AA56" s="116"/>
      <c r="AB56" s="116"/>
      <c r="AC56" s="116"/>
      <c r="AD56" s="116"/>
      <c r="AE56" s="123" t="s">
        <v>127</v>
      </c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X56" s="116"/>
      <c r="AY56" s="116"/>
      <c r="AZ56" s="116"/>
      <c r="BA56" s="2">
        <f>BA55+1</f>
        <v>50</v>
      </c>
      <c r="BB56" s="7">
        <v>42558.875</v>
      </c>
      <c r="BC56" s="4" t="s">
        <v>139</v>
      </c>
      <c r="BD56" s="91">
        <f>BM50</f>
      </c>
      <c r="BE56" s="30" t="s">
        <v>21</v>
      </c>
      <c r="BF56" s="92">
        <f>BM51</f>
      </c>
      <c r="BG56" s="24"/>
      <c r="BH56" s="136"/>
      <c r="BI56" s="28" t="s">
        <v>22</v>
      </c>
      <c r="BJ56" s="136"/>
      <c r="BK56" s="9" t="s">
        <v>23</v>
      </c>
      <c r="BL56" s="1"/>
      <c r="BM56" s="107">
        <f>IF(BJ56="","",IF(BJ56=BH56,"falsch!!! K.Remis",IF(BH56&gt;BJ56,BD56,BF56)))</f>
      </c>
      <c r="BN56" s="1" t="s">
        <v>51</v>
      </c>
      <c r="BO56" s="1" t="s">
        <v>53</v>
      </c>
      <c r="BP56" s="1" t="s">
        <v>57</v>
      </c>
      <c r="BQ56" s="1"/>
      <c r="BR56" s="1"/>
      <c r="BS56" s="131"/>
      <c r="BT56" s="131"/>
      <c r="BU56" s="131"/>
      <c r="BV56" s="131"/>
      <c r="BW56" s="131"/>
      <c r="BX56" s="131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23"/>
      <c r="CQ56" s="123"/>
      <c r="CR56" s="123"/>
      <c r="CS56" s="123"/>
      <c r="CT56" s="123"/>
      <c r="CU56" s="123"/>
      <c r="CV56" s="123"/>
      <c r="CW56" s="123"/>
      <c r="CX56" s="116"/>
      <c r="CY56" s="116"/>
      <c r="CZ56" s="116"/>
    </row>
    <row r="57" spans="8:104" ht="12.75">
      <c r="H57" s="2"/>
      <c r="I57" s="2"/>
      <c r="J57" s="2"/>
      <c r="K57" s="2"/>
      <c r="M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B57" s="1"/>
      <c r="BC57" s="3"/>
      <c r="BD57" s="24"/>
      <c r="BE57" s="21"/>
      <c r="BF57" s="24"/>
      <c r="BG57" s="24"/>
      <c r="BH57" s="28"/>
      <c r="BI57" s="13"/>
      <c r="BJ57" s="28"/>
      <c r="BK57" s="78"/>
      <c r="BL57" s="1"/>
      <c r="BM57" s="93">
        <f>IF(BJ55="","",IF(BD55=BM55,BF55,BD55))</f>
      </c>
      <c r="BN57" s="1"/>
      <c r="BO57" s="1"/>
      <c r="BP57" s="1" t="s">
        <v>58</v>
      </c>
      <c r="BQ57" s="1"/>
      <c r="BR57" s="1"/>
      <c r="BS57" s="131"/>
      <c r="BT57" s="131"/>
      <c r="BU57" s="131"/>
      <c r="BV57" s="131"/>
      <c r="BW57" s="131"/>
      <c r="BX57" s="131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23"/>
      <c r="CQ57" s="123"/>
      <c r="CR57" s="123"/>
      <c r="CS57" s="123"/>
      <c r="CT57" s="123"/>
      <c r="CU57" s="123"/>
      <c r="CV57" s="123"/>
      <c r="CW57" s="123"/>
      <c r="CX57" s="116"/>
      <c r="CY57" s="116"/>
      <c r="CZ57" s="116"/>
    </row>
    <row r="58" spans="2:104" ht="12.75">
      <c r="B58" s="94" t="s">
        <v>60</v>
      </c>
      <c r="C58" s="3"/>
      <c r="D58" s="12"/>
      <c r="E58" s="23"/>
      <c r="F58" s="12"/>
      <c r="G58" s="12"/>
      <c r="H58" s="101"/>
      <c r="J58" s="101"/>
      <c r="K58" s="78"/>
      <c r="M58" s="2" t="s">
        <v>174</v>
      </c>
      <c r="P58" s="1"/>
      <c r="AE58" s="132"/>
      <c r="AF58" s="140"/>
      <c r="BB58" s="94"/>
      <c r="BC58" s="3"/>
      <c r="BD58" s="12"/>
      <c r="BE58" s="23"/>
      <c r="BF58" s="12"/>
      <c r="BG58" s="12"/>
      <c r="BH58" s="31"/>
      <c r="BJ58" s="31"/>
      <c r="BK58" s="78"/>
      <c r="BM58" s="93">
        <f>IF(BJ56="","",IF(BD56=BM56,BF56,BD56))</f>
      </c>
      <c r="BP58" s="1" t="s">
        <v>59</v>
      </c>
      <c r="BS58" s="123"/>
      <c r="BT58" s="123"/>
      <c r="BU58" s="123"/>
      <c r="BV58" s="123"/>
      <c r="BW58" s="123"/>
      <c r="BX58" s="123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23"/>
      <c r="CQ58" s="123"/>
      <c r="CR58" s="123"/>
      <c r="CS58" s="123"/>
      <c r="CT58" s="123"/>
      <c r="CU58" s="123"/>
      <c r="CV58" s="123"/>
      <c r="CW58" s="123"/>
      <c r="CX58" s="116"/>
      <c r="CY58" s="116"/>
      <c r="CZ58" s="116"/>
    </row>
    <row r="59" spans="1:104" ht="12.75">
      <c r="A59" s="2">
        <f>BA56+1</f>
        <v>51</v>
      </c>
      <c r="B59" s="7">
        <v>42561.875</v>
      </c>
      <c r="C59" s="4" t="s">
        <v>136</v>
      </c>
      <c r="D59" s="66">
        <f>BM55</f>
      </c>
      <c r="E59" s="30" t="s">
        <v>21</v>
      </c>
      <c r="F59" s="66">
        <f>BM56</f>
      </c>
      <c r="G59" s="24"/>
      <c r="H59" s="137"/>
      <c r="I59" s="28" t="s">
        <v>22</v>
      </c>
      <c r="J59" s="137"/>
      <c r="K59" s="9" t="s">
        <v>23</v>
      </c>
      <c r="L59" s="1"/>
      <c r="M59" s="95">
        <f>IF(J59="","",IF(J59=H59,"falsch!!! K.Remis",IF(H59&gt;J59,D59,F59)))</f>
      </c>
      <c r="N59" s="1" t="str">
        <f>BP55</f>
        <v>F1</v>
      </c>
      <c r="O59" s="1" t="str">
        <f>BP56</f>
        <v>F2</v>
      </c>
      <c r="P59" s="1"/>
      <c r="Q59" s="1"/>
      <c r="R59" s="1"/>
      <c r="S59" s="131"/>
      <c r="T59" s="131"/>
      <c r="U59" s="131"/>
      <c r="V59" s="131"/>
      <c r="W59" s="131"/>
      <c r="AE59" s="131"/>
      <c r="AF59" s="139"/>
      <c r="AG59" s="131"/>
      <c r="AH59" s="131"/>
      <c r="AO59" s="131"/>
      <c r="BB59" s="3"/>
      <c r="BC59" s="3"/>
      <c r="BD59" s="12"/>
      <c r="BE59" s="23"/>
      <c r="BF59" s="12"/>
      <c r="BG59" s="12"/>
      <c r="BH59" s="31"/>
      <c r="BJ59" s="31"/>
      <c r="BK59" s="78"/>
      <c r="BM59" s="2"/>
      <c r="BP59" s="1"/>
      <c r="BQ59" s="1"/>
      <c r="BR59" s="1"/>
      <c r="BS59" s="131"/>
      <c r="BT59" s="131"/>
      <c r="BU59" s="131"/>
      <c r="BV59" s="131"/>
      <c r="BW59" s="131"/>
      <c r="BX59" s="123"/>
      <c r="BZ59" s="123"/>
      <c r="CA59" s="123"/>
      <c r="CB59" s="123"/>
      <c r="CC59" s="123"/>
      <c r="CD59" s="123"/>
      <c r="CE59" s="131"/>
      <c r="CF59" s="139"/>
      <c r="CG59" s="131"/>
      <c r="CH59" s="131"/>
      <c r="CI59" s="123"/>
      <c r="CJ59" s="123"/>
      <c r="CK59" s="123"/>
      <c r="CL59" s="123"/>
      <c r="CM59" s="123"/>
      <c r="CN59" s="123"/>
      <c r="CO59" s="131"/>
      <c r="CP59" s="123"/>
      <c r="CQ59" s="123"/>
      <c r="CR59" s="123"/>
      <c r="CS59" s="123"/>
      <c r="CT59" s="123"/>
      <c r="CU59" s="123"/>
      <c r="CV59" s="123"/>
      <c r="CW59" s="123"/>
      <c r="CX59" s="116"/>
      <c r="CY59" s="116"/>
      <c r="CZ59" s="116"/>
    </row>
    <row r="60" spans="8:104" ht="12.75">
      <c r="H60" s="2"/>
      <c r="I60" s="2"/>
      <c r="J60" s="2"/>
      <c r="K60" s="2"/>
      <c r="M60" s="2"/>
      <c r="Q60" s="1"/>
      <c r="R60" s="1"/>
      <c r="S60" s="131"/>
      <c r="T60" s="131"/>
      <c r="U60" s="131"/>
      <c r="V60" s="131"/>
      <c r="W60" s="131"/>
      <c r="AE60" s="131"/>
      <c r="AF60" s="139"/>
      <c r="AG60" s="131"/>
      <c r="AH60" s="131"/>
      <c r="AO60" s="131"/>
      <c r="BB60" s="7"/>
      <c r="BC60" s="4"/>
      <c r="BD60" s="12"/>
      <c r="BE60" s="23"/>
      <c r="BF60" s="12"/>
      <c r="BG60" s="12"/>
      <c r="BH60" s="31"/>
      <c r="BJ60" s="31"/>
      <c r="BL60" s="1"/>
      <c r="BM60" s="3"/>
      <c r="BN60" s="1"/>
      <c r="BO60" s="1"/>
      <c r="BQ60" s="1"/>
      <c r="BR60" s="1"/>
      <c r="BS60" s="131"/>
      <c r="BT60" s="131"/>
      <c r="BU60" s="131"/>
      <c r="BV60" s="131"/>
      <c r="BW60" s="131"/>
      <c r="BX60" s="123"/>
      <c r="BZ60" s="123"/>
      <c r="CA60" s="123"/>
      <c r="CB60" s="123"/>
      <c r="CC60" s="123"/>
      <c r="CD60" s="123"/>
      <c r="CE60" s="131"/>
      <c r="CF60" s="139"/>
      <c r="CG60" s="131"/>
      <c r="CH60" s="131"/>
      <c r="CI60" s="123"/>
      <c r="CJ60" s="123"/>
      <c r="CK60" s="123"/>
      <c r="CL60" s="123"/>
      <c r="CM60" s="123"/>
      <c r="CN60" s="123"/>
      <c r="CO60" s="131"/>
      <c r="CP60" s="123"/>
      <c r="CQ60" s="123"/>
      <c r="CR60" s="123"/>
      <c r="CS60" s="123"/>
      <c r="CT60" s="123"/>
      <c r="CU60" s="123"/>
      <c r="CV60" s="123"/>
      <c r="CW60" s="123"/>
      <c r="CX60" s="116"/>
      <c r="CY60" s="116"/>
      <c r="CZ60" s="116"/>
    </row>
    <row r="61" spans="8:104" ht="12.75">
      <c r="H61" s="2"/>
      <c r="I61" s="2"/>
      <c r="J61" s="2"/>
      <c r="K61" s="2"/>
      <c r="M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D61" s="12"/>
      <c r="BE61" s="23"/>
      <c r="BF61" s="12"/>
      <c r="BG61" s="12"/>
      <c r="BH61" s="31"/>
      <c r="BJ61" s="31"/>
      <c r="BK61" s="78"/>
      <c r="BM61" s="2"/>
      <c r="BQ61" s="1"/>
      <c r="BR61" s="1"/>
      <c r="BS61" s="131"/>
      <c r="BT61" s="131"/>
      <c r="BU61" s="131"/>
      <c r="BV61" s="131"/>
      <c r="BW61" s="131"/>
      <c r="BX61" s="123"/>
      <c r="BZ61" s="123"/>
      <c r="CA61" s="123"/>
      <c r="CB61" s="123"/>
      <c r="CC61" s="123"/>
      <c r="CD61" s="123"/>
      <c r="CE61" s="131"/>
      <c r="CF61" s="139"/>
      <c r="CG61" s="131"/>
      <c r="CH61" s="131"/>
      <c r="CI61" s="123"/>
      <c r="CJ61" s="123"/>
      <c r="CK61" s="123"/>
      <c r="CL61" s="123"/>
      <c r="CM61" s="123"/>
      <c r="CN61" s="123"/>
      <c r="CO61" s="131"/>
      <c r="CP61" s="123"/>
      <c r="CQ61" s="123"/>
      <c r="CR61" s="123"/>
      <c r="CS61" s="123"/>
      <c r="CT61" s="123"/>
      <c r="CU61" s="123"/>
      <c r="CV61" s="123"/>
      <c r="CW61" s="123"/>
      <c r="CX61" s="116"/>
      <c r="CY61" s="116"/>
      <c r="CZ61" s="116"/>
    </row>
    <row r="62" spans="8:93" ht="13.5" thickBot="1">
      <c r="H62" s="2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 s="116"/>
      <c r="CH62" s="116"/>
      <c r="CI62" s="116"/>
      <c r="CJ62" s="116"/>
      <c r="CK62" s="116"/>
      <c r="CL62" s="116"/>
      <c r="CM62" s="116"/>
      <c r="CN62" s="116"/>
      <c r="CO62" s="116"/>
    </row>
    <row r="63" spans="2:93" ht="14.25" thickBot="1" thickTop="1">
      <c r="B63" s="16" t="s">
        <v>23</v>
      </c>
      <c r="C63" s="1" t="s">
        <v>62</v>
      </c>
      <c r="D63" s="3"/>
      <c r="E63" s="3"/>
      <c r="F63" s="3"/>
      <c r="G63" s="108"/>
      <c r="H63" s="115"/>
      <c r="I63" s="2"/>
      <c r="J63" s="2"/>
      <c r="K63" s="2"/>
      <c r="M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8:82" ht="13.5" thickTop="1">
      <c r="H64" s="2"/>
      <c r="AD64" s="132"/>
      <c r="BB64"/>
      <c r="BC64"/>
      <c r="BD64"/>
      <c r="BE64"/>
      <c r="BF64"/>
      <c r="BG64"/>
      <c r="BH64"/>
      <c r="BI64"/>
      <c r="BJ64"/>
      <c r="BK64"/>
      <c r="CD64" s="3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104"/>
  <sheetViews>
    <sheetView workbookViewId="0" topLeftCell="A1">
      <selection activeCell="H62" sqref="H62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26" customWidth="1"/>
    <col min="9" max="9" width="1.57421875" style="126" customWidth="1"/>
    <col min="10" max="10" width="3.57421875" style="126" customWidth="1"/>
    <col min="11" max="11" width="3.00390625" style="1" customWidth="1"/>
    <col min="12" max="12" width="2.00390625" style="2" customWidth="1"/>
    <col min="13" max="13" width="14.28125" style="11" customWidth="1"/>
    <col min="14" max="17" width="4.28125" style="2" customWidth="1"/>
    <col min="18" max="18" width="3.8515625" style="2" customWidth="1"/>
    <col min="19" max="22" width="2.00390625" style="123" hidden="1" customWidth="1"/>
    <col min="23" max="23" width="1.7109375" style="123" hidden="1" customWidth="1"/>
    <col min="24" max="24" width="3.00390625" style="123" hidden="1" customWidth="1"/>
    <col min="25" max="25" width="14.28125" style="123" hidden="1" customWidth="1"/>
    <col min="26" max="26" width="2.28125" style="123" hidden="1" customWidth="1"/>
    <col min="27" max="27" width="3.28125" style="123" hidden="1" customWidth="1"/>
    <col min="28" max="28" width="3.00390625" style="123" hidden="1" customWidth="1"/>
    <col min="29" max="29" width="4.421875" style="123" hidden="1" customWidth="1"/>
    <col min="30" max="30" width="19.28125" style="123" hidden="1" customWidth="1"/>
    <col min="31" max="31" width="3.140625" style="140" hidden="1" customWidth="1"/>
    <col min="32" max="32" width="3.57421875" style="123" hidden="1" customWidth="1"/>
    <col min="33" max="36" width="2.8515625" style="123" hidden="1" customWidth="1"/>
    <col min="37" max="37" width="3.140625" style="123" hidden="1" customWidth="1"/>
    <col min="38" max="38" width="6.421875" style="123" hidden="1" customWidth="1"/>
    <col min="39" max="42" width="2.8515625" style="123" hidden="1" customWidth="1"/>
    <col min="43" max="43" width="7.7109375" style="123" hidden="1" customWidth="1"/>
    <col min="44" max="47" width="3.00390625" style="123" hidden="1" customWidth="1"/>
    <col min="48" max="48" width="3.140625" style="123" hidden="1" customWidth="1"/>
    <col min="49" max="49" width="11.421875" style="123" customWidth="1"/>
    <col min="50" max="51" width="7.140625" style="1" customWidth="1"/>
    <col min="52" max="52" width="11.421875" style="123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26" customWidth="1"/>
    <col min="61" max="61" width="1.57421875" style="126" customWidth="1"/>
    <col min="62" max="62" width="3.57421875" style="126" customWidth="1"/>
    <col min="63" max="63" width="3.00390625" style="1" customWidth="1"/>
    <col min="64" max="64" width="2.00390625" style="2" customWidth="1"/>
    <col min="65" max="65" width="14.28125" style="11" customWidth="1"/>
    <col min="66" max="69" width="4.28125" style="2" customWidth="1"/>
    <col min="70" max="70" width="3.8515625" style="2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123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83" width="5.00390625" style="10" hidden="1" customWidth="1"/>
    <col min="84" max="100" width="5.00390625" style="2" hidden="1" customWidth="1"/>
    <col min="101" max="101" width="11.421875" style="2" customWidth="1"/>
    <col min="102" max="102" width="7.140625" style="24" customWidth="1"/>
    <col min="103" max="103" width="7.140625" style="1" customWidth="1"/>
    <col min="104" max="104" width="11.421875" style="2" customWidth="1"/>
    <col min="105" max="105" width="36.7109375" style="2" customWidth="1"/>
    <col min="106" max="106" width="5.140625" style="2" customWidth="1"/>
    <col min="107" max="16384" width="11.421875" style="2" customWidth="1"/>
  </cols>
  <sheetData>
    <row r="1" spans="1:106" s="12" customFormat="1" ht="14.25" thickBot="1" thickTop="1">
      <c r="A1" s="12" t="s">
        <v>70</v>
      </c>
      <c r="B1" s="50" t="s">
        <v>0</v>
      </c>
      <c r="C1" s="43" t="s">
        <v>1</v>
      </c>
      <c r="D1" s="24" t="s">
        <v>2</v>
      </c>
      <c r="E1" s="21"/>
      <c r="F1" s="24"/>
      <c r="G1" s="112"/>
      <c r="H1" s="113"/>
      <c r="I1" s="124"/>
      <c r="J1" s="160"/>
      <c r="K1" s="24"/>
      <c r="L1" s="24"/>
      <c r="M1" s="69" t="s">
        <v>3</v>
      </c>
      <c r="N1" s="2" t="s">
        <v>4</v>
      </c>
      <c r="O1" s="2" t="s">
        <v>5</v>
      </c>
      <c r="P1" s="2" t="s">
        <v>6</v>
      </c>
      <c r="Q1" s="2" t="s">
        <v>7</v>
      </c>
      <c r="R1" s="2"/>
      <c r="S1" s="123"/>
      <c r="T1" s="123"/>
      <c r="U1" s="123"/>
      <c r="V1" s="123"/>
      <c r="W1" s="124"/>
      <c r="X1" s="124" t="s">
        <v>8</v>
      </c>
      <c r="Y1" s="125" t="s">
        <v>9</v>
      </c>
      <c r="Z1" s="124" t="s">
        <v>4</v>
      </c>
      <c r="AA1" s="124" t="s">
        <v>5</v>
      </c>
      <c r="AB1" s="124" t="s">
        <v>6</v>
      </c>
      <c r="AC1" s="124" t="s">
        <v>7</v>
      </c>
      <c r="AD1" s="124"/>
      <c r="AE1" s="27" t="s">
        <v>10</v>
      </c>
      <c r="AF1" s="80" t="s">
        <v>11</v>
      </c>
      <c r="AG1" s="80"/>
      <c r="AH1" s="80"/>
      <c r="AI1" s="80"/>
      <c r="AJ1" s="80" t="s">
        <v>12</v>
      </c>
      <c r="AK1" s="125" t="s">
        <v>13</v>
      </c>
      <c r="AL1" s="80" t="s">
        <v>14</v>
      </c>
      <c r="AM1" s="80"/>
      <c r="AN1" s="80"/>
      <c r="AO1" s="80"/>
      <c r="AP1" s="80" t="s">
        <v>15</v>
      </c>
      <c r="AQ1" s="80" t="s">
        <v>16</v>
      </c>
      <c r="AR1" s="80"/>
      <c r="AS1" s="80"/>
      <c r="AT1" s="80"/>
      <c r="AU1" s="126" t="s">
        <v>17</v>
      </c>
      <c r="AV1" s="125" t="s">
        <v>18</v>
      </c>
      <c r="AW1" s="127"/>
      <c r="AX1" s="50">
        <f>IF(OR($CX$62="",MOD(SUM($H$3:$J$59)+SUM($BH$3:$BJ$61),3)=0),IF(M7="",0,COUNTIF('em16zufall'!$D$48:'em16zufall'!$F$55,M7)),0)</f>
        <v>1</v>
      </c>
      <c r="AY1" s="24">
        <f>IF(COUNTIF('em16zufall'!K3:'em16zufall'!K7,'em16zufall'!$B$63)=6,"ok","")</f>
      </c>
      <c r="AZ1" s="128"/>
      <c r="BB1" s="156" t="s">
        <v>0</v>
      </c>
      <c r="BC1" s="155" t="s">
        <v>32</v>
      </c>
      <c r="BD1" s="24" t="s">
        <v>2</v>
      </c>
      <c r="BE1" s="21"/>
      <c r="BF1" s="24"/>
      <c r="BG1" s="112"/>
      <c r="BH1" s="110"/>
      <c r="BI1" s="124"/>
      <c r="BJ1" s="160"/>
      <c r="BK1" s="24"/>
      <c r="BL1" s="24"/>
      <c r="BM1" s="69" t="s">
        <v>3</v>
      </c>
      <c r="BN1" s="2" t="s">
        <v>4</v>
      </c>
      <c r="BO1" s="2" t="s">
        <v>5</v>
      </c>
      <c r="BP1" s="2" t="s">
        <v>6</v>
      </c>
      <c r="BQ1" s="2" t="s">
        <v>7</v>
      </c>
      <c r="BR1" s="2"/>
      <c r="BS1" s="2"/>
      <c r="BT1" s="2"/>
      <c r="BU1" s="2"/>
      <c r="BV1" s="2"/>
      <c r="BW1" s="24"/>
      <c r="BX1" s="24" t="s">
        <v>8</v>
      </c>
      <c r="BY1" s="125" t="s">
        <v>9</v>
      </c>
      <c r="BZ1" s="24" t="s">
        <v>4</v>
      </c>
      <c r="CA1" s="24" t="s">
        <v>5</v>
      </c>
      <c r="CB1" s="24" t="s">
        <v>6</v>
      </c>
      <c r="CC1" s="24" t="s">
        <v>7</v>
      </c>
      <c r="CD1" s="24"/>
      <c r="CE1" s="29" t="s">
        <v>10</v>
      </c>
      <c r="CF1" s="22" t="s">
        <v>11</v>
      </c>
      <c r="CG1" s="22"/>
      <c r="CH1" s="22"/>
      <c r="CI1" s="22"/>
      <c r="CJ1" s="22" t="s">
        <v>12</v>
      </c>
      <c r="CK1" s="30" t="s">
        <v>13</v>
      </c>
      <c r="CL1" s="22" t="s">
        <v>14</v>
      </c>
      <c r="CM1" s="22"/>
      <c r="CN1" s="22"/>
      <c r="CO1" s="22"/>
      <c r="CP1" s="22" t="s">
        <v>15</v>
      </c>
      <c r="CQ1" s="22" t="s">
        <v>16</v>
      </c>
      <c r="CR1" s="22"/>
      <c r="CS1" s="22"/>
      <c r="CT1" s="22"/>
      <c r="CU1" s="23" t="s">
        <v>17</v>
      </c>
      <c r="CV1" s="30" t="s">
        <v>18</v>
      </c>
      <c r="CX1" s="156">
        <f>IF(OR($CX$62="",MOD(SUM($H$3:$J$59)+SUM($BH$3:$BJ$61),3)=0),IF(BM7="",0,COUNTIF('em16zufall'!$D$48:'em16zufall'!$F$55,BM7)),0)</f>
        <v>0</v>
      </c>
      <c r="CY1" s="24">
        <f>IF(COUNTIF('em16zufall'!BK3:'em16zufall'!BK7,'em16zufall'!$B$63)=6,"ok","")</f>
      </c>
      <c r="DA1" s="161" t="s">
        <v>146</v>
      </c>
      <c r="DB1" s="162"/>
    </row>
    <row r="2" spans="2:106" ht="13.5" thickTop="1">
      <c r="B2" s="3" t="s">
        <v>19</v>
      </c>
      <c r="C2" s="3" t="s">
        <v>20</v>
      </c>
      <c r="L2" s="1"/>
      <c r="M2" s="11" t="str">
        <f>VLOOKUP(1,$X$2:$AC$5,2,FALSE)</f>
        <v>Rumänien</v>
      </c>
      <c r="N2" s="2">
        <f>VLOOKUP(1,$X$2:$AC$5,3,FALSE)</f>
        <v>5</v>
      </c>
      <c r="O2" s="2">
        <f>VLOOKUP(1,$X$2:$AC$5,4,FALSE)</f>
        <v>14</v>
      </c>
      <c r="P2" s="2">
        <f>VLOOKUP(1,$X$2:$AC$5,5,FALSE)</f>
        <v>13</v>
      </c>
      <c r="Q2" s="2">
        <f>VLOOKUP(1,$X$2:$AC$5,6,FALSE)</f>
        <v>1</v>
      </c>
      <c r="S2" s="129"/>
      <c r="T2" s="130">
        <f>IF(H3="",0,IF(K3=$B$63,IF(H3&gt;J3,3,IF(H3=J3,1,0)),0))</f>
        <v>1</v>
      </c>
      <c r="U2" s="130">
        <f>IF(H5="",0,IF(K5=$B$63,IF(H5&gt;J5,3,IF(H5=J5,1,0)),0))</f>
        <v>1</v>
      </c>
      <c r="V2" s="130">
        <f>IF(J7="",0,IF(K7=$B$63,IF(H7&lt;J7,3,IF(H7=J7,1,0)),0))</f>
        <v>0</v>
      </c>
      <c r="W2" s="131"/>
      <c r="X2" s="185">
        <f>RANK(AD2,AD2:AD5)+COUNTIF(AD2:AD2,AD2)-1</f>
        <v>4</v>
      </c>
      <c r="Y2" s="132" t="str">
        <f>'em16zufall'!Y2</f>
        <v>Frankreich</v>
      </c>
      <c r="Z2" s="131">
        <f>SUM(S2:V2)</f>
        <v>2</v>
      </c>
      <c r="AA2" s="131">
        <f>SUM(S6:V6)</f>
        <v>8</v>
      </c>
      <c r="AB2" s="131">
        <f>SUM(S6:S9)</f>
        <v>9</v>
      </c>
      <c r="AC2" s="131">
        <f>AA2-AB2</f>
        <v>-1</v>
      </c>
      <c r="AD2" s="133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199079999999999</v>
      </c>
      <c r="AE2" s="134"/>
      <c r="AF2" s="135"/>
      <c r="AG2" s="135">
        <f>IF($Z2=$Z3,$T2-$S3,0)</f>
        <v>0</v>
      </c>
      <c r="AH2" s="135">
        <f>IF($Z2=$Z4,$U2-$S4,0)</f>
        <v>0</v>
      </c>
      <c r="AI2" s="135">
        <f>IF($Z2=$Z5,$V2-$S5,0)</f>
        <v>0</v>
      </c>
      <c r="AJ2" s="135">
        <f>SUM(AF2:AI2)</f>
        <v>0</v>
      </c>
      <c r="AK2" s="134"/>
      <c r="AL2" s="135"/>
      <c r="AM2" s="135">
        <f>IF($Z2=$Z3,$T6-$S7,0)</f>
        <v>0</v>
      </c>
      <c r="AN2" s="135">
        <f>IF($Z2=$Z4,$U6-$S8,0)</f>
        <v>0</v>
      </c>
      <c r="AO2" s="135">
        <f>IF($Z2=$Z5,$V6-$S9,0)</f>
        <v>0</v>
      </c>
      <c r="AP2" s="135">
        <f>SUM(AL2:AO2)</f>
        <v>0</v>
      </c>
      <c r="AQ2" s="135"/>
      <c r="AR2" s="135">
        <f>IF($Z2=$Z3,$T6,0)</f>
        <v>0</v>
      </c>
      <c r="AS2" s="135">
        <f>IF($Z2=$Z4,$U6,0)</f>
        <v>0</v>
      </c>
      <c r="AT2" s="135">
        <f>IF($Z2=$Z5,$V6,0)</f>
        <v>0</v>
      </c>
      <c r="AU2" s="135">
        <f>SUM(AQ2:AT2)</f>
        <v>0</v>
      </c>
      <c r="AV2" s="184">
        <f>IF(AND(COUNTIF(K3:K8,$B$63)=COUNTA(H3:H8),COUNTIF(K3:K8,$B$63)=COUNTA(J3:J8)),IF(AU2=AU3,T6-S7,IF(AU2=AU4,U6-S8,IF(AU2=AU5,V6-S9,4))),4)</f>
        <v>-1</v>
      </c>
      <c r="AW2" s="133"/>
      <c r="AX2" s="50">
        <f>IF(OR($CX$62="",MOD(SUM($H$3:$J$59)+SUM($BH$3:$BJ$61),3)=0),IF(M8="",0,COUNTIF('em16zufall'!$D$48:'em16zufall'!$F$55,M8)),0)</f>
        <v>1</v>
      </c>
      <c r="AY2" s="24">
        <f>IF(COUNTIF('em16zufall'!K3:'em16zufall'!K7,'em16zufall'!$B$63)=6,"ok","")</f>
      </c>
      <c r="BB2" s="3" t="s">
        <v>19</v>
      </c>
      <c r="BC2" s="3" t="s">
        <v>20</v>
      </c>
      <c r="BL2" s="1"/>
      <c r="BM2" s="11" t="str">
        <f>VLOOKUP(1,$BX$2:$CC$5,2,FALSE)</f>
        <v>Kroatien</v>
      </c>
      <c r="BN2" s="2">
        <f>VLOOKUP(1,$BX$2:$CC$5,3,FALSE)</f>
        <v>7</v>
      </c>
      <c r="BO2" s="2">
        <f>VLOOKUP(1,$BX$2:$CC$5,4,FALSE)</f>
        <v>13</v>
      </c>
      <c r="BP2" s="2">
        <f>VLOOKUP(1,$BX$2:$CC$5,5,FALSE)</f>
        <v>5</v>
      </c>
      <c r="BQ2" s="2">
        <f>VLOOKUP(1,$BX$2:$CC$5,6,FALSE)</f>
        <v>8</v>
      </c>
      <c r="BS2" s="129"/>
      <c r="BT2" s="130">
        <f>IF(BH3="",0,IF(BK3=$B$63,IF(BH3&gt;BJ3,3,IF(BH3=BJ3,1,0)),0))</f>
        <v>0</v>
      </c>
      <c r="BU2" s="130">
        <f>IF(BH5="",0,IF(BK5=$B$63,IF(BH5&gt;BJ5,3,IF(BH5=BJ5,1,0)),0))</f>
        <v>3</v>
      </c>
      <c r="BV2" s="130">
        <f>IF(BJ7="",0,IF(BK7=$B$63,IF(BH7&lt;BJ7,3,IF(BH7=BJ7,1,0)),0))</f>
        <v>0</v>
      </c>
      <c r="BW2" s="1"/>
      <c r="BX2" s="185">
        <f>RANK(CD2,CD2:CD5)+COUNTIF(CD2:CD2,CD2)-1</f>
        <v>3</v>
      </c>
      <c r="BY2" s="132" t="str">
        <f>'em16zufall'!BY2</f>
        <v>Spanien</v>
      </c>
      <c r="BZ2" s="1">
        <f>SUM(BS2:BV2)</f>
        <v>3</v>
      </c>
      <c r="CA2" s="1">
        <f>SUM(BS6:BV6)</f>
        <v>6</v>
      </c>
      <c r="CB2" s="1">
        <f>SUM(BS6:BS9)</f>
        <v>7</v>
      </c>
      <c r="CC2" s="1">
        <f>CA2-CB2</f>
        <v>-1</v>
      </c>
      <c r="CD2" s="33">
        <f>IF(BP$8="",CE2*10000000000000000+BZ2*100000000000000+CC2*1000000000000+CA2*10000000000+CK2*100000000+CJ2*1000000+CP2*10000+CU2*100+CV2,CE2*10000000000000000+BZ2*100000000000000+CK2*1000000000000+CJ2*10000000000+CP2*100000000+CU2*1000000+CC2*10000+CA2*100+CV2)</f>
        <v>299060000000004</v>
      </c>
      <c r="CE2" s="5"/>
      <c r="CF2" s="34"/>
      <c r="CG2" s="34">
        <f>IF($BZ2=$BZ3,$BT2-$BS3,0)</f>
        <v>0</v>
      </c>
      <c r="CH2" s="34">
        <f>IF($BZ2=$BZ4,$BU2-$BS4,0)</f>
        <v>0</v>
      </c>
      <c r="CI2" s="34">
        <f>IF($BZ2=$BZ5,$BV2-$BS5,0)</f>
        <v>0</v>
      </c>
      <c r="CJ2" s="34">
        <f>SUM(CF2:CI2)</f>
        <v>0</v>
      </c>
      <c r="CK2" s="5"/>
      <c r="CL2" s="34"/>
      <c r="CM2" s="34">
        <f>IF($BZ2=$BZ3,$BT6-$BS7,0)</f>
        <v>0</v>
      </c>
      <c r="CN2" s="34">
        <f>IF($BZ2=$BZ4,$BU6-$BS8,0)</f>
        <v>0</v>
      </c>
      <c r="CO2" s="34">
        <f>IF($BZ2=$BZ5,$BV6-$BS9,0)</f>
        <v>0</v>
      </c>
      <c r="CP2" s="34">
        <f>SUM(CL2:CO2)</f>
        <v>0</v>
      </c>
      <c r="CQ2" s="34"/>
      <c r="CR2" s="34">
        <f>IF($BZ2=$BZ3,$BT6,0)</f>
        <v>0</v>
      </c>
      <c r="CS2" s="34">
        <f>IF($BZ2=$BZ4,$BU6,0)</f>
        <v>0</v>
      </c>
      <c r="CT2" s="34">
        <f>IF($BZ2=$BZ5,$BV6,0)</f>
        <v>0</v>
      </c>
      <c r="CU2" s="34">
        <f>SUM(CQ2:CT2)</f>
        <v>0</v>
      </c>
      <c r="CV2" s="184">
        <f>IF(AND(COUNTIF(BK3:BK8,$B$63)=COUNTA(BH3:BH8),COUNTIF(BK3:BK8,$B$63)=COUNTA(BJ3:BJ8)),IF(CU2=CU3,BT6-BS7,IF(CU2=CU4,BU6-BS8,IF(CU2=CU5,BV6-BS9,4))),4)</f>
        <v>4</v>
      </c>
      <c r="CX2" s="156">
        <f>IF(OR($CX$62="",MOD(SUM($H$3:$J$59)+SUM($BH$3:$BJ$61),3)=0),IF(BM8="",0,COUNTIF('em16zufall'!$D$48:'em16zufall'!$F$55,BM8)),0)</f>
        <v>1</v>
      </c>
      <c r="CY2" s="24">
        <f>IF(COUNTIF('em16zufall'!BK3:'em16zufall'!BK7,'em16zufall'!$B$63)=6,"ok","")</f>
      </c>
      <c r="DA2" s="161"/>
      <c r="DB2" s="163"/>
    </row>
    <row r="3" spans="1:106" ht="12.75">
      <c r="A3" s="2">
        <v>1</v>
      </c>
      <c r="B3" s="7">
        <f>'em16zufall'!B3</f>
        <v>42531.875</v>
      </c>
      <c r="C3" s="7" t="str">
        <f>'em16zufall'!C3</f>
        <v>Paris St.Denis</v>
      </c>
      <c r="D3" s="125" t="str">
        <f>Y2</f>
        <v>Frankreich</v>
      </c>
      <c r="E3" s="125" t="s">
        <v>21</v>
      </c>
      <c r="F3" s="125" t="str">
        <f>Y3</f>
        <v>Rumänien</v>
      </c>
      <c r="G3" s="125"/>
      <c r="H3" s="136">
        <f aca="true" ca="1" t="shared" si="0" ref="H3:H8">IF($B$64="",1,INT(RAND()*5)+INT(RAND()*3)*INT(RAND()*2))</f>
        <v>6</v>
      </c>
      <c r="I3" s="160" t="s">
        <v>22</v>
      </c>
      <c r="J3" s="136">
        <f aca="true" ca="1" t="shared" si="1" ref="J3:J8">IF($B$64="",0,INT(RAND()*5)+INT(RAND()*3)*INT(RAND()*2))</f>
        <v>6</v>
      </c>
      <c r="K3" s="1" t="s">
        <v>23</v>
      </c>
      <c r="L3" s="1"/>
      <c r="M3" s="11" t="str">
        <f>VLOOKUP(2,$X$2:$AC$5,2,FALSE)</f>
        <v>Albanien</v>
      </c>
      <c r="N3" s="2">
        <f>VLOOKUP(2,$X$2:$AC$5,3,FALSE)</f>
        <v>5</v>
      </c>
      <c r="O3" s="2">
        <f>VLOOKUP(2,$X$2:$AC$5,4,FALSE)</f>
        <v>8</v>
      </c>
      <c r="P3" s="2">
        <f>VLOOKUP(2,$X$2:$AC$5,5,FALSE)</f>
        <v>7</v>
      </c>
      <c r="Q3" s="2">
        <f>VLOOKUP(2,$X$2:$AC$5,6,FALSE)</f>
        <v>1</v>
      </c>
      <c r="S3" s="130">
        <f>IF(J3="",0,IF(K3=$B$63,IF(H3&lt;J3,3,IF(H3=J3,1,0)),0))</f>
        <v>1</v>
      </c>
      <c r="T3" s="129"/>
      <c r="U3" s="130">
        <f>IF(H8="",0,IF(K8=$B$63,IF(H8&gt;J8,3,IF(H8=J8,1,0)),0))</f>
        <v>1</v>
      </c>
      <c r="V3" s="130">
        <f>IF(H6="",0,IF(K6=$B$63,IF(H6&gt;J6,3,IF(H6=J6,1,0)),0))</f>
        <v>3</v>
      </c>
      <c r="W3" s="131"/>
      <c r="X3" s="185">
        <f>RANK(AD3,AD2:AD5)+COUNTIF(AD2:AD3,AD3)-1</f>
        <v>1</v>
      </c>
      <c r="Y3" s="132" t="str">
        <f>'em16zufall'!Y3</f>
        <v>Rumänien</v>
      </c>
      <c r="Z3" s="131">
        <f>SUM(S3:V3)</f>
        <v>5</v>
      </c>
      <c r="AA3" s="131">
        <f>SUM(S7:V7)</f>
        <v>14</v>
      </c>
      <c r="AB3" s="131">
        <f>SUM(T6:T9)</f>
        <v>13</v>
      </c>
      <c r="AC3" s="131">
        <f>AA3-AB3</f>
        <v>1</v>
      </c>
      <c r="AD3" s="133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501140000000400</v>
      </c>
      <c r="AE3" s="134"/>
      <c r="AF3" s="135">
        <f>IF($Z3=$Z2,$S3-$T2,0)</f>
        <v>0</v>
      </c>
      <c r="AG3" s="135"/>
      <c r="AH3" s="135">
        <f>IF($Z3=$Z4,$U3-$T4,0)</f>
        <v>0</v>
      </c>
      <c r="AI3" s="135">
        <f>IF($Z3=$Z5,$V3-$T5,0)</f>
        <v>0</v>
      </c>
      <c r="AJ3" s="135">
        <f>SUM(AF3:AI3)</f>
        <v>0</v>
      </c>
      <c r="AK3" s="134"/>
      <c r="AL3" s="135">
        <f>IF($Z3=$Z2,$S7-$T6,0)</f>
        <v>0</v>
      </c>
      <c r="AM3" s="135"/>
      <c r="AN3" s="135">
        <f>IF($Z3=$Z4,$U7-$T8,0)</f>
        <v>0</v>
      </c>
      <c r="AO3" s="135">
        <f>IF($Z3=$Z5,$V7-$T9,0)</f>
        <v>0</v>
      </c>
      <c r="AP3" s="135">
        <f>SUM(AL3:AO3)</f>
        <v>0</v>
      </c>
      <c r="AQ3" s="135">
        <f>IF($Z3=$Z2,$S7,0)</f>
        <v>0</v>
      </c>
      <c r="AR3" s="135"/>
      <c r="AS3" s="135">
        <f>IF($Z3=$Z4,$U7,0)</f>
        <v>4</v>
      </c>
      <c r="AT3" s="135">
        <f>IF($Z3=$Z5,$V7,0)</f>
        <v>0</v>
      </c>
      <c r="AU3" s="135">
        <f>SUM(AQ3:AT3)</f>
        <v>4</v>
      </c>
      <c r="AV3" s="184">
        <f>IF(AND(COUNTIF(K3:K8,$B$63)=COUNTA(H3:H8),COUNTIF(K3:K8,$B$63)=COUNTA(J3:J8)),IF(AU3=AU2,S7-T6,IF(AU3=AU4,U7-T8,IF(AU3=AU5,V7-T9,3))),3)</f>
        <v>0</v>
      </c>
      <c r="AW3" s="133"/>
      <c r="AX3" s="24">
        <f>IF(OR('em16zufall'!H3="",'em16zufall'!J3=""),0,IF(H3-J3='em16zufall'!H3-'em16zufall'!J3,3,IF(OR(AND(H3-J3&gt;4,'em16zufall'!H3-'em16zufall'!J3&gt;4),AND(J3-H3&gt;4,'em16zufall'!J3-'em16zufall'!H3&gt;4)),2,IF(OR(AND(H3=J3,'em16zufall'!H3='em16zufall'!J3),(H3-J3)*('em16zufall'!H3-'em16zufall'!J3)&gt;0),1,0))))+IF(H3='em16zufall'!H3,1,0)+IF(J3='em16zufall'!J3,1,0)</f>
        <v>0</v>
      </c>
      <c r="AY3" s="24" t="str">
        <f>IF('em16zufall'!K3='em16zufall'!$B$63,'em16zufall'!K3,"")</f>
        <v>ok</v>
      </c>
      <c r="BA3" s="2">
        <v>7</v>
      </c>
      <c r="BB3" s="7">
        <f>'em16zufall'!BB3</f>
        <v>42534.625</v>
      </c>
      <c r="BC3" s="7" t="str">
        <f>'em16zufall'!BC3</f>
        <v>Toulouse</v>
      </c>
      <c r="BD3" s="125" t="str">
        <f>BY2</f>
        <v>Spanien</v>
      </c>
      <c r="BE3" s="80" t="s">
        <v>21</v>
      </c>
      <c r="BF3" s="125" t="str">
        <f>BY3</f>
        <v>Tschechien</v>
      </c>
      <c r="BG3" s="124"/>
      <c r="BH3" s="136">
        <f aca="true" ca="1" t="shared" si="2" ref="BH3:BH8">IF($B$64="",1,INT(RAND()*5)+INT(RAND()*3)*INT(RAND()*2))</f>
        <v>2</v>
      </c>
      <c r="BI3" s="164" t="s">
        <v>22</v>
      </c>
      <c r="BJ3" s="136">
        <f aca="true" ca="1" t="shared" si="3" ref="BJ3:BJ8">IF($B$64="",0,INT(RAND()*5)+INT(RAND()*3)*INT(RAND()*2))</f>
        <v>3</v>
      </c>
      <c r="BK3" s="1" t="s">
        <v>23</v>
      </c>
      <c r="BL3" s="1"/>
      <c r="BM3" s="11" t="str">
        <f>VLOOKUP(2,$BX$2:$CC$5,2,FALSE)</f>
        <v>Tschechien</v>
      </c>
      <c r="BN3" s="2">
        <f>VLOOKUP(2,$BX$2:$CC$5,3,FALSE)</f>
        <v>7</v>
      </c>
      <c r="BO3" s="2">
        <f>VLOOKUP(2,$BX$2:$CC$5,4,FALSE)</f>
        <v>10</v>
      </c>
      <c r="BP3" s="2">
        <f>VLOOKUP(2,$BX$2:$CC$5,5,FALSE)</f>
        <v>8</v>
      </c>
      <c r="BQ3" s="2">
        <f>VLOOKUP(2,$BX$2:$CC$5,6,FALSE)</f>
        <v>2</v>
      </c>
      <c r="BS3" s="130">
        <f>IF(BJ3="",0,IF(BK3=$B$63,IF(BH3&lt;BJ3,3,IF(BH3=BJ3,1,0)),0))</f>
        <v>3</v>
      </c>
      <c r="BT3" s="129"/>
      <c r="BU3" s="130">
        <f>IF(BH8="",0,IF(BK8=$B$63,IF(BH8&gt;BJ8,3,IF(BH8=BJ8,1,0)),0))</f>
        <v>3</v>
      </c>
      <c r="BV3" s="130">
        <f>IF(BH6="",0,IF(BK6=$B$63,IF(BH6&gt;BJ6,3,IF(BH6=BJ6,1,0)),0))</f>
        <v>1</v>
      </c>
      <c r="BW3" s="1"/>
      <c r="BX3" s="185">
        <f>RANK(CD3,CD2:CD5)+COUNTIF(CD2:CD3,CD3)-1</f>
        <v>2</v>
      </c>
      <c r="BY3" s="132" t="str">
        <f>'em16zufall'!BY3</f>
        <v>Tschechien</v>
      </c>
      <c r="BZ3" s="1">
        <f>SUM(BS3:BV3)</f>
        <v>7</v>
      </c>
      <c r="CA3" s="1">
        <f>SUM(BS7:BV7)</f>
        <v>10</v>
      </c>
      <c r="CB3" s="1">
        <f>SUM(BT6:BT9)</f>
        <v>8</v>
      </c>
      <c r="CC3" s="1">
        <f>CA3-CB3</f>
        <v>2</v>
      </c>
      <c r="CD3" s="33">
        <f>IF(BP$8="",CE3*10000000000000000+BZ3*100000000000000+CC3*1000000000000+CA3*10000000000+CK3*100000000+CJ3*1000000+CP3*10000+CU3*100+CV3,CE3*10000000000000000+BZ3*100000000000000+CK3*1000000000000+CJ3*10000000000+CP3*100000000+CU3*1000000+CC3*10000+CA3*100+CV3)</f>
        <v>702100000000400</v>
      </c>
      <c r="CE3" s="5"/>
      <c r="CF3" s="34">
        <f>IF($BZ3=$BZ2,$BS3-$BT2,0)</f>
        <v>0</v>
      </c>
      <c r="CG3" s="34"/>
      <c r="CH3" s="34">
        <f>IF($BZ3=$BZ4,$BU3-$BT4,0)</f>
        <v>0</v>
      </c>
      <c r="CI3" s="34">
        <f>IF($BZ3=$BZ5,$BV3-$BT5,0)</f>
        <v>0</v>
      </c>
      <c r="CJ3" s="34">
        <f>SUM(CF3:CI3)</f>
        <v>0</v>
      </c>
      <c r="CK3" s="5"/>
      <c r="CL3" s="34">
        <f>IF($BZ3=$BZ2,$BS7-$BT6,0)</f>
        <v>0</v>
      </c>
      <c r="CM3" s="34"/>
      <c r="CN3" s="34">
        <f>IF($BZ3=$BZ4,$BU7-$BT8,0)</f>
        <v>0</v>
      </c>
      <c r="CO3" s="34">
        <f>IF($BZ3=$BZ5,$BV7-$BT9,0)</f>
        <v>0</v>
      </c>
      <c r="CP3" s="34">
        <f>SUM(CL3:CO3)</f>
        <v>0</v>
      </c>
      <c r="CQ3" s="34">
        <f>IF($BZ3=$BZ2,$BS7,0)</f>
        <v>0</v>
      </c>
      <c r="CR3" s="34"/>
      <c r="CS3" s="34">
        <f>IF($BZ3=$BZ4,$BU7,0)</f>
        <v>0</v>
      </c>
      <c r="CT3" s="34">
        <f>IF($BZ3=$BZ5,$BV7,0)</f>
        <v>4</v>
      </c>
      <c r="CU3" s="34">
        <f>SUM(CQ3:CT3)</f>
        <v>4</v>
      </c>
      <c r="CV3" s="184">
        <f>IF(AND(COUNTIF(BK3:BK8,$B$63)=COUNTA(BH3:BH8),COUNTIF(BK3:BK8,$B$63)=COUNTA(BJ3:BJ8)),IF(CU3=CU2,BS7-BT6,IF(CU3=CU4,BU7-BT8,IF(CU3=CU5,BV7-BT9,3))),3)</f>
        <v>0</v>
      </c>
      <c r="CX3" s="24">
        <f>IF(OR('em16zufall'!BH3="",'em16zufall'!BJ3=""),0,IF(BH3-BJ3='em16zufall'!BH3-'em16zufall'!BJ3,3,IF(OR(AND(BH3-BJ3&gt;4,'em16zufall'!BH3-'em16zufall'!BJ3&gt;4),AND(BJ3-BH3&gt;4,'em16zufall'!BJ3-'em16zufall'!BH3&gt;4)),2,IF(OR(AND(BH3=BJ3,'em16zufall'!BH3='em16zufall'!BJ3),(BH3-BJ3)*('em16zufall'!BH3-'em16zufall'!BJ3)&gt;0),1,0))))+IF(BH3='em16zufall'!BH3,1,0)+IF(BJ3='em16zufall'!BJ3,1,0)</f>
        <v>0</v>
      </c>
      <c r="CY3" s="24" t="str">
        <f>IF('em16zufall'!BK3='em16zufall'!$B$63,'em16zufall'!BK3,"")</f>
        <v>ok</v>
      </c>
      <c r="DA3" s="165" t="s">
        <v>147</v>
      </c>
      <c r="DB3" s="166">
        <f>DB7*DB4</f>
        <v>180</v>
      </c>
    </row>
    <row r="4" spans="1:106" ht="12.75">
      <c r="A4" s="2">
        <f>A3+1</f>
        <v>2</v>
      </c>
      <c r="B4" s="7">
        <f>'em16zufall'!B4</f>
        <v>42532.625</v>
      </c>
      <c r="C4" s="7" t="str">
        <f>'em16zufall'!C4</f>
        <v>Lens</v>
      </c>
      <c r="D4" s="125" t="str">
        <f>Y4</f>
        <v>Albanien</v>
      </c>
      <c r="E4" s="125" t="s">
        <v>21</v>
      </c>
      <c r="F4" s="125" t="str">
        <f>Y5</f>
        <v>Schweiz</v>
      </c>
      <c r="G4" s="125"/>
      <c r="H4" s="136">
        <f ca="1" t="shared" si="0"/>
        <v>4</v>
      </c>
      <c r="I4" s="160" t="s">
        <v>22</v>
      </c>
      <c r="J4" s="136">
        <f ca="1" t="shared" si="1"/>
        <v>3</v>
      </c>
      <c r="K4" s="1" t="s">
        <v>23</v>
      </c>
      <c r="L4" s="1"/>
      <c r="M4" s="11" t="str">
        <f>VLOOKUP(3,$X$2:$AC$5,2,FALSE)</f>
        <v>Schweiz</v>
      </c>
      <c r="N4" s="2">
        <f>VLOOKUP(3,$X$2:$AC$5,3,FALSE)</f>
        <v>3</v>
      </c>
      <c r="O4" s="2">
        <f>VLOOKUP(3,$X$2:$AC$5,4,FALSE)</f>
        <v>9</v>
      </c>
      <c r="P4" s="2">
        <f>VLOOKUP(3,$X$2:$AC$5,5,FALSE)</f>
        <v>10</v>
      </c>
      <c r="Q4" s="2">
        <f>VLOOKUP(3,$X$2:$AC$5,6,FALSE)</f>
        <v>-1</v>
      </c>
      <c r="S4" s="130">
        <f>IF(J5="",0,IF(K5=$B$63,IF(H5&lt;J5,3,IF(H5=J5,1,0)),0))</f>
        <v>1</v>
      </c>
      <c r="T4" s="130">
        <f>IF(J8="",0,IF(K8=$B$63,IF(H8&lt;J8,3,IF(H8=J8,1,0)),0))</f>
        <v>1</v>
      </c>
      <c r="U4" s="129"/>
      <c r="V4" s="130">
        <f>IF(H4="",0,IF(K4=$B$63,IF(H4&gt;J4,3,IF(H4=J4,1,0)),0))</f>
        <v>3</v>
      </c>
      <c r="W4" s="131"/>
      <c r="X4" s="185">
        <f>RANK(AD4,AD2:AD5)+COUNTIF(AD2:AD4,AD4)-1</f>
        <v>2</v>
      </c>
      <c r="Y4" s="132" t="str">
        <f>'em16zufall'!Y4</f>
        <v>Albanien</v>
      </c>
      <c r="Z4" s="131">
        <f>SUM(S4:V4)</f>
        <v>5</v>
      </c>
      <c r="AA4" s="131">
        <f>SUM(S8:V8)</f>
        <v>8</v>
      </c>
      <c r="AB4" s="131">
        <f>SUM(U6:U9)</f>
        <v>7</v>
      </c>
      <c r="AC4" s="131">
        <f>AA4-AB4</f>
        <v>1</v>
      </c>
      <c r="AD4" s="133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501080000000400</v>
      </c>
      <c r="AE4" s="134"/>
      <c r="AF4" s="135">
        <f>IF($Z4=$Z2,$S4-$U2,0)</f>
        <v>0</v>
      </c>
      <c r="AG4" s="135">
        <f>IF($Z4=$Z3,$T4-$U3,0)</f>
        <v>0</v>
      </c>
      <c r="AH4" s="135"/>
      <c r="AI4" s="135">
        <f>IF($Z4=$Z5,$V4-$U5,0)</f>
        <v>0</v>
      </c>
      <c r="AJ4" s="135">
        <f>SUM(AF4:AI4)</f>
        <v>0</v>
      </c>
      <c r="AK4" s="134"/>
      <c r="AL4" s="135">
        <f>IF($Z4=$Z2,$S8-$U6,0)</f>
        <v>0</v>
      </c>
      <c r="AM4" s="135">
        <f>IF($Z4=$Z3,$T8-$U7,0)</f>
        <v>0</v>
      </c>
      <c r="AN4" s="135"/>
      <c r="AO4" s="135">
        <f>IF($Z4=$Z5,$V8-$U9,0)</f>
        <v>0</v>
      </c>
      <c r="AP4" s="135">
        <f>SUM(AL4:AO4)</f>
        <v>0</v>
      </c>
      <c r="AQ4" s="135">
        <f>IF($Z4=$Z2,$S8,0)</f>
        <v>0</v>
      </c>
      <c r="AR4" s="135">
        <f>IF($Z4=$Z3,$T8,0)</f>
        <v>4</v>
      </c>
      <c r="AS4" s="135"/>
      <c r="AT4" s="135">
        <f>IF($Z4=$Z5,$V8,0)</f>
        <v>0</v>
      </c>
      <c r="AU4" s="135">
        <f>SUM(AQ4:AT4)</f>
        <v>4</v>
      </c>
      <c r="AV4" s="184">
        <f>IF(AND(COUNTIF(K3:K8,$B$63)=COUNTA(H3:H8),COUNTIF(K3:K8,$B$63)=COUNTA(J3:J8)),IF(AU4=AU2,S8-U6,IF(AU4=AU3,T8-U7,IF(AU4=AU5,V8-U9,2))),2)</f>
        <v>0</v>
      </c>
      <c r="AW4" s="133"/>
      <c r="AX4" s="24">
        <f>IF(OR('em16zufall'!H4="",'em16zufall'!J4=""),0,IF(H4-J4='em16zufall'!H4-'em16zufall'!J4,3,IF(OR(AND(H4-J4&gt;4,'em16zufall'!H4-'em16zufall'!J4&gt;4),AND(J4-H4&gt;4,'em16zufall'!J4-'em16zufall'!H4&gt;4)),2,IF(OR(AND(H4=J4,'em16zufall'!H4='em16zufall'!J4),(H4-J4)*('em16zufall'!H4-'em16zufall'!J4)&gt;0),1,0))))+IF(H4='em16zufall'!H4,1,0)+IF(J4='em16zufall'!J4,1,0)</f>
        <v>3</v>
      </c>
      <c r="AY4" s="24" t="str">
        <f>IF('em16zufall'!K4='em16zufall'!$B$63,'em16zufall'!K4,"")</f>
        <v>ok</v>
      </c>
      <c r="BA4" s="2">
        <v>8</v>
      </c>
      <c r="BB4" s="7">
        <f>'em16zufall'!BB4</f>
        <v>42533.625</v>
      </c>
      <c r="BC4" s="7" t="str">
        <f>'em16zufall'!BC4</f>
        <v>Paris</v>
      </c>
      <c r="BD4" s="125" t="str">
        <f>BY4</f>
        <v>Türkei</v>
      </c>
      <c r="BE4" s="80" t="s">
        <v>21</v>
      </c>
      <c r="BF4" s="125" t="str">
        <f>BY5</f>
        <v>Kroatien</v>
      </c>
      <c r="BG4" s="124"/>
      <c r="BH4" s="137">
        <f ca="1" t="shared" si="2"/>
        <v>1</v>
      </c>
      <c r="BI4" s="164" t="s">
        <v>22</v>
      </c>
      <c r="BJ4" s="136">
        <f ca="1" t="shared" si="3"/>
        <v>5</v>
      </c>
      <c r="BK4" s="1" t="s">
        <v>23</v>
      </c>
      <c r="BL4" s="1"/>
      <c r="BM4" s="11" t="str">
        <f>VLOOKUP(3,$BX$2:$CC$5,2,FALSE)</f>
        <v>Spanien</v>
      </c>
      <c r="BN4" s="2">
        <f>VLOOKUP(3,$BX$2:$CC$5,3,FALSE)</f>
        <v>3</v>
      </c>
      <c r="BO4" s="2">
        <f>VLOOKUP(3,$BX$2:$CC$5,4,FALSE)</f>
        <v>6</v>
      </c>
      <c r="BP4" s="2">
        <f>VLOOKUP(3,$BX$2:$CC$5,5,FALSE)</f>
        <v>7</v>
      </c>
      <c r="BQ4" s="2">
        <f>VLOOKUP(3,$BX$2:$CC$5,6,FALSE)</f>
        <v>-1</v>
      </c>
      <c r="BS4" s="130">
        <f>IF(BJ5="",0,IF(BK5=$B$63,IF(BH5&lt;BJ5,3,IF(BH5=BJ5,1,0)),0))</f>
        <v>0</v>
      </c>
      <c r="BT4" s="130">
        <f>IF(BJ8="",0,IF(BK8=$B$63,IF(BH8&lt;BJ8,3,IF(BH8=BJ8,1,0)),0))</f>
        <v>0</v>
      </c>
      <c r="BU4" s="129"/>
      <c r="BV4" s="130">
        <f>IF(BH4="",0,IF(BK4=$B$63,IF(BH4&gt;BJ4,3,IF(BH4=BJ4,1,0)),0))</f>
        <v>0</v>
      </c>
      <c r="BW4" s="1"/>
      <c r="BX4" s="185">
        <f>RANK(CD4,CD2:CD5)+COUNTIF(CD2:CD4,CD4)-1</f>
        <v>4</v>
      </c>
      <c r="BY4" s="132" t="str">
        <f>'em16zufall'!BY4</f>
        <v>Türkei</v>
      </c>
      <c r="BZ4" s="1">
        <f>SUM(BS4:BV4)</f>
        <v>0</v>
      </c>
      <c r="CA4" s="1">
        <f>SUM(BS8:BV8)</f>
        <v>3</v>
      </c>
      <c r="CB4" s="1">
        <f>SUM(BU6:BU9)</f>
        <v>12</v>
      </c>
      <c r="CC4" s="1">
        <f>CA4-CB4</f>
        <v>-9</v>
      </c>
      <c r="CD4" s="33">
        <f>IF(BP$8="",CE4*10000000000000000+BZ4*100000000000000+CC4*1000000000000+CA4*10000000000+CK4*100000000+CJ4*1000000+CP4*10000+CU4*100+CV4,CE4*10000000000000000+BZ4*100000000000000+CK4*1000000000000+CJ4*10000000000+CP4*100000000+CU4*1000000+CC4*10000+CA4*100+CV4)</f>
        <v>-8970000000004</v>
      </c>
      <c r="CE4" s="5"/>
      <c r="CF4" s="34">
        <f>IF($BZ4=$BZ2,$BS4-$BU2,0)</f>
        <v>0</v>
      </c>
      <c r="CG4" s="34">
        <f>IF($BZ4=$BZ3,$BT4-$BU3,0)</f>
        <v>0</v>
      </c>
      <c r="CH4" s="34"/>
      <c r="CI4" s="34">
        <f>IF($BZ4=$BZ5,$BV4-$BU5,0)</f>
        <v>0</v>
      </c>
      <c r="CJ4" s="34">
        <f>SUM(CF4:CI4)</f>
        <v>0</v>
      </c>
      <c r="CK4" s="5"/>
      <c r="CL4" s="34">
        <f>IF($BZ4=$BZ2,$BS8-$BU6,0)</f>
        <v>0</v>
      </c>
      <c r="CM4" s="34">
        <f>IF($BZ4=$BZ3,$BT8-$BU7,0)</f>
        <v>0</v>
      </c>
      <c r="CN4" s="34"/>
      <c r="CO4" s="34">
        <f>IF($BZ4=$BZ5,$BV8-$BU9,0)</f>
        <v>0</v>
      </c>
      <c r="CP4" s="34">
        <f>SUM(CL4:CO4)</f>
        <v>0</v>
      </c>
      <c r="CQ4" s="34">
        <f>IF($BZ4=$BZ2,$BS8,0)</f>
        <v>0</v>
      </c>
      <c r="CR4" s="34">
        <f>IF($BZ4=$BZ3,$BT8,0)</f>
        <v>0</v>
      </c>
      <c r="CS4" s="34"/>
      <c r="CT4" s="34">
        <f>IF($BZ4=$BZ5,$BV8,0)</f>
        <v>0</v>
      </c>
      <c r="CU4" s="34">
        <f>SUM(CQ4:CT4)</f>
        <v>0</v>
      </c>
      <c r="CV4" s="184">
        <f>IF(AND(COUNTIF(BK3:BK8,$B$63)=COUNTA(BH3:BH8),COUNTIF(BK3:BK8,$B$63)=COUNTA(BJ3:BJ8)),IF(CU4=CU2,BS8-BU6,IF(CU4=CU3,BT8-BU7,IF(CU4=CU5,BV8-BU9,2))),2)</f>
        <v>-4</v>
      </c>
      <c r="CX4" s="24">
        <f>IF(OR('em16zufall'!BH4="",'em16zufall'!BJ4=""),0,IF(BH4-BJ4='em16zufall'!BH4-'em16zufall'!BJ4,3,IF(OR(AND(BH4-BJ4&gt;4,'em16zufall'!BH4-'em16zufall'!BJ4&gt;4),AND(BJ4-BH4&gt;4,'em16zufall'!BJ4-'em16zufall'!BH4&gt;4)),2,IF(OR(AND(BH4=BJ4,'em16zufall'!BH4='em16zufall'!BJ4),(BH4-BJ4)*('em16zufall'!BH4-'em16zufall'!BJ4)&gt;0),1,0))))+IF(BH4='em16zufall'!BH4,1,0)+IF(BJ4='em16zufall'!BJ4,1,0)</f>
        <v>1</v>
      </c>
      <c r="CY4" s="24" t="str">
        <f>IF('em16zufall'!BK4='em16zufall'!$B$63,'em16zufall'!BK4,"")</f>
        <v>ok</v>
      </c>
      <c r="DA4" s="167" t="s">
        <v>148</v>
      </c>
      <c r="DB4" s="162">
        <v>5</v>
      </c>
    </row>
    <row r="5" spans="1:106" ht="12.75">
      <c r="A5" s="2">
        <f>A3+12</f>
        <v>13</v>
      </c>
      <c r="B5" s="7">
        <f>'em16zufall'!B5</f>
        <v>42536.875</v>
      </c>
      <c r="C5" s="7" t="str">
        <f>'em16zufall'!C5</f>
        <v>Marseille</v>
      </c>
      <c r="D5" s="125" t="str">
        <f>Y2</f>
        <v>Frankreich</v>
      </c>
      <c r="E5" s="125" t="s">
        <v>21</v>
      </c>
      <c r="F5" s="125" t="str">
        <f>Y4</f>
        <v>Albanien</v>
      </c>
      <c r="G5" s="125"/>
      <c r="H5" s="136">
        <f ca="1" t="shared" si="0"/>
        <v>0</v>
      </c>
      <c r="I5" s="160" t="s">
        <v>22</v>
      </c>
      <c r="J5" s="136">
        <f ca="1" t="shared" si="1"/>
        <v>0</v>
      </c>
      <c r="K5" s="1" t="s">
        <v>23</v>
      </c>
      <c r="L5" s="1"/>
      <c r="M5" s="11" t="str">
        <f>VLOOKUP(4,$X$2:$AC$5,2,FALSE)</f>
        <v>Frankreich</v>
      </c>
      <c r="N5" s="2">
        <f>VLOOKUP(4,$X$2:$AC$5,3,FALSE)</f>
        <v>2</v>
      </c>
      <c r="O5" s="2">
        <f>VLOOKUP(4,$X$2:$AC$5,4,FALSE)</f>
        <v>8</v>
      </c>
      <c r="P5" s="2">
        <f>VLOOKUP(4,$X$2:$AC$5,5,FALSE)</f>
        <v>9</v>
      </c>
      <c r="Q5" s="2">
        <f>VLOOKUP(4,$X$2:$AC$5,6,FALSE)</f>
        <v>-1</v>
      </c>
      <c r="S5" s="130">
        <f>IF(H7="",0,IF(K7=$B$63,IF(H7&gt;J7,3,IF(H7=J7,1,0)),0))</f>
        <v>3</v>
      </c>
      <c r="T5" s="130">
        <f>IF(J6="",0,IF(K6=$B$63,IF(H6&lt;J6,3,IF(H6=J6,1,0)),0))</f>
        <v>0</v>
      </c>
      <c r="U5" s="130">
        <f>IF(J4="",0,IF(K4=$B$63,IF(H4&lt;J4,3,IF(H4=J4,1,0)),0))</f>
        <v>0</v>
      </c>
      <c r="V5" s="129"/>
      <c r="W5" s="131"/>
      <c r="X5" s="185">
        <f>RANK(AD5,AD2:AD5)+COUNTIF(AD2:AD5,AD5)-1</f>
        <v>3</v>
      </c>
      <c r="Y5" s="132" t="str">
        <f>'em16zufall'!Y5</f>
        <v>Schweiz</v>
      </c>
      <c r="Z5" s="131">
        <f>SUM(S5:V5)</f>
        <v>3</v>
      </c>
      <c r="AA5" s="131">
        <f>SUM(S9:V9)</f>
        <v>9</v>
      </c>
      <c r="AB5" s="131">
        <f>SUM(V6:V9)</f>
        <v>10</v>
      </c>
      <c r="AC5" s="131">
        <f>AA5-AB5</f>
        <v>-1</v>
      </c>
      <c r="AD5" s="133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299090000000001</v>
      </c>
      <c r="AE5" s="134"/>
      <c r="AF5" s="135">
        <f>IF($Z5=$Z2,$S5-$V2,0)</f>
        <v>0</v>
      </c>
      <c r="AG5" s="135">
        <f>IF($Z5=$Z3,$T5-$V3,0)</f>
        <v>0</v>
      </c>
      <c r="AH5" s="135">
        <f>IF($Z5=$Z4,$U5-$V4,0)</f>
        <v>0</v>
      </c>
      <c r="AI5" s="135"/>
      <c r="AJ5" s="135">
        <f>SUM(AF5:AI5)</f>
        <v>0</v>
      </c>
      <c r="AK5" s="134"/>
      <c r="AL5" s="135">
        <f>IF($Z5=$Z2,$S9-$V6,0)</f>
        <v>0</v>
      </c>
      <c r="AM5" s="135">
        <f>IF($Z5=$Z3,$T9-$V7,0)</f>
        <v>0</v>
      </c>
      <c r="AN5" s="135">
        <f>IF($Z5=$Z4,$U9-$V8,0)</f>
        <v>0</v>
      </c>
      <c r="AO5" s="135"/>
      <c r="AP5" s="135">
        <f>SUM(AL5:AO5)</f>
        <v>0</v>
      </c>
      <c r="AQ5" s="135">
        <f>IF($Z5=$Z2,$S9,0)</f>
        <v>0</v>
      </c>
      <c r="AR5" s="135">
        <f>IF($Z5=$Z3,$T9,0)</f>
        <v>0</v>
      </c>
      <c r="AS5" s="135">
        <f>IF($Z5=$Z4,$U9,0)</f>
        <v>0</v>
      </c>
      <c r="AT5" s="135"/>
      <c r="AU5" s="135">
        <f>SUM(AQ5:AT5)</f>
        <v>0</v>
      </c>
      <c r="AV5" s="184">
        <f>IF(AND(COUNTIF(K3:K8,$B$63)=COUNTA(H3:H8),COUNTIF(K3:K8,$B$63)=COUNTA(J3:J8)),IF(AU5=AU2,S9-V6,IF(AU5=AU3,T9-V7,IF(AU5=AU4,U9-V8,1))),1)</f>
        <v>1</v>
      </c>
      <c r="AW5" s="133"/>
      <c r="AX5" s="24">
        <f>IF(OR('em16zufall'!H5="",'em16zufall'!J5=""),0,IF(H5-J5='em16zufall'!H5-'em16zufall'!J5,3,IF(OR(AND(H5-J5&gt;4,'em16zufall'!H5-'em16zufall'!J5&gt;4),AND(J5-H5&gt;4,'em16zufall'!J5-'em16zufall'!H5&gt;4)),2,IF(OR(AND(H5=J5,'em16zufall'!H5='em16zufall'!J5),(H5-J5)*('em16zufall'!H5-'em16zufall'!J5)&gt;0),1,0))))+IF(H5='em16zufall'!H5,1,0)+IF(J5='em16zufall'!J5,1,0)</f>
        <v>1</v>
      </c>
      <c r="AY5" s="24" t="str">
        <f>IF('em16zufall'!K5='em16zufall'!$B$63,'em16zufall'!K5,"")</f>
        <v>ok</v>
      </c>
      <c r="BA5" s="2">
        <f>BA3+12</f>
        <v>19</v>
      </c>
      <c r="BB5" s="7">
        <f>'em16zufall'!BB5</f>
        <v>42538.875</v>
      </c>
      <c r="BC5" s="7" t="str">
        <f>'em16zufall'!BC5</f>
        <v>Nizza</v>
      </c>
      <c r="BD5" s="125" t="str">
        <f>BY2</f>
        <v>Spanien</v>
      </c>
      <c r="BE5" s="80" t="s">
        <v>21</v>
      </c>
      <c r="BF5" s="125" t="str">
        <f>BY4</f>
        <v>Türkei</v>
      </c>
      <c r="BG5" s="124"/>
      <c r="BH5" s="137">
        <f ca="1" t="shared" si="2"/>
        <v>4</v>
      </c>
      <c r="BI5" s="164" t="s">
        <v>22</v>
      </c>
      <c r="BJ5" s="136">
        <f ca="1" t="shared" si="3"/>
        <v>0</v>
      </c>
      <c r="BK5" s="1" t="s">
        <v>23</v>
      </c>
      <c r="BL5" s="1"/>
      <c r="BM5" s="11" t="str">
        <f>VLOOKUP(4,$BX$2:$CC$5,2,FALSE)</f>
        <v>Türkei</v>
      </c>
      <c r="BN5" s="2">
        <f>VLOOKUP(4,$BX$2:$CC$5,3,FALSE)</f>
        <v>0</v>
      </c>
      <c r="BO5" s="2">
        <f>VLOOKUP(4,$BX$2:$CC$5,4,FALSE)</f>
        <v>3</v>
      </c>
      <c r="BP5" s="2">
        <f>VLOOKUP(4,$BX$2:$CC$5,5,FALSE)</f>
        <v>12</v>
      </c>
      <c r="BQ5" s="2">
        <f>VLOOKUP(4,$BX$2:$CC$5,6,FALSE)</f>
        <v>-9</v>
      </c>
      <c r="BS5" s="130">
        <f>IF(BH7="",0,IF(BK7=$B$63,IF(BH7&gt;BJ7,3,IF(BH7=BJ7,1,0)),0))</f>
        <v>3</v>
      </c>
      <c r="BT5" s="130">
        <f>IF(BJ6="",0,IF(BK6=$B$63,IF(BH6&lt;BJ6,3,IF(BH6=BJ6,1,0)),0))</f>
        <v>1</v>
      </c>
      <c r="BU5" s="130">
        <f>IF(BJ4="",0,IF(BK4=$B$63,IF(BH4&lt;BJ4,3,IF(BH4=BJ4,1,0)),0))</f>
        <v>3</v>
      </c>
      <c r="BV5" s="129"/>
      <c r="BW5" s="1"/>
      <c r="BX5" s="185">
        <f>RANK(CD5,CD2:CD5)+COUNTIF(CD2:CD5,CD5)-1</f>
        <v>1</v>
      </c>
      <c r="BY5" s="132" t="str">
        <f>'em16zufall'!BY5</f>
        <v>Kroatien</v>
      </c>
      <c r="BZ5" s="1">
        <f>SUM(BS5:BV5)</f>
        <v>7</v>
      </c>
      <c r="CA5" s="1">
        <f>SUM(BS9:BV9)</f>
        <v>13</v>
      </c>
      <c r="CB5" s="1">
        <f>SUM(BV6:BV9)</f>
        <v>5</v>
      </c>
      <c r="CC5" s="1">
        <f>CA5-CB5</f>
        <v>8</v>
      </c>
      <c r="CD5" s="33">
        <f>IF(BP$8="",CE5*10000000000000000+BZ5*100000000000000+CC5*1000000000000+CA5*10000000000+CK5*100000000+CJ5*1000000+CP5*10000+CU5*100+CV5,CE5*10000000000000000+BZ5*100000000000000+CK5*1000000000000+CJ5*10000000000+CP5*100000000+CU5*1000000+CC5*10000+CA5*100+CV5)</f>
        <v>708130000000400</v>
      </c>
      <c r="CE5" s="5"/>
      <c r="CF5" s="34">
        <f>IF($BZ5=$BZ2,$BS5-$BV2,0)</f>
        <v>0</v>
      </c>
      <c r="CG5" s="34">
        <f>IF($BZ5=$BZ3,$BT5-$BV3,0)</f>
        <v>0</v>
      </c>
      <c r="CH5" s="34">
        <f>IF($BZ5=$BZ4,$BU5-$BV4,0)</f>
        <v>0</v>
      </c>
      <c r="CI5" s="34"/>
      <c r="CJ5" s="34">
        <f>SUM(CF5:CI5)</f>
        <v>0</v>
      </c>
      <c r="CK5" s="5"/>
      <c r="CL5" s="34">
        <f>IF($BZ5=$BZ2,$BS9-$BV6,0)</f>
        <v>0</v>
      </c>
      <c r="CM5" s="34">
        <f>IF($BZ5=$BZ3,$BT9-$BV7,0)</f>
        <v>0</v>
      </c>
      <c r="CN5" s="34">
        <f>IF($BZ5=$BZ4,$BU9-$BV8,0)</f>
        <v>0</v>
      </c>
      <c r="CO5" s="34"/>
      <c r="CP5" s="34">
        <f>SUM(CL5:CO5)</f>
        <v>0</v>
      </c>
      <c r="CQ5" s="34">
        <f>IF($BZ5=$BZ2,$BS9,0)</f>
        <v>0</v>
      </c>
      <c r="CR5" s="34">
        <f>IF($BZ5=$BZ3,$BT9,0)</f>
        <v>4</v>
      </c>
      <c r="CS5" s="34">
        <f>IF($BZ5=$BZ4,$BU9,0)</f>
        <v>0</v>
      </c>
      <c r="CT5" s="34"/>
      <c r="CU5" s="34">
        <f>SUM(CQ5:CT5)</f>
        <v>4</v>
      </c>
      <c r="CV5" s="184">
        <f>IF(AND(COUNTIF(BK3:BK8,$B$63)=COUNTA(BH3:BH8),COUNTIF(BK3:BK8,$B$63)=COUNTA(BJ3:BJ8)),IF(CU5=CU2,BS9-BV6,IF(CU5=CU3,BT9-BV7,IF(CU5=CU4,BU9-BV8,1))),1)</f>
        <v>0</v>
      </c>
      <c r="CX5" s="24">
        <f>IF(OR('em16zufall'!BH5="",'em16zufall'!BJ5=""),0,IF(BH5-BJ5='em16zufall'!BH5-'em16zufall'!BJ5,3,IF(OR(AND(BH5-BJ5&gt;4,'em16zufall'!BH5-'em16zufall'!BJ5&gt;4),AND(BJ5-BH5&gt;4,'em16zufall'!BJ5-'em16zufall'!BH5&gt;4)),2,IF(OR(AND(BH5=BJ5,'em16zufall'!BH5='em16zufall'!BJ5),(BH5-BJ5)*('em16zufall'!BH5-'em16zufall'!BJ5)&gt;0),1,0))))+IF(BH5='em16zufall'!BH5,1,0)+IF(BJ5='em16zufall'!BJ5,1,0)</f>
        <v>2</v>
      </c>
      <c r="CY5" s="24" t="str">
        <f>IF('em16zufall'!BK5='em16zufall'!$B$63,'em16zufall'!BK5,"")</f>
        <v>ok</v>
      </c>
      <c r="DA5" s="167" t="s">
        <v>149</v>
      </c>
      <c r="DB5" s="162">
        <v>3</v>
      </c>
    </row>
    <row r="6" spans="1:106" ht="12.75">
      <c r="A6" s="2">
        <f>A4+12</f>
        <v>14</v>
      </c>
      <c r="B6" s="7">
        <f>'em16zufall'!B6</f>
        <v>42536.75</v>
      </c>
      <c r="C6" s="7" t="str">
        <f>'em16zufall'!C6</f>
        <v>Paris</v>
      </c>
      <c r="D6" s="125" t="str">
        <f>Y3</f>
        <v>Rumänien</v>
      </c>
      <c r="E6" s="125" t="s">
        <v>21</v>
      </c>
      <c r="F6" s="125" t="str">
        <f>Y5</f>
        <v>Schweiz</v>
      </c>
      <c r="G6" s="125"/>
      <c r="H6" s="136">
        <f ca="1" t="shared" si="0"/>
        <v>4</v>
      </c>
      <c r="I6" s="160" t="s">
        <v>22</v>
      </c>
      <c r="J6" s="136">
        <f ca="1" t="shared" si="1"/>
        <v>3</v>
      </c>
      <c r="K6" s="1" t="s">
        <v>23</v>
      </c>
      <c r="L6" s="1"/>
      <c r="S6" s="129"/>
      <c r="T6" s="130">
        <f>IF(K3=$B$63,H3,0)</f>
        <v>6</v>
      </c>
      <c r="U6" s="130">
        <f>IF(K5=$B$63,H5,0)</f>
        <v>0</v>
      </c>
      <c r="V6" s="130">
        <f>IF(K7=$B$63,J7,0)</f>
        <v>2</v>
      </c>
      <c r="W6" s="131"/>
      <c r="X6" s="131"/>
      <c r="Y6" s="131"/>
      <c r="Z6" s="131"/>
      <c r="AA6" s="131"/>
      <c r="AB6" s="131"/>
      <c r="AC6" s="131"/>
      <c r="AD6" s="138"/>
      <c r="AE6" s="139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V6" s="135"/>
      <c r="AW6" s="133"/>
      <c r="AX6" s="24">
        <f>IF(OR('em16zufall'!H6="",'em16zufall'!J6=""),0,IF(H6-J6='em16zufall'!H6-'em16zufall'!J6,3,IF(OR(AND(H6-J6&gt;4,'em16zufall'!H6-'em16zufall'!J6&gt;4),AND(J6-H6&gt;4,'em16zufall'!J6-'em16zufall'!H6&gt;4)),2,IF(OR(AND(H6=J6,'em16zufall'!H6='em16zufall'!J6),(H6-J6)*('em16zufall'!H6-'em16zufall'!J6)&gt;0),1,0))))+IF(H6='em16zufall'!H6,1,0)+IF(J6='em16zufall'!J6,1,0)</f>
        <v>3</v>
      </c>
      <c r="AY6" s="24" t="str">
        <f>IF('em16zufall'!K6='em16zufall'!$B$63,'em16zufall'!K6,"")</f>
        <v>ok</v>
      </c>
      <c r="BA6" s="2">
        <f>BA4+12</f>
        <v>20</v>
      </c>
      <c r="BB6" s="7">
        <f>'em16zufall'!BB6</f>
        <v>42538.75</v>
      </c>
      <c r="BC6" s="7" t="str">
        <f>'em16zufall'!BC6</f>
        <v>St.Étienne</v>
      </c>
      <c r="BD6" s="125" t="str">
        <f>BY3</f>
        <v>Tschechien</v>
      </c>
      <c r="BE6" s="80" t="s">
        <v>21</v>
      </c>
      <c r="BF6" s="125" t="str">
        <f>BY5</f>
        <v>Kroatien</v>
      </c>
      <c r="BG6" s="124"/>
      <c r="BH6" s="137">
        <f ca="1" t="shared" si="2"/>
        <v>4</v>
      </c>
      <c r="BI6" s="164" t="s">
        <v>22</v>
      </c>
      <c r="BJ6" s="136">
        <f ca="1" t="shared" si="3"/>
        <v>4</v>
      </c>
      <c r="BK6" s="1" t="s">
        <v>23</v>
      </c>
      <c r="BL6" s="1"/>
      <c r="BS6" s="129"/>
      <c r="BT6" s="130">
        <f>IF(BK3=$B$63,BH3,0)</f>
        <v>2</v>
      </c>
      <c r="BU6" s="130">
        <f>IF(BK5=$B$63,BH5,0)</f>
        <v>4</v>
      </c>
      <c r="BV6" s="130">
        <f>IF(BK7=$B$63,BJ7,0)</f>
        <v>0</v>
      </c>
      <c r="BW6" s="1"/>
      <c r="BX6" s="1"/>
      <c r="BY6" s="131"/>
      <c r="BZ6" s="1"/>
      <c r="CA6" s="1"/>
      <c r="CB6" s="1"/>
      <c r="CC6" s="1"/>
      <c r="CD6" s="6"/>
      <c r="CE6" s="9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V6" s="34"/>
      <c r="CX6" s="24">
        <f>IF(OR('em16zufall'!BH6="",'em16zufall'!BJ6=""),0,IF(BH6-BJ6='em16zufall'!BH6-'em16zufall'!BJ6,3,IF(OR(AND(BH6-BJ6&gt;4,'em16zufall'!BH6-'em16zufall'!BJ6&gt;4),AND(BJ6-BH6&gt;4,'em16zufall'!BJ6-'em16zufall'!BH6&gt;4)),2,IF(OR(AND(BH6=BJ6,'em16zufall'!BH6='em16zufall'!BJ6),(BH6-BJ6)*('em16zufall'!BH6-'em16zufall'!BJ6)&gt;0),1,0))))+IF(BH6='em16zufall'!BH6,1,0)+IF(BJ6='em16zufall'!BJ6,1,0)</f>
        <v>0</v>
      </c>
      <c r="CY6" s="24" t="str">
        <f>IF('em16zufall'!BK6='em16zufall'!$B$63,'em16zufall'!BK6,"")</f>
        <v>ok</v>
      </c>
      <c r="DA6" s="167" t="s">
        <v>150</v>
      </c>
      <c r="DB6" s="162">
        <v>1</v>
      </c>
    </row>
    <row r="7" spans="1:106" ht="12.75">
      <c r="A7" s="2">
        <f>A5+12</f>
        <v>25</v>
      </c>
      <c r="B7" s="7">
        <f>'em16zufall'!B7</f>
        <v>42540.875</v>
      </c>
      <c r="C7" s="7" t="str">
        <f>'em16zufall'!C7</f>
        <v>Lille</v>
      </c>
      <c r="D7" s="125" t="str">
        <f>Y5</f>
        <v>Schweiz</v>
      </c>
      <c r="E7" s="125" t="s">
        <v>21</v>
      </c>
      <c r="F7" s="125" t="str">
        <f>Y2</f>
        <v>Frankreich</v>
      </c>
      <c r="G7" s="125"/>
      <c r="H7" s="136">
        <f ca="1" t="shared" si="0"/>
        <v>3</v>
      </c>
      <c r="I7" s="160" t="s">
        <v>22</v>
      </c>
      <c r="J7" s="136">
        <f ca="1" t="shared" si="1"/>
        <v>2</v>
      </c>
      <c r="K7" s="1" t="s">
        <v>23</v>
      </c>
      <c r="M7" s="70" t="str">
        <f>IF(N2&gt;0,M2,"")</f>
        <v>Rumänien</v>
      </c>
      <c r="N7" s="2" t="s">
        <v>24</v>
      </c>
      <c r="S7" s="130">
        <f>IF(K3=$B$63,J3,0)</f>
        <v>6</v>
      </c>
      <c r="T7" s="129"/>
      <c r="U7" s="130">
        <f>IF(K8=$B$63,H8,0)</f>
        <v>4</v>
      </c>
      <c r="V7" s="130">
        <f>IF(K6=$B$63,H6,0)</f>
        <v>4</v>
      </c>
      <c r="AD7" s="123" t="s">
        <v>119</v>
      </c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V7" s="141"/>
      <c r="AW7" s="133"/>
      <c r="AX7" s="24">
        <f>IF(OR('em16zufall'!H7="",'em16zufall'!J7=""),0,IF(H7-J7='em16zufall'!H7-'em16zufall'!J7,3,IF(OR(AND(H7-J7&gt;4,'em16zufall'!H7-'em16zufall'!J7&gt;4),AND(J7-H7&gt;4,'em16zufall'!J7-'em16zufall'!H7&gt;4)),2,IF(OR(AND(H7=J7,'em16zufall'!H7='em16zufall'!J7),(H7-J7)*('em16zufall'!H7-'em16zufall'!J7)&gt;0),1,0))))+IF(H7='em16zufall'!H7,1,0)+IF(J7='em16zufall'!J7,1,0)</f>
        <v>3</v>
      </c>
      <c r="AY7" s="24" t="str">
        <f>IF('em16zufall'!K8='em16zufall'!$B$63,'em16zufall'!K8,"")</f>
        <v>ok</v>
      </c>
      <c r="BA7" s="2">
        <f>BA5+12</f>
        <v>31</v>
      </c>
      <c r="BB7" s="7">
        <f>'em16zufall'!BB7</f>
        <v>42542.875</v>
      </c>
      <c r="BC7" s="7" t="str">
        <f>'em16zufall'!BC7</f>
        <v>Bordeaux</v>
      </c>
      <c r="BD7" s="125" t="str">
        <f>BY5</f>
        <v>Kroatien</v>
      </c>
      <c r="BE7" s="80" t="s">
        <v>21</v>
      </c>
      <c r="BF7" s="125" t="str">
        <f>BY2</f>
        <v>Spanien</v>
      </c>
      <c r="BG7" s="123"/>
      <c r="BH7" s="136">
        <f ca="1" t="shared" si="2"/>
        <v>4</v>
      </c>
      <c r="BI7" s="126" t="s">
        <v>22</v>
      </c>
      <c r="BJ7" s="137">
        <f ca="1" t="shared" si="3"/>
        <v>0</v>
      </c>
      <c r="BK7" s="1" t="s">
        <v>23</v>
      </c>
      <c r="BM7" s="155" t="str">
        <f>IF(BN2&gt;0,BM2,"")</f>
        <v>Kroatien</v>
      </c>
      <c r="BN7" s="2" t="s">
        <v>33</v>
      </c>
      <c r="BS7" s="130">
        <f>IF(BK3=$B$63,BJ3,0)</f>
        <v>3</v>
      </c>
      <c r="BT7" s="129"/>
      <c r="BU7" s="130">
        <f>IF(BK8=$B$63,BH8,0)</f>
        <v>3</v>
      </c>
      <c r="BV7" s="130">
        <f>IF(BK6=$B$63,BH6,0)</f>
        <v>4</v>
      </c>
      <c r="CD7" s="2" t="s">
        <v>119</v>
      </c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V7" s="35"/>
      <c r="CX7" s="24">
        <f>IF(OR('em16zufall'!BH7="",'em16zufall'!BJ7=""),0,IF(BH7-BJ7='em16zufall'!BH7-'em16zufall'!BJ7,3,IF(OR(AND(BH7-BJ7&gt;4,'em16zufall'!BH7-'em16zufall'!BJ7&gt;4),AND(BJ7-BH7&gt;4,'em16zufall'!BJ7-'em16zufall'!BH7&gt;4)),2,IF(OR(AND(BH7=BJ7,'em16zufall'!BH7='em16zufall'!BJ7),(BH7-BJ7)*('em16zufall'!BH7-'em16zufall'!BJ7)&gt;0),1,0))))+IF(BH7='em16zufall'!BH7,1,0)+IF(BJ7='em16zufall'!BJ7,1,0)</f>
        <v>2</v>
      </c>
      <c r="CY7" s="24" t="str">
        <f>IF('em16zufall'!BK8='em16zufall'!$B$63,'em16zufall'!BK8,"")</f>
        <v>ok</v>
      </c>
      <c r="DA7" s="168" t="s">
        <v>151</v>
      </c>
      <c r="DB7" s="169">
        <v>36</v>
      </c>
    </row>
    <row r="8" spans="1:106" ht="12.75">
      <c r="A8" s="2">
        <f>A6+12</f>
        <v>26</v>
      </c>
      <c r="B8" s="7">
        <f>'em16zufall'!B8</f>
        <v>42540.875</v>
      </c>
      <c r="C8" s="7" t="str">
        <f>'em16zufall'!C8</f>
        <v>Lyon</v>
      </c>
      <c r="D8" s="125" t="str">
        <f>Y3</f>
        <v>Rumänien</v>
      </c>
      <c r="E8" s="125" t="s">
        <v>21</v>
      </c>
      <c r="F8" s="125" t="str">
        <f>Y4</f>
        <v>Albanien</v>
      </c>
      <c r="G8" s="125"/>
      <c r="H8" s="136">
        <f ca="1" t="shared" si="0"/>
        <v>4</v>
      </c>
      <c r="I8" s="160" t="s">
        <v>22</v>
      </c>
      <c r="J8" s="136">
        <f ca="1" t="shared" si="1"/>
        <v>4</v>
      </c>
      <c r="K8" s="1" t="s">
        <v>23</v>
      </c>
      <c r="M8" s="70" t="str">
        <f>IF(N3&gt;0,M3,"")</f>
        <v>Albanien</v>
      </c>
      <c r="N8" s="2" t="s">
        <v>25</v>
      </c>
      <c r="S8" s="130">
        <f>IF(K5=$B$63,J5,0)</f>
        <v>0</v>
      </c>
      <c r="T8" s="130">
        <f>IF(K8=$B$63,J8,0)</f>
        <v>4</v>
      </c>
      <c r="U8" s="129"/>
      <c r="V8" s="130">
        <f>IF(K4=$B$63,H4,0)</f>
        <v>4</v>
      </c>
      <c r="AD8" s="123" t="s">
        <v>120</v>
      </c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V8" s="141"/>
      <c r="AW8" s="133"/>
      <c r="AX8" s="24">
        <f>IF(OR('em16zufall'!H8="",'em16zufall'!J8=""),0,IF(H8-J8='em16zufall'!H8-'em16zufall'!J8,3,IF(OR(AND(H8-J8&gt;4,'em16zufall'!H8-'em16zufall'!J8&gt;4),AND(J8-H8&gt;4,'em16zufall'!J8-'em16zufall'!H8&gt;4)),2,IF(OR(AND(H8=J8,'em16zufall'!H8='em16zufall'!J8),(H8-J8)*('em16zufall'!H8-'em16zufall'!J8)&gt;0),1,0))))+IF(H8='em16zufall'!H8,1,0)+IF(J8='em16zufall'!J8,1,0)</f>
        <v>0</v>
      </c>
      <c r="AY8" s="24" t="str">
        <f>IF('em16zufall'!K7='em16zufall'!$B$63,'em16zufall'!K7,"")</f>
        <v>ok</v>
      </c>
      <c r="BA8" s="2">
        <f>BA6+12</f>
        <v>32</v>
      </c>
      <c r="BB8" s="7">
        <f>'em16zufall'!BB8</f>
        <v>42542.875</v>
      </c>
      <c r="BC8" s="7" t="str">
        <f>'em16zufall'!BC8</f>
        <v>Lens</v>
      </c>
      <c r="BD8" s="125" t="str">
        <f>BY3</f>
        <v>Tschechien</v>
      </c>
      <c r="BE8" s="80" t="s">
        <v>21</v>
      </c>
      <c r="BF8" s="125" t="str">
        <f>BY4</f>
        <v>Türkei</v>
      </c>
      <c r="BG8" s="123"/>
      <c r="BH8" s="137">
        <f ca="1" t="shared" si="2"/>
        <v>3</v>
      </c>
      <c r="BI8" s="164" t="s">
        <v>22</v>
      </c>
      <c r="BJ8" s="137">
        <f ca="1" t="shared" si="3"/>
        <v>2</v>
      </c>
      <c r="BK8" s="1" t="s">
        <v>23</v>
      </c>
      <c r="BM8" s="155" t="str">
        <f>IF(BN3&gt;0,BM3,"")</f>
        <v>Tschechien</v>
      </c>
      <c r="BN8" s="2" t="s">
        <v>34</v>
      </c>
      <c r="BS8" s="130">
        <f>IF(BK5=$B$63,BJ5,0)</f>
        <v>0</v>
      </c>
      <c r="BT8" s="130">
        <f>IF(BK8=$B$63,BJ8,0)</f>
        <v>2</v>
      </c>
      <c r="BU8" s="129"/>
      <c r="BV8" s="130">
        <f>IF(BK4=$B$63,BH4,0)</f>
        <v>1</v>
      </c>
      <c r="CD8" s="2" t="s">
        <v>120</v>
      </c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V8" s="35"/>
      <c r="CX8" s="24">
        <f>IF(OR('em16zufall'!BH8="",'em16zufall'!BJ8=""),0,IF(BH8-BJ8='em16zufall'!BH8-'em16zufall'!BJ8,3,IF(OR(AND(BH8-BJ8&gt;4,'em16zufall'!BH8-'em16zufall'!BJ8&gt;4),AND(BJ8-BH8&gt;4,'em16zufall'!BJ8-'em16zufall'!BH8&gt;4)),2,IF(OR(AND(BH8=BJ8,'em16zufall'!BH8='em16zufall'!BJ8),(BH8-BJ8)*('em16zufall'!BH8-'em16zufall'!BJ8)&gt;0),1,0))))+IF(BH8='em16zufall'!BH8,1,0)+IF(BJ8='em16zufall'!BJ8,1,0)</f>
        <v>3</v>
      </c>
      <c r="CY8" s="24" t="str">
        <f>IF('em16zufall'!BK7='em16zufall'!$B$63,'em16zufall'!BK7,"")</f>
        <v>ok</v>
      </c>
      <c r="DA8" s="161"/>
      <c r="DB8" s="162"/>
    </row>
    <row r="9" spans="4:103" ht="12.75">
      <c r="D9" s="125"/>
      <c r="E9" s="125"/>
      <c r="F9" s="125"/>
      <c r="G9" s="125"/>
      <c r="H9" s="125"/>
      <c r="I9" s="125"/>
      <c r="J9" s="125"/>
      <c r="M9" s="70" t="str">
        <f>IF(N4&gt;0,M4,"")</f>
        <v>Schweiz</v>
      </c>
      <c r="N9" s="2" t="s">
        <v>116</v>
      </c>
      <c r="S9" s="130">
        <f>IF(K7=$B$63,H7,0)</f>
        <v>3</v>
      </c>
      <c r="T9" s="130">
        <f>IF(K6=$B$63,J6,0)</f>
        <v>3</v>
      </c>
      <c r="U9" s="130">
        <f>IF(K4=$B$63,J4,0)</f>
        <v>3</v>
      </c>
      <c r="V9" s="129"/>
      <c r="AD9" s="2" t="s">
        <v>200</v>
      </c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V9" s="141"/>
      <c r="AW9" s="133"/>
      <c r="AX9" s="50">
        <f>IF(OR($CX$62="",MOD(SUM($H$3:$J$59)+SUM($BH$3:$BJ$61),3)=0),IF(M9="",0,COUNTIF('em16zufall'!$D$48:'em16zufall'!$F$55,M9)),0)</f>
        <v>0</v>
      </c>
      <c r="AY9" s="24">
        <f>IF(COUNTIF('em16zufall'!K3:'em16zufall'!K7,'em16zufall'!$B$63)=6,"ok","")</f>
      </c>
      <c r="BD9" s="123"/>
      <c r="BE9" s="123"/>
      <c r="BF9" s="123"/>
      <c r="BG9" s="123"/>
      <c r="BM9" s="155" t="str">
        <f>IF(BN4&gt;0,BM4,"")</f>
        <v>Spanien</v>
      </c>
      <c r="BN9" s="2" t="s">
        <v>117</v>
      </c>
      <c r="BS9" s="130">
        <f>IF(BK7=$B$63,BH7,0)</f>
        <v>4</v>
      </c>
      <c r="BT9" s="130">
        <f>IF(BK6=$B$63,BJ6,0)</f>
        <v>4</v>
      </c>
      <c r="BU9" s="130">
        <f>IF(BK4=$B$63,BJ4,0)</f>
        <v>5</v>
      </c>
      <c r="BV9" s="129"/>
      <c r="CD9" s="2" t="s">
        <v>200</v>
      </c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V9" s="35"/>
      <c r="CX9" s="156">
        <f>IF(OR($CX$62="",MOD(SUM($H$3:$J$59)+SUM($BH$3:$BJ$61),3)=0),IF(BM9="",0,COUNTIF('em16zufall'!$D$48:'em16zufall'!$F$55,BM9)),0)</f>
        <v>1</v>
      </c>
      <c r="CY9" s="24">
        <f>IF(COUNTIF('em16zufall'!BK3:'em16zufall'!BK7,'em16zufall'!$B$63)=6,"ok","")</f>
      </c>
    </row>
    <row r="10" spans="4:100" ht="6" customHeight="1">
      <c r="D10" s="125"/>
      <c r="E10" s="125"/>
      <c r="F10" s="125"/>
      <c r="G10" s="125"/>
      <c r="H10" s="125"/>
      <c r="I10" s="125"/>
      <c r="J10" s="125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V10" s="141"/>
      <c r="AW10" s="133"/>
      <c r="AX10" s="24"/>
      <c r="BD10" s="123"/>
      <c r="BE10" s="126"/>
      <c r="BF10" s="128"/>
      <c r="BG10" s="128"/>
      <c r="BH10" s="123"/>
      <c r="BI10" s="123"/>
      <c r="BJ10" s="123"/>
      <c r="BS10" s="123"/>
      <c r="BT10" s="123"/>
      <c r="BU10" s="123"/>
      <c r="BV10" s="123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V10" s="35"/>
    </row>
    <row r="11" spans="2:106" s="12" customFormat="1" ht="12.75">
      <c r="B11" s="62" t="s">
        <v>0</v>
      </c>
      <c r="C11" s="63" t="s">
        <v>26</v>
      </c>
      <c r="D11" s="125" t="s">
        <v>2</v>
      </c>
      <c r="E11" s="125"/>
      <c r="F11" s="125"/>
      <c r="G11" s="125"/>
      <c r="H11" s="125"/>
      <c r="I11" s="125"/>
      <c r="J11" s="125"/>
      <c r="K11" s="24"/>
      <c r="L11" s="24"/>
      <c r="M11" s="69" t="s">
        <v>3</v>
      </c>
      <c r="N11" s="2" t="s">
        <v>4</v>
      </c>
      <c r="O11" s="2" t="s">
        <v>5</v>
      </c>
      <c r="P11" s="2" t="s">
        <v>6</v>
      </c>
      <c r="Q11" s="2" t="s">
        <v>7</v>
      </c>
      <c r="R11" s="2"/>
      <c r="S11" s="123"/>
      <c r="T11" s="123"/>
      <c r="U11" s="123"/>
      <c r="V11" s="123"/>
      <c r="W11" s="124"/>
      <c r="X11" s="124" t="s">
        <v>8</v>
      </c>
      <c r="Y11" s="125" t="s">
        <v>9</v>
      </c>
      <c r="Z11" s="124" t="s">
        <v>4</v>
      </c>
      <c r="AA11" s="124" t="s">
        <v>5</v>
      </c>
      <c r="AB11" s="124" t="s">
        <v>6</v>
      </c>
      <c r="AC11" s="124" t="s">
        <v>7</v>
      </c>
      <c r="AD11" s="124"/>
      <c r="AE11" s="27" t="s">
        <v>10</v>
      </c>
      <c r="AF11" s="80" t="s">
        <v>11</v>
      </c>
      <c r="AG11" s="80"/>
      <c r="AH11" s="80"/>
      <c r="AI11" s="80"/>
      <c r="AJ11" s="80" t="s">
        <v>12</v>
      </c>
      <c r="AK11" s="125" t="s">
        <v>13</v>
      </c>
      <c r="AL11" s="80" t="s">
        <v>14</v>
      </c>
      <c r="AM11" s="80"/>
      <c r="AN11" s="80"/>
      <c r="AO11" s="80"/>
      <c r="AP11" s="80" t="s">
        <v>15</v>
      </c>
      <c r="AQ11" s="80" t="s">
        <v>16</v>
      </c>
      <c r="AR11" s="80"/>
      <c r="AS11" s="80"/>
      <c r="AT11" s="80"/>
      <c r="AU11" s="126" t="s">
        <v>17</v>
      </c>
      <c r="AV11" s="125" t="s">
        <v>18</v>
      </c>
      <c r="AW11" s="127"/>
      <c r="AX11" s="62">
        <f>IF(OR($CX$62="",MOD(SUM($H$3:$J$59)+SUM($BH$3:$BJ$61),3)=0),IF(M17="",0,COUNTIF('em16zufall'!$D$48:'em16zufall'!$F$55,M17)),0)</f>
        <v>1</v>
      </c>
      <c r="AY11" s="24">
        <f>IF(COUNTIF('em16zufall'!K13:'em16zufall'!K17,'em16zufall'!$B$63)=6,"ok","")</f>
      </c>
      <c r="AZ11" s="128"/>
      <c r="BB11" s="25" t="s">
        <v>0</v>
      </c>
      <c r="BC11" s="74" t="s">
        <v>35</v>
      </c>
      <c r="BD11" s="124" t="s">
        <v>2</v>
      </c>
      <c r="BE11" s="142"/>
      <c r="BF11" s="124"/>
      <c r="BG11" s="124"/>
      <c r="BH11" s="160"/>
      <c r="BI11" s="124"/>
      <c r="BJ11" s="160"/>
      <c r="BK11" s="24"/>
      <c r="BL11" s="24"/>
      <c r="BM11" s="69" t="s">
        <v>3</v>
      </c>
      <c r="BN11" s="2" t="s">
        <v>4</v>
      </c>
      <c r="BO11" s="2" t="s">
        <v>5</v>
      </c>
      <c r="BP11" s="2" t="s">
        <v>6</v>
      </c>
      <c r="BQ11" s="2" t="s">
        <v>7</v>
      </c>
      <c r="BR11" s="2"/>
      <c r="BS11" s="123"/>
      <c r="BT11" s="123"/>
      <c r="BU11" s="123"/>
      <c r="BV11" s="123"/>
      <c r="BW11" s="24"/>
      <c r="BX11" s="24" t="s">
        <v>8</v>
      </c>
      <c r="BY11" s="125" t="s">
        <v>9</v>
      </c>
      <c r="BZ11" s="24" t="s">
        <v>4</v>
      </c>
      <c r="CA11" s="24" t="s">
        <v>5</v>
      </c>
      <c r="CB11" s="24" t="s">
        <v>6</v>
      </c>
      <c r="CC11" s="24" t="s">
        <v>7</v>
      </c>
      <c r="CD11" s="24"/>
      <c r="CE11" s="29" t="s">
        <v>10</v>
      </c>
      <c r="CF11" s="22" t="s">
        <v>11</v>
      </c>
      <c r="CG11" s="22"/>
      <c r="CH11" s="22"/>
      <c r="CI11" s="22"/>
      <c r="CJ11" s="22" t="s">
        <v>12</v>
      </c>
      <c r="CK11" s="30" t="s">
        <v>13</v>
      </c>
      <c r="CL11" s="22" t="s">
        <v>14</v>
      </c>
      <c r="CM11" s="22"/>
      <c r="CN11" s="22"/>
      <c r="CO11" s="22"/>
      <c r="CP11" s="22" t="s">
        <v>15</v>
      </c>
      <c r="CQ11" s="22" t="s">
        <v>16</v>
      </c>
      <c r="CR11" s="22"/>
      <c r="CS11" s="22"/>
      <c r="CT11" s="22"/>
      <c r="CU11" s="23" t="s">
        <v>17</v>
      </c>
      <c r="CV11" s="30" t="s">
        <v>18</v>
      </c>
      <c r="CX11" s="25">
        <f>IF(OR($CX$62="",MOD(SUM($H$3:$J$59)+SUM($BH$3:$BJ$61),3)=0),IF(BM17="",0,COUNTIF('em16zufall'!$D$48:'em16zufall'!$F$55,BM17)),0)</f>
        <v>0</v>
      </c>
      <c r="CY11" s="24">
        <f>IF(COUNTIF('em16zufall'!BK13:'em16zufall'!BK17,'em16zufall'!$B$63)=6,"ok","")</f>
      </c>
      <c r="DA11" s="165" t="s">
        <v>152</v>
      </c>
      <c r="DB11" s="166">
        <f>DB13*DB12</f>
        <v>16</v>
      </c>
    </row>
    <row r="12" spans="2:106" ht="12.75">
      <c r="B12" s="3" t="s">
        <v>19</v>
      </c>
      <c r="C12" s="3" t="s">
        <v>20</v>
      </c>
      <c r="D12" s="125"/>
      <c r="E12" s="125"/>
      <c r="F12" s="125"/>
      <c r="G12" s="125"/>
      <c r="H12" s="125"/>
      <c r="I12" s="125"/>
      <c r="J12" s="125"/>
      <c r="L12" s="1"/>
      <c r="M12" s="11" t="str">
        <f>VLOOKUP(1,$X$12:$AC$15,2,FALSE)</f>
        <v>England</v>
      </c>
      <c r="N12" s="2">
        <f>VLOOKUP(1,$X$12:$AC$15,3,FALSE)</f>
        <v>9</v>
      </c>
      <c r="O12" s="2">
        <f>VLOOKUP(1,$X$12:$AC$15,4,FALSE)</f>
        <v>11</v>
      </c>
      <c r="P12" s="2">
        <f>VLOOKUP(1,$X$12:$AC$15,5,FALSE)</f>
        <v>3</v>
      </c>
      <c r="Q12" s="2">
        <f>VLOOKUP(1,$X$12:$AC$15,6,FALSE)</f>
        <v>8</v>
      </c>
      <c r="S12" s="129"/>
      <c r="T12" s="130">
        <f>IF(H13="",0,IF(K13=$B$63,IF(H13&gt;J13,3,IF(H13=J13,1,0)),0))</f>
        <v>3</v>
      </c>
      <c r="U12" s="130">
        <f>IF(H15="",0,IF(K15=$B$63,IF(H15&gt;J15,3,IF(H15=J15,1,0)),0))</f>
        <v>3</v>
      </c>
      <c r="V12" s="130">
        <f>IF(J17="",0,IF(K17=$B$63,IF(H17&lt;J17,3,IF(H17=J17,1,0)),0))</f>
        <v>3</v>
      </c>
      <c r="W12" s="131"/>
      <c r="X12" s="185">
        <f>RANK(AD12,AD12:AD15)+COUNTIF(AD12:AD12,AD12)-1</f>
        <v>1</v>
      </c>
      <c r="Y12" s="132" t="str">
        <f>'em16zufall'!Y12</f>
        <v>England</v>
      </c>
      <c r="Z12" s="131">
        <f>SUM(S12:V12)</f>
        <v>9</v>
      </c>
      <c r="AA12" s="131">
        <f>SUM(S16:V16)</f>
        <v>11</v>
      </c>
      <c r="AB12" s="131">
        <f>SUM(S16:S19)</f>
        <v>3</v>
      </c>
      <c r="AC12" s="131">
        <f>AA12-AB12</f>
        <v>8</v>
      </c>
      <c r="AD12" s="133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908110000000004</v>
      </c>
      <c r="AE12" s="134"/>
      <c r="AF12" s="135"/>
      <c r="AG12" s="135">
        <f>IF($Z12=$Z13,$T12-$S13,0)</f>
        <v>0</v>
      </c>
      <c r="AH12" s="135">
        <f>IF($Z12=$Z14,$U12-$S14,0)</f>
        <v>0</v>
      </c>
      <c r="AI12" s="135">
        <f>IF($Z12=$Z15,$V12-$S15,0)</f>
        <v>0</v>
      </c>
      <c r="AJ12" s="135">
        <f>SUM(AF12:AI12)</f>
        <v>0</v>
      </c>
      <c r="AK12" s="134"/>
      <c r="AL12" s="135"/>
      <c r="AM12" s="135">
        <f>IF($Z12=$Z13,$T16-$S17,0)</f>
        <v>0</v>
      </c>
      <c r="AN12" s="135">
        <f>IF($Z12=$Z14,$U16-$S18,0)</f>
        <v>0</v>
      </c>
      <c r="AO12" s="135">
        <f>IF($Z12=$Z15,$V16-$S19,0)</f>
        <v>0</v>
      </c>
      <c r="AP12" s="135">
        <f>SUM(AL12:AO12)</f>
        <v>0</v>
      </c>
      <c r="AQ12" s="135"/>
      <c r="AR12" s="135">
        <f>IF($Z12=$Z13,$T16,0)</f>
        <v>0</v>
      </c>
      <c r="AS12" s="135">
        <f>IF($Z12=$Z14,$U16,0)</f>
        <v>0</v>
      </c>
      <c r="AT12" s="135">
        <f>IF($Z12=$Z15,$V16,0)</f>
        <v>0</v>
      </c>
      <c r="AU12" s="135">
        <f>SUM(AQ12:AT12)</f>
        <v>0</v>
      </c>
      <c r="AV12" s="184">
        <f>IF(AND(COUNTIF(K13:K18,$B$63)=COUNTA(H13:H18),COUNTIF(K13:K18,$B$63)=COUNTA(J13:J18)),IF(AU12=AU13,T16-S17,IF(AU12=AU14,U16-S18,IF(AU12=AU15,V16-S19,4))),4)</f>
        <v>4</v>
      </c>
      <c r="AW12" s="133"/>
      <c r="AX12" s="62">
        <f>IF(OR($CX$62="",MOD(SUM($H$3:$J$59)+SUM($BH$3:$BJ$61),3)=0),IF(M18="",0,COUNTIF('em16zufall'!$D$48:'em16zufall'!$F$55,M18)),0)</f>
        <v>1</v>
      </c>
      <c r="AY12" s="24">
        <f>IF(COUNTIF('em16zufall'!K13:'em16zufall'!K17,'em16zufall'!$B$63)=6,"ok","")</f>
      </c>
      <c r="BB12" s="3" t="s">
        <v>19</v>
      </c>
      <c r="BC12" s="3" t="s">
        <v>20</v>
      </c>
      <c r="BD12" s="123"/>
      <c r="BE12" s="123"/>
      <c r="BF12" s="123"/>
      <c r="BG12" s="123"/>
      <c r="BL12" s="1"/>
      <c r="BM12" s="11" t="str">
        <f>VLOOKUP(1,$BX$12:$CC$15,2,FALSE)</f>
        <v>Irland</v>
      </c>
      <c r="BN12" s="2">
        <f>VLOOKUP(1,$BX$12:$CC$15,3,FALSE)</f>
        <v>7</v>
      </c>
      <c r="BO12" s="2">
        <f>VLOOKUP(1,$BX$12:$CC$15,4,FALSE)</f>
        <v>7</v>
      </c>
      <c r="BP12" s="2">
        <f>VLOOKUP(1,$BX$12:$CC$15,5,FALSE)</f>
        <v>3</v>
      </c>
      <c r="BQ12" s="2">
        <f>VLOOKUP(1,$BX$12:$CC$15,6,FALSE)</f>
        <v>4</v>
      </c>
      <c r="BS12" s="129"/>
      <c r="BT12" s="130">
        <f>IF(BH13="",0,IF(BK13=$B$63,IF(BH13&gt;BJ13,3,IF(BH13=BJ13,1,0)),0))</f>
        <v>0</v>
      </c>
      <c r="BU12" s="130">
        <f>IF(BH15="",0,IF(BK15=$B$63,IF(BH15&gt;BJ15,3,IF(BH15=BJ15,1,0)),0))</f>
        <v>1</v>
      </c>
      <c r="BV12" s="130">
        <f>IF(BJ17="",0,IF(BK17=$B$63,IF(BH17&lt;BJ17,3,IF(BH17=BJ17,1,0)),0))</f>
        <v>0</v>
      </c>
      <c r="BW12" s="1"/>
      <c r="BX12" s="185">
        <f>RANK(CD12,CD12:CD15)+COUNTIF(CD12:CD12,CD12)-1</f>
        <v>4</v>
      </c>
      <c r="BY12" s="132" t="str">
        <f>'em16zufall'!BY12</f>
        <v>Belgien</v>
      </c>
      <c r="BZ12" s="1">
        <f>SUM(BS12:BV12)</f>
        <v>1</v>
      </c>
      <c r="CA12" s="1">
        <f>SUM(BS16:BV16)</f>
        <v>2</v>
      </c>
      <c r="CB12" s="1">
        <f>SUM(BS16:BS19)</f>
        <v>7</v>
      </c>
      <c r="CC12" s="1">
        <f>CA12-CB12</f>
        <v>-5</v>
      </c>
      <c r="CD12" s="33">
        <f>IF(BP$18="",CE12*10000000000000000+BZ12*100000000000000+CC12*1000000000000+CA12*10000000000+CK12*100000000+CJ12*1000000+CP12*10000+CU12*100+CV12,CE12*10000000000000000+BZ12*100000000000000+CK12*1000000000000+CJ12*10000000000+CP12*100000000+CU12*1000000+CC12*10000+CA12*100+CV12)</f>
        <v>95019999999997</v>
      </c>
      <c r="CE12" s="5"/>
      <c r="CF12" s="34"/>
      <c r="CG12" s="34">
        <f>IF($BZ12=$BZ13,$BT12-$BS13,0)</f>
        <v>0</v>
      </c>
      <c r="CH12" s="34">
        <f>IF($BZ12=$BZ14,$BU12-$BS14,0)</f>
        <v>0</v>
      </c>
      <c r="CI12" s="34">
        <f>IF($BZ12=$BZ15,$BV12-$BS15,0)</f>
        <v>0</v>
      </c>
      <c r="CJ12" s="34">
        <f>SUM(CF12:CI12)</f>
        <v>0</v>
      </c>
      <c r="CK12" s="5"/>
      <c r="CL12" s="34"/>
      <c r="CM12" s="34">
        <f>IF($BZ12=$BZ13,$BT16-$BS17,0)</f>
        <v>0</v>
      </c>
      <c r="CN12" s="34">
        <f>IF($BZ12=$BZ14,$BU16-$BS18,0)</f>
        <v>0</v>
      </c>
      <c r="CO12" s="34">
        <f>IF($BZ12=$BZ15,$BV16-$BS19,0)</f>
        <v>0</v>
      </c>
      <c r="CP12" s="34">
        <f>SUM(CL12:CO12)</f>
        <v>0</v>
      </c>
      <c r="CQ12" s="34"/>
      <c r="CR12" s="34">
        <f>IF($BZ12=$BZ13,$BT16,0)</f>
        <v>0</v>
      </c>
      <c r="CS12" s="34">
        <f>IF($BZ12=$BZ14,$BU16,0)</f>
        <v>0</v>
      </c>
      <c r="CT12" s="34">
        <f>IF($BZ12=$BZ15,$BV16,0)</f>
        <v>0</v>
      </c>
      <c r="CU12" s="34">
        <f>SUM(CQ12:CT12)</f>
        <v>0</v>
      </c>
      <c r="CV12" s="184">
        <f>IF(AND(COUNTIF(BK13:BK18,$B$63)=COUNTA(BH13:BH18),COUNTIF(BK13:BK18,$B$63)=COUNTA(BJ13:BJ18)),IF(CU12=CU13,BT16-BS17,IF(CU12=CU14,BU16-BS18,IF(CU12=CU15,BV16-BS19,4))),4)</f>
        <v>-3</v>
      </c>
      <c r="CX12" s="25">
        <f>IF(OR($CX$62="",MOD(SUM($H$3:$J$59)+SUM($BH$3:$BJ$61),3)=0),IF(BM18="",0,COUNTIF('em16zufall'!$D$48:'em16zufall'!$F$55,BM18)),0)</f>
        <v>1</v>
      </c>
      <c r="CY12" s="24">
        <f>IF(COUNTIF('em16zufall'!BK13:'em16zufall'!BK17,'em16zufall'!$B$63)=6,"ok","")</f>
      </c>
      <c r="DA12" s="161" t="s">
        <v>153</v>
      </c>
      <c r="DB12" s="162">
        <v>1</v>
      </c>
    </row>
    <row r="13" spans="1:106" ht="12.75">
      <c r="A13" s="2">
        <v>3</v>
      </c>
      <c r="B13" s="7">
        <f>'em16zufall'!B13</f>
        <v>42532.875</v>
      </c>
      <c r="C13" s="7" t="str">
        <f>'em16zufall'!C13</f>
        <v>Marseille</v>
      </c>
      <c r="D13" s="125" t="str">
        <f>Y12</f>
        <v>England</v>
      </c>
      <c r="E13" s="125" t="s">
        <v>21</v>
      </c>
      <c r="F13" s="125" t="str">
        <f>Y13</f>
        <v>Russland</v>
      </c>
      <c r="G13" s="125"/>
      <c r="H13" s="136">
        <f aca="true" ca="1" t="shared" si="4" ref="H13:H18">IF($B$64="",1,INT(RAND()*5)+INT(RAND()*3)*INT(RAND()*2))</f>
        <v>4</v>
      </c>
      <c r="I13" s="160" t="s">
        <v>22</v>
      </c>
      <c r="J13" s="136">
        <f aca="true" ca="1" t="shared" si="5" ref="J13:J18">IF($B$64="",0,INT(RAND()*5)+INT(RAND()*3)*INT(RAND()*2))</f>
        <v>0</v>
      </c>
      <c r="K13" s="1" t="s">
        <v>23</v>
      </c>
      <c r="L13" s="1"/>
      <c r="M13" s="11" t="str">
        <f>VLOOKUP(2,$X$12:$AC$15,2,FALSE)</f>
        <v>Wales</v>
      </c>
      <c r="N13" s="2">
        <f>VLOOKUP(2,$X$12:$AC$15,3,FALSE)</f>
        <v>3</v>
      </c>
      <c r="O13" s="2">
        <f>VLOOKUP(2,$X$12:$AC$15,4,FALSE)</f>
        <v>12</v>
      </c>
      <c r="P13" s="2">
        <f>VLOOKUP(2,$X$12:$AC$15,5,FALSE)</f>
        <v>12</v>
      </c>
      <c r="Q13" s="2">
        <f>VLOOKUP(2,$X$12:$AC$15,6,FALSE)</f>
        <v>0</v>
      </c>
      <c r="S13" s="130">
        <f>IF(J13="",0,IF(K13=$B$63,IF(H13&lt;J13,3,IF(H13=J13,1,0)),0))</f>
        <v>0</v>
      </c>
      <c r="T13" s="129"/>
      <c r="U13" s="130">
        <f>IF(H18="",0,IF(K18=$B$63,IF(H18&gt;J18,3,IF(H18=J18,1,0)),0))</f>
        <v>3</v>
      </c>
      <c r="V13" s="130">
        <f>IF(H16="",0,IF(K16=$B$63,IF(H16&gt;J16,3,IF(H16=J16,1,0)),0))</f>
        <v>0</v>
      </c>
      <c r="W13" s="131"/>
      <c r="X13" s="185">
        <f>RANK(AD13,AD12:AD15)+COUNTIF(AD12:AD13,AD13)-1</f>
        <v>4</v>
      </c>
      <c r="Y13" s="132" t="str">
        <f>'em16zufall'!Y13</f>
        <v>Russland</v>
      </c>
      <c r="Z13" s="131">
        <f>SUM(S13:V13)</f>
        <v>3</v>
      </c>
      <c r="AA13" s="131">
        <f>SUM(S17:V17)</f>
        <v>7</v>
      </c>
      <c r="AB13" s="131">
        <f>SUM(T16:T19)</f>
        <v>12</v>
      </c>
      <c r="AC13" s="131">
        <f>AA13-AB13</f>
        <v>-5</v>
      </c>
      <c r="AD13" s="133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295069999990703</v>
      </c>
      <c r="AE13" s="134"/>
      <c r="AF13" s="135">
        <f>IF($Z13=$Z12,$S13-$T12,0)</f>
        <v>0</v>
      </c>
      <c r="AG13" s="135"/>
      <c r="AH13" s="135">
        <f>IF($Z13=$Z14,$U13-$T14,0)</f>
        <v>3</v>
      </c>
      <c r="AI13" s="135">
        <f>IF($Z13=$Z15,$V13-$T15,0)</f>
        <v>-3</v>
      </c>
      <c r="AJ13" s="135">
        <f>SUM(AF13:AI13)</f>
        <v>0</v>
      </c>
      <c r="AK13" s="134"/>
      <c r="AL13" s="135">
        <f>IF($Z13=$Z12,$S17-$T16,0)</f>
        <v>0</v>
      </c>
      <c r="AM13" s="135"/>
      <c r="AN13" s="135">
        <f>IF($Z13=$Z14,$U17-$T18,0)</f>
        <v>2</v>
      </c>
      <c r="AO13" s="135">
        <f>IF($Z13=$Z15,$V17-$T19,0)</f>
        <v>-3</v>
      </c>
      <c r="AP13" s="135">
        <f>SUM(AL13:AO13)</f>
        <v>-1</v>
      </c>
      <c r="AQ13" s="135">
        <f>IF($Z13=$Z12,$S17,0)</f>
        <v>0</v>
      </c>
      <c r="AR13" s="135"/>
      <c r="AS13" s="135">
        <f>IF($Z13=$Z14,$U17,0)</f>
        <v>6</v>
      </c>
      <c r="AT13" s="135">
        <f>IF($Z13=$Z15,$V17,0)</f>
        <v>1</v>
      </c>
      <c r="AU13" s="135">
        <f>SUM(AQ13:AT13)</f>
        <v>7</v>
      </c>
      <c r="AV13" s="184">
        <f>IF(AND(COUNTIF(K13:K18,$B$63)=COUNTA(H13:H18),COUNTIF(K13:K18,$B$63)=COUNTA(J13:J18)),IF(AU13=AU12,S17-T16,IF(AU13=AU14,U17-T18,IF(AU13=AU15,V17-T19,3))),3)</f>
        <v>3</v>
      </c>
      <c r="AW13" s="133"/>
      <c r="AX13" s="24">
        <f>IF(OR('em16zufall'!H13="",'em16zufall'!J13=""),0,IF(H13-J13='em16zufall'!H13-'em16zufall'!J13,3,IF(OR(AND(H13-J13&gt;4,'em16zufall'!H13-'em16zufall'!J13&gt;4),AND(J13-H13&gt;4,'em16zufall'!J13-'em16zufall'!H13&gt;4)),2,IF(OR(AND(H13=J13,'em16zufall'!H13='em16zufall'!J13),(H13-J13)*('em16zufall'!H13-'em16zufall'!J13)&gt;0),1,0))))+IF(H13='em16zufall'!H13,1,0)+IF(J13='em16zufall'!J13,1,0)</f>
        <v>2</v>
      </c>
      <c r="AY13" s="24" t="str">
        <f>IF('em16zufall'!K13='em16zufall'!$B$63,'em16zufall'!K13,"")</f>
        <v>ok</v>
      </c>
      <c r="BA13" s="2">
        <v>9</v>
      </c>
      <c r="BB13" s="7">
        <f>'em16zufall'!BB13</f>
        <v>42534.875</v>
      </c>
      <c r="BC13" s="7" t="str">
        <f>'em16zufall'!BC13</f>
        <v>Lyon</v>
      </c>
      <c r="BD13" s="125" t="str">
        <f>BY12</f>
        <v>Belgien</v>
      </c>
      <c r="BE13" s="80" t="s">
        <v>21</v>
      </c>
      <c r="BF13" s="125" t="str">
        <f>BY13</f>
        <v>Italien</v>
      </c>
      <c r="BG13" s="124"/>
      <c r="BH13" s="136">
        <f aca="true" ca="1" t="shared" si="6" ref="BH13:BH18">IF($B$64="",1,INT(RAND()*5)+INT(RAND()*3)*INT(RAND()*2))</f>
        <v>1</v>
      </c>
      <c r="BI13" s="164" t="s">
        <v>22</v>
      </c>
      <c r="BJ13" s="136">
        <f aca="true" ca="1" t="shared" si="7" ref="BJ13:BJ18">IF($B$64="",0,INT(RAND()*5)+INT(RAND()*3)*INT(RAND()*2))</f>
        <v>4</v>
      </c>
      <c r="BK13" s="1" t="s">
        <v>23</v>
      </c>
      <c r="BL13" s="1"/>
      <c r="BM13" s="11" t="str">
        <f>VLOOKUP(2,$BX$12:$CC$15,2,FALSE)</f>
        <v>Italien</v>
      </c>
      <c r="BN13" s="2">
        <f>VLOOKUP(2,$BX$12:$CC$15,3,FALSE)</f>
        <v>6</v>
      </c>
      <c r="BO13" s="2">
        <f>VLOOKUP(2,$BX$12:$CC$15,4,FALSE)</f>
        <v>9</v>
      </c>
      <c r="BP13" s="2">
        <f>VLOOKUP(2,$BX$12:$CC$15,5,FALSE)</f>
        <v>5</v>
      </c>
      <c r="BQ13" s="2">
        <f>VLOOKUP(2,$BX$12:$CC$15,6,FALSE)</f>
        <v>4</v>
      </c>
      <c r="BS13" s="130">
        <f>IF(BJ13="",0,IF(BK13=$B$63,IF(BH13&lt;BJ13,3,IF(BH13=BJ13,1,0)),0))</f>
        <v>3</v>
      </c>
      <c r="BT13" s="129"/>
      <c r="BU13" s="130">
        <f>IF(BH18="",0,IF(BK18=$B$63,IF(BH18&gt;BJ18,3,IF(BH18=BJ18,1,0)),0))</f>
        <v>0</v>
      </c>
      <c r="BV13" s="130">
        <f>IF(BH16="",0,IF(BK16=$B$63,IF(BH16&gt;BJ16,3,IF(BH16=BJ16,1,0)),0))</f>
        <v>3</v>
      </c>
      <c r="BW13" s="1"/>
      <c r="BX13" s="185">
        <f>RANK(CD13,CD12:CD15)+COUNTIF(CD12:CD13,CD13)-1</f>
        <v>2</v>
      </c>
      <c r="BY13" s="132" t="str">
        <f>'em16zufall'!BY13</f>
        <v>Italien</v>
      </c>
      <c r="BZ13" s="1">
        <f>SUM(BS13:BV13)</f>
        <v>6</v>
      </c>
      <c r="CA13" s="1">
        <f>SUM(BS17:BV17)</f>
        <v>9</v>
      </c>
      <c r="CB13" s="1">
        <f>SUM(BT16:BT19)</f>
        <v>5</v>
      </c>
      <c r="CC13" s="1">
        <f>CA13-CB13</f>
        <v>4</v>
      </c>
      <c r="CD13" s="33">
        <f>IF(BP$18="",CE13*10000000000000000+BZ13*100000000000000+CC13*1000000000000+CA13*10000000000+CK13*100000000+CJ13*1000000+CP13*10000+CU13*100+CV13,CE13*10000000000000000+BZ13*100000000000000+CK13*1000000000000+CJ13*10000000000+CP13*100000000+CU13*1000000+CC13*10000+CA13*100+CV13)</f>
        <v>604090000000003</v>
      </c>
      <c r="CE13" s="5"/>
      <c r="CF13" s="34">
        <f>IF($BZ13=$BZ12,$BS13-$BT12,0)</f>
        <v>0</v>
      </c>
      <c r="CG13" s="34"/>
      <c r="CH13" s="34">
        <f>IF($BZ13=$BZ14,$BU13-$BT14,0)</f>
        <v>0</v>
      </c>
      <c r="CI13" s="34">
        <f>IF($BZ13=$BZ15,$BV13-$BT15,0)</f>
        <v>0</v>
      </c>
      <c r="CJ13" s="34">
        <f>SUM(CF13:CI13)</f>
        <v>0</v>
      </c>
      <c r="CK13" s="5"/>
      <c r="CL13" s="34">
        <f>IF($BZ13=$BZ12,$BS17-$BT16,0)</f>
        <v>0</v>
      </c>
      <c r="CM13" s="34"/>
      <c r="CN13" s="34">
        <f>IF($BZ13=$BZ14,$BU17-$BT18,0)</f>
        <v>0</v>
      </c>
      <c r="CO13" s="34">
        <f>IF($BZ13=$BZ15,$BV17-$BT19,0)</f>
        <v>0</v>
      </c>
      <c r="CP13" s="34">
        <f>SUM(CL13:CO13)</f>
        <v>0</v>
      </c>
      <c r="CQ13" s="34">
        <f>IF($BZ13=$BZ12,$BS17,0)</f>
        <v>0</v>
      </c>
      <c r="CR13" s="34"/>
      <c r="CS13" s="34">
        <f>IF($BZ13=$BZ14,$BU17,0)</f>
        <v>0</v>
      </c>
      <c r="CT13" s="34">
        <f>IF($BZ13=$BZ15,$BV17,0)</f>
        <v>0</v>
      </c>
      <c r="CU13" s="34">
        <f>SUM(CQ13:CT13)</f>
        <v>0</v>
      </c>
      <c r="CV13" s="184">
        <f>IF(AND(COUNTIF(BK13:BK18,$B$63)=COUNTA(BH13:BH18),COUNTIF(BK13:BK18,$B$63)=COUNTA(BJ13:BJ18)),IF(CU13=CU12,BS17-BT16,IF(CU13=CU14,BU17-BT18,IF(CU13=CU15,BV17-BT19,3))),3)</f>
        <v>3</v>
      </c>
      <c r="CX13" s="24">
        <f>IF(OR('em16zufall'!BH13="",'em16zufall'!BJ13=""),0,IF(BH13-BJ13='em16zufall'!BH13-'em16zufall'!BJ13,3,IF(OR(AND(BH13-BJ13&gt;4,'em16zufall'!BH13-'em16zufall'!BJ13&gt;4),AND(BJ13-BH13&gt;4,'em16zufall'!BJ13-'em16zufall'!BH13&gt;4)),2,IF(OR(AND(BH13=BJ13,'em16zufall'!BH13='em16zufall'!BJ13),(BH13-BJ13)*('em16zufall'!BH13-'em16zufall'!BJ13)&gt;0),1,0))))+IF(BH13='em16zufall'!BH13,1,0)+IF(BJ13='em16zufall'!BJ13,1,0)</f>
        <v>1</v>
      </c>
      <c r="CY13" s="24" t="str">
        <f>IF('em16zufall'!BK13='em16zufall'!$B$63,'em16zufall'!BK13,"")</f>
        <v>ok</v>
      </c>
      <c r="DA13" s="170" t="s">
        <v>154</v>
      </c>
      <c r="DB13" s="169">
        <v>16</v>
      </c>
    </row>
    <row r="14" spans="1:106" ht="12.75">
      <c r="A14" s="2">
        <v>4</v>
      </c>
      <c r="B14" s="7">
        <f>'em16zufall'!B14</f>
        <v>42532.75</v>
      </c>
      <c r="C14" s="7" t="str">
        <f>'em16zufall'!C14</f>
        <v>Bordeaux</v>
      </c>
      <c r="D14" s="125" t="str">
        <f>Y14</f>
        <v>Wales</v>
      </c>
      <c r="E14" s="125" t="s">
        <v>21</v>
      </c>
      <c r="F14" s="125" t="str">
        <f>Y15</f>
        <v>Slowakei</v>
      </c>
      <c r="G14" s="125"/>
      <c r="H14" s="136">
        <f ca="1" t="shared" si="4"/>
        <v>5</v>
      </c>
      <c r="I14" s="160" t="s">
        <v>22</v>
      </c>
      <c r="J14" s="136">
        <f ca="1" t="shared" si="5"/>
        <v>1</v>
      </c>
      <c r="K14" s="1" t="s">
        <v>23</v>
      </c>
      <c r="L14" s="1"/>
      <c r="M14" s="11" t="str">
        <f>VLOOKUP(3,$X$12:$AC$15,2,FALSE)</f>
        <v>Slowakei</v>
      </c>
      <c r="N14" s="2">
        <f>VLOOKUP(3,$X$12:$AC$15,3,FALSE)</f>
        <v>3</v>
      </c>
      <c r="O14" s="2">
        <f>VLOOKUP(3,$X$12:$AC$15,4,FALSE)</f>
        <v>5</v>
      </c>
      <c r="P14" s="2">
        <f>VLOOKUP(3,$X$12:$AC$15,5,FALSE)</f>
        <v>8</v>
      </c>
      <c r="Q14" s="2">
        <f>VLOOKUP(3,$X$12:$AC$15,6,FALSE)</f>
        <v>-3</v>
      </c>
      <c r="S14" s="130">
        <f>IF(J15="",0,IF(K15=$B$63,IF(H15&lt;J15,3,IF(H15=J15,1,0)),0))</f>
        <v>0</v>
      </c>
      <c r="T14" s="130">
        <f>IF(J18="",0,IF(K18=$B$63,IF(H18&lt;J18,3,IF(H18=J18,1,0)),0))</f>
        <v>0</v>
      </c>
      <c r="U14" s="129"/>
      <c r="V14" s="130">
        <f>IF(H14="",0,IF(K14=$B$63,IF(H14&gt;J14,3,IF(H14=J14,1,0)),0))</f>
        <v>3</v>
      </c>
      <c r="W14" s="131"/>
      <c r="X14" s="185">
        <f>RANK(AD14,AD12:AD15)+COUNTIF(AD12:AD14,AD14)-1</f>
        <v>2</v>
      </c>
      <c r="Y14" s="132" t="str">
        <f>'em16zufall'!Y14</f>
        <v>Wales</v>
      </c>
      <c r="Z14" s="131">
        <f>SUM(S14:V14)</f>
        <v>3</v>
      </c>
      <c r="AA14" s="131">
        <f>SUM(S18:V18)</f>
        <v>12</v>
      </c>
      <c r="AB14" s="131">
        <f>SUM(U16:U19)</f>
        <v>12</v>
      </c>
      <c r="AC14" s="131">
        <f>AA14-AB14</f>
        <v>0</v>
      </c>
      <c r="AD14" s="133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300120000020902</v>
      </c>
      <c r="AE14" s="134"/>
      <c r="AF14" s="135">
        <f>IF($Z14=$Z12,$S14-$U12,0)</f>
        <v>0</v>
      </c>
      <c r="AG14" s="135">
        <f>IF($Z14=$Z13,$T14-$U13,0)</f>
        <v>-3</v>
      </c>
      <c r="AH14" s="135"/>
      <c r="AI14" s="135">
        <f>IF($Z14=$Z15,$V14-$U15,0)</f>
        <v>3</v>
      </c>
      <c r="AJ14" s="135">
        <f>SUM(AF14:AI14)</f>
        <v>0</v>
      </c>
      <c r="AK14" s="134"/>
      <c r="AL14" s="135">
        <f>IF($Z14=$Z12,$S18-$U16,0)</f>
        <v>0</v>
      </c>
      <c r="AM14" s="135">
        <f>IF($Z14=$Z13,$T18-$U17,0)</f>
        <v>-2</v>
      </c>
      <c r="AN14" s="135"/>
      <c r="AO14" s="135">
        <f>IF($Z14=$Z15,$V18-$U19,0)</f>
        <v>4</v>
      </c>
      <c r="AP14" s="135">
        <f>SUM(AL14:AO14)</f>
        <v>2</v>
      </c>
      <c r="AQ14" s="135">
        <f>IF($Z14=$Z12,$S18,0)</f>
        <v>0</v>
      </c>
      <c r="AR14" s="135">
        <f>IF($Z14=$Z13,$T18,0)</f>
        <v>4</v>
      </c>
      <c r="AS14" s="135"/>
      <c r="AT14" s="135">
        <f>IF($Z14=$Z15,$V18,0)</f>
        <v>5</v>
      </c>
      <c r="AU14" s="135">
        <f>SUM(AQ14:AT14)</f>
        <v>9</v>
      </c>
      <c r="AV14" s="184">
        <f>IF(AND(COUNTIF(K13:K18,$B$63)=COUNTA(H13:H18),COUNTIF(K13:K18,$B$63)=COUNTA(J13:J18)),IF(AU14=AU12,S18-U16,IF(AU14=AU13,T18-U17,IF(AU14=AU15,V18-U19,2))),2)</f>
        <v>2</v>
      </c>
      <c r="AW14" s="133"/>
      <c r="AX14" s="24">
        <f>IF(OR('em16zufall'!H14="",'em16zufall'!J14=""),0,IF(H14-J14='em16zufall'!H14-'em16zufall'!J14,3,IF(OR(AND(H14-J14&gt;4,'em16zufall'!H14-'em16zufall'!J14&gt;4),AND(J14-H14&gt;4,'em16zufall'!J14-'em16zufall'!H14&gt;4)),2,IF(OR(AND(H14=J14,'em16zufall'!H14='em16zufall'!J14),(H14-J14)*('em16zufall'!H14-'em16zufall'!J14)&gt;0),1,0))))+IF(H14='em16zufall'!H14,1,0)+IF(J14='em16zufall'!J14,1,0)</f>
        <v>1</v>
      </c>
      <c r="AY14" s="24" t="str">
        <f>IF('em16zufall'!K14='em16zufall'!$B$63,'em16zufall'!K14,"")</f>
        <v>ok</v>
      </c>
      <c r="BA14" s="2">
        <v>10</v>
      </c>
      <c r="BB14" s="7">
        <f>'em16zufall'!BB14</f>
        <v>42534.75</v>
      </c>
      <c r="BC14" s="7" t="str">
        <f>'em16zufall'!BC14</f>
        <v>Paris St.Denis</v>
      </c>
      <c r="BD14" s="125" t="str">
        <f>BY14</f>
        <v>Irland</v>
      </c>
      <c r="BE14" s="80" t="s">
        <v>21</v>
      </c>
      <c r="BF14" s="125" t="str">
        <f>BY15</f>
        <v>Schweden</v>
      </c>
      <c r="BG14" s="124"/>
      <c r="BH14" s="137">
        <f ca="1" t="shared" si="6"/>
        <v>4</v>
      </c>
      <c r="BI14" s="164" t="s">
        <v>22</v>
      </c>
      <c r="BJ14" s="136">
        <f ca="1" t="shared" si="7"/>
        <v>1</v>
      </c>
      <c r="BK14" s="1" t="s">
        <v>23</v>
      </c>
      <c r="BL14" s="1"/>
      <c r="BM14" s="11" t="str">
        <f>VLOOKUP(3,$BX$12:$CC$15,2,FALSE)</f>
        <v>Schweden</v>
      </c>
      <c r="BN14" s="2">
        <f>VLOOKUP(3,$BX$12:$CC$15,3,FALSE)</f>
        <v>3</v>
      </c>
      <c r="BO14" s="2">
        <f>VLOOKUP(3,$BX$12:$CC$15,4,FALSE)</f>
        <v>5</v>
      </c>
      <c r="BP14" s="2">
        <f>VLOOKUP(3,$BX$12:$CC$15,5,FALSE)</f>
        <v>8</v>
      </c>
      <c r="BQ14" s="2">
        <f>VLOOKUP(3,$BX$12:$CC$15,6,FALSE)</f>
        <v>-3</v>
      </c>
      <c r="BS14" s="130">
        <f>IF(BJ15="",0,IF(BK15=$B$63,IF(BH15&lt;BJ15,3,IF(BH15=BJ15,1,0)),0))</f>
        <v>1</v>
      </c>
      <c r="BT14" s="130">
        <f>IF(BJ18="",0,IF(BK18=$B$63,IF(BH18&lt;BJ18,3,IF(BH18=BJ18,1,0)),0))</f>
        <v>3</v>
      </c>
      <c r="BU14" s="129"/>
      <c r="BV14" s="130">
        <f>IF(BH14="",0,IF(BK14=$B$63,IF(BH14&gt;BJ14,3,IF(BH14=BJ14,1,0)),0))</f>
        <v>3</v>
      </c>
      <c r="BW14" s="1"/>
      <c r="BX14" s="185">
        <f>RANK(CD14,CD12:CD15)+COUNTIF(CD12:CD14,CD14)-1</f>
        <v>1</v>
      </c>
      <c r="BY14" s="132" t="str">
        <f>'em16zufall'!BY14</f>
        <v>Irland</v>
      </c>
      <c r="BZ14" s="1">
        <f>SUM(BS14:BV14)</f>
        <v>7</v>
      </c>
      <c r="CA14" s="1">
        <f>SUM(BS18:BV18)</f>
        <v>7</v>
      </c>
      <c r="CB14" s="1">
        <f>SUM(BU16:BU19)</f>
        <v>3</v>
      </c>
      <c r="CC14" s="1">
        <f>CA14-CB14</f>
        <v>4</v>
      </c>
      <c r="CD14" s="33">
        <f>IF(BP$18="",CE14*10000000000000000+BZ14*100000000000000+CC14*1000000000000+CA14*10000000000+CK14*100000000+CJ14*1000000+CP14*10000+CU14*100+CV14,CE14*10000000000000000+BZ14*100000000000000+CK14*1000000000000+CJ14*10000000000+CP14*100000000+CU14*1000000+CC14*10000+CA14*100+CV14)</f>
        <v>704070000000000</v>
      </c>
      <c r="CE14" s="5"/>
      <c r="CF14" s="34">
        <f>IF($BZ14=$BZ12,$BS14-$BU12,0)</f>
        <v>0</v>
      </c>
      <c r="CG14" s="34">
        <f>IF($BZ14=$BZ13,$BT14-$BU13,0)</f>
        <v>0</v>
      </c>
      <c r="CH14" s="34"/>
      <c r="CI14" s="34">
        <f>IF($BZ14=$BZ15,$BV14-$BU15,0)</f>
        <v>0</v>
      </c>
      <c r="CJ14" s="34">
        <f>SUM(CF14:CI14)</f>
        <v>0</v>
      </c>
      <c r="CK14" s="5"/>
      <c r="CL14" s="34">
        <f>IF($BZ14=$BZ12,$BS18-$BU16,0)</f>
        <v>0</v>
      </c>
      <c r="CM14" s="34">
        <f>IF($BZ14=$BZ13,$BT18-$BU17,0)</f>
        <v>0</v>
      </c>
      <c r="CN14" s="34"/>
      <c r="CO14" s="34">
        <f>IF($BZ14=$BZ15,$BV18-$BU19,0)</f>
        <v>0</v>
      </c>
      <c r="CP14" s="34">
        <f>SUM(CL14:CO14)</f>
        <v>0</v>
      </c>
      <c r="CQ14" s="34">
        <f>IF($BZ14=$BZ12,$BS18,0)</f>
        <v>0</v>
      </c>
      <c r="CR14" s="34">
        <f>IF($BZ14=$BZ13,$BT18,0)</f>
        <v>0</v>
      </c>
      <c r="CS14" s="34"/>
      <c r="CT14" s="34">
        <f>IF($BZ14=$BZ15,$BV18,0)</f>
        <v>0</v>
      </c>
      <c r="CU14" s="34">
        <f>SUM(CQ14:CT14)</f>
        <v>0</v>
      </c>
      <c r="CV14" s="184">
        <f>IF(AND(COUNTIF(BK13:BK18,$B$63)=COUNTA(BH13:BH18),COUNTIF(BK13:BK18,$B$63)=COUNTA(BJ13:BJ18)),IF(CU14=CU12,BS18-BU16,IF(CU14=CU13,BT18-BU17,IF(CU14=CU15,BV18-BU19,2))),2)</f>
        <v>0</v>
      </c>
      <c r="CX14" s="24">
        <f>IF(OR('em16zufall'!BH14="",'em16zufall'!BJ14=""),0,IF(BH14-BJ14='em16zufall'!BH14-'em16zufall'!BJ14,3,IF(OR(AND(BH14-BJ14&gt;4,'em16zufall'!BH14-'em16zufall'!BJ14&gt;4),AND(BJ14-BH14&gt;4,'em16zufall'!BJ14-'em16zufall'!BH14&gt;4)),2,IF(OR(AND(BH14=BJ14,'em16zufall'!BH14='em16zufall'!BJ14),(BH14-BJ14)*('em16zufall'!BH14-'em16zufall'!BJ14)&gt;0),1,0))))+IF(BH14='em16zufall'!BH14,1,0)+IF(BJ14='em16zufall'!BJ14,1,0)</f>
        <v>1</v>
      </c>
      <c r="CY14" s="24" t="str">
        <f>IF('em16zufall'!BK14='em16zufall'!$B$63,'em16zufall'!BK14,"")</f>
        <v>ok</v>
      </c>
      <c r="DA14" s="161"/>
      <c r="DB14" s="162"/>
    </row>
    <row r="15" spans="1:106" ht="12.75">
      <c r="A15" s="2">
        <f>A13+12</f>
        <v>15</v>
      </c>
      <c r="B15" s="7">
        <f>'em16zufall'!B15</f>
        <v>42537.625</v>
      </c>
      <c r="C15" s="7" t="str">
        <f>'em16zufall'!C15</f>
        <v>Lens</v>
      </c>
      <c r="D15" s="125" t="str">
        <f>Y12</f>
        <v>England</v>
      </c>
      <c r="E15" s="125" t="s">
        <v>21</v>
      </c>
      <c r="F15" s="125" t="str">
        <f>Y14</f>
        <v>Wales</v>
      </c>
      <c r="G15" s="125"/>
      <c r="H15" s="136">
        <f ca="1" t="shared" si="4"/>
        <v>5</v>
      </c>
      <c r="I15" s="160" t="s">
        <v>22</v>
      </c>
      <c r="J15" s="136">
        <f ca="1" t="shared" si="5"/>
        <v>3</v>
      </c>
      <c r="K15" s="1" t="s">
        <v>23</v>
      </c>
      <c r="L15" s="1"/>
      <c r="M15" s="11" t="str">
        <f>VLOOKUP(4,$X$12:$AC$15,2,FALSE)</f>
        <v>Russland</v>
      </c>
      <c r="N15" s="2">
        <f>VLOOKUP(4,$X$12:$AC$15,3,FALSE)</f>
        <v>3</v>
      </c>
      <c r="O15" s="2">
        <f>VLOOKUP(4,$X$12:$AC$15,4,FALSE)</f>
        <v>7</v>
      </c>
      <c r="P15" s="2">
        <f>VLOOKUP(4,$X$12:$AC$15,5,FALSE)</f>
        <v>12</v>
      </c>
      <c r="Q15" s="2">
        <f>VLOOKUP(4,$X$12:$AC$15,6,FALSE)</f>
        <v>-5</v>
      </c>
      <c r="S15" s="130">
        <f>IF(H17="",0,IF(K17=$B$63,IF(H17&gt;J17,3,IF(H17=J17,1,0)),0))</f>
        <v>0</v>
      </c>
      <c r="T15" s="130">
        <f>IF(J16="",0,IF(K16=$B$63,IF(H16&lt;J16,3,IF(H16=J16,1,0)),0))</f>
        <v>3</v>
      </c>
      <c r="U15" s="130">
        <f>IF(J14="",0,IF(K14=$B$63,IF(H14&lt;J14,3,IF(H14=J14,1,0)),0))</f>
        <v>0</v>
      </c>
      <c r="V15" s="129"/>
      <c r="W15" s="131"/>
      <c r="X15" s="185">
        <f>RANK(AD15,AD12:AD15)+COUNTIF(AD12:AD15,AD15)-1</f>
        <v>3</v>
      </c>
      <c r="Y15" s="132" t="str">
        <f>'em16zufall'!Y15</f>
        <v>Slowakei</v>
      </c>
      <c r="Z15" s="131">
        <f>SUM(S15:V15)</f>
        <v>3</v>
      </c>
      <c r="AA15" s="131">
        <f>SUM(S19:V19)</f>
        <v>5</v>
      </c>
      <c r="AB15" s="131">
        <f>SUM(V16:V19)</f>
        <v>8</v>
      </c>
      <c r="AC15" s="131">
        <f>AA15-AB15</f>
        <v>-3</v>
      </c>
      <c r="AD15" s="133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297049999990501</v>
      </c>
      <c r="AE15" s="134"/>
      <c r="AF15" s="135">
        <f>IF($Z15=$Z12,$S15-$V12,0)</f>
        <v>0</v>
      </c>
      <c r="AG15" s="135">
        <f>IF($Z15=$Z13,$T15-$V13,0)</f>
        <v>3</v>
      </c>
      <c r="AH15" s="135">
        <f>IF($Z15=$Z14,$U15-$V14,0)</f>
        <v>-3</v>
      </c>
      <c r="AI15" s="135"/>
      <c r="AJ15" s="135">
        <f>SUM(AF15:AI15)</f>
        <v>0</v>
      </c>
      <c r="AK15" s="134"/>
      <c r="AL15" s="135">
        <f>IF($Z15=$Z12,$S19-$V16,0)</f>
        <v>0</v>
      </c>
      <c r="AM15" s="135">
        <f>IF($Z15=$Z13,$T19-$V17,0)</f>
        <v>3</v>
      </c>
      <c r="AN15" s="135">
        <f>IF($Z15=$Z14,$U19-$V18,0)</f>
        <v>-4</v>
      </c>
      <c r="AO15" s="135"/>
      <c r="AP15" s="135">
        <f>SUM(AL15:AO15)</f>
        <v>-1</v>
      </c>
      <c r="AQ15" s="135">
        <f>IF($Z15=$Z12,$S19,0)</f>
        <v>0</v>
      </c>
      <c r="AR15" s="135">
        <f>IF($Z15=$Z13,$T19,0)</f>
        <v>4</v>
      </c>
      <c r="AS15" s="135">
        <f>IF($Z15=$Z14,$U19,0)</f>
        <v>1</v>
      </c>
      <c r="AT15" s="135"/>
      <c r="AU15" s="135">
        <f>SUM(AQ15:AT15)</f>
        <v>5</v>
      </c>
      <c r="AV15" s="184">
        <f>IF(AND(COUNTIF(K13:K18,$B$63)=COUNTA(H13:H18),COUNTIF(K13:K18,$B$63)=COUNTA(J13:J18)),IF(AU15=AU12,S19-V16,IF(AU15=AU13,T19-V17,IF(AU15=AU14,U19-V18,1))),1)</f>
        <v>1</v>
      </c>
      <c r="AW15" s="133"/>
      <c r="AX15" s="24">
        <f>IF(OR('em16zufall'!H15="",'em16zufall'!J15=""),0,IF(H15-J15='em16zufall'!H15-'em16zufall'!J15,3,IF(OR(AND(H15-J15&gt;4,'em16zufall'!H15-'em16zufall'!J15&gt;4),AND(J15-H15&gt;4,'em16zufall'!J15-'em16zufall'!H15&gt;4)),2,IF(OR(AND(H15=J15,'em16zufall'!H15='em16zufall'!J15),(H15-J15)*('em16zufall'!H15-'em16zufall'!J15)&gt;0),1,0))))+IF(H15='em16zufall'!H15,1,0)+IF(J15='em16zufall'!J15,1,0)</f>
        <v>1</v>
      </c>
      <c r="AY15" s="24" t="str">
        <f>IF('em16zufall'!K15='em16zufall'!$B$63,'em16zufall'!K15,"")</f>
        <v>ok</v>
      </c>
      <c r="BA15" s="2">
        <f>BA13+12</f>
        <v>21</v>
      </c>
      <c r="BB15" s="7">
        <f>'em16zufall'!BB15</f>
        <v>42539.625</v>
      </c>
      <c r="BC15" s="7" t="str">
        <f>'em16zufall'!BC15</f>
        <v>Bordeaux</v>
      </c>
      <c r="BD15" s="125" t="str">
        <f>BY12</f>
        <v>Belgien</v>
      </c>
      <c r="BE15" s="80" t="s">
        <v>21</v>
      </c>
      <c r="BF15" s="125" t="str">
        <f>BY14</f>
        <v>Irland</v>
      </c>
      <c r="BG15" s="124"/>
      <c r="BH15" s="137">
        <f ca="1" t="shared" si="6"/>
        <v>0</v>
      </c>
      <c r="BI15" s="164" t="s">
        <v>22</v>
      </c>
      <c r="BJ15" s="136">
        <f ca="1" t="shared" si="7"/>
        <v>0</v>
      </c>
      <c r="BK15" s="1" t="s">
        <v>23</v>
      </c>
      <c r="BL15" s="1"/>
      <c r="BM15" s="11" t="str">
        <f>VLOOKUP(4,$BX$12:CC$15,2,FALSE)</f>
        <v>Belgien</v>
      </c>
      <c r="BN15" s="2">
        <f>VLOOKUP(4,$BX$12:$CC$15,3,FALSE)</f>
        <v>1</v>
      </c>
      <c r="BO15" s="2">
        <f>VLOOKUP(4,$BX$12:$CC$15,4,FALSE)</f>
        <v>2</v>
      </c>
      <c r="BP15" s="2">
        <f>VLOOKUP(4,$BX$12:$CC$15,5,FALSE)</f>
        <v>7</v>
      </c>
      <c r="BQ15" s="2">
        <f>VLOOKUP(4,$BX$12:$CC$15,6,FALSE)</f>
        <v>-5</v>
      </c>
      <c r="BS15" s="130">
        <f>IF(BH17="",0,IF(BK17=$B$63,IF(BH17&gt;BJ17,3,IF(BH17=BJ17,1,0)),0))</f>
        <v>3</v>
      </c>
      <c r="BT15" s="130">
        <f>IF(BJ16="",0,IF(BK16=$B$63,IF(BH16&lt;BJ16,3,IF(BH16=BJ16,1,0)),0))</f>
        <v>0</v>
      </c>
      <c r="BU15" s="130">
        <f>IF(BJ14="",0,IF(BK14=$B$63,IF(BH14&lt;BJ14,3,IF(BH14=BJ14,1,0)),0))</f>
        <v>0</v>
      </c>
      <c r="BV15" s="129"/>
      <c r="BW15" s="1"/>
      <c r="BX15" s="185">
        <f>RANK(CD15,CD12:CD15)+COUNTIF(CD12:CD15,CD15)-1</f>
        <v>3</v>
      </c>
      <c r="BY15" s="132" t="str">
        <f>'em16zufall'!BY15</f>
        <v>Schweden</v>
      </c>
      <c r="BZ15" s="1">
        <f>SUM(BS15:BV15)</f>
        <v>3</v>
      </c>
      <c r="CA15" s="1">
        <f>SUM(BS19:BV19)</f>
        <v>5</v>
      </c>
      <c r="CB15" s="1">
        <f>SUM(BV16:BV19)</f>
        <v>8</v>
      </c>
      <c r="CC15" s="1">
        <f>CA15-CB15</f>
        <v>-3</v>
      </c>
      <c r="CD15" s="33">
        <f>IF(BP$18="",CE15*10000000000000000+BZ15*100000000000000+CC15*1000000000000+CA15*10000000000+CK15*100000000+CJ15*1000000+CP15*10000+CU15*100+CV15,CE15*10000000000000000+BZ15*100000000000000+CK15*1000000000000+CJ15*10000000000+CP15*100000000+CU15*1000000+CC15*10000+CA15*100+CV15)</f>
        <v>297050000000002</v>
      </c>
      <c r="CE15" s="5"/>
      <c r="CF15" s="34">
        <f>IF($BZ15=$BZ12,$BS15-$BV12,0)</f>
        <v>0</v>
      </c>
      <c r="CG15" s="34">
        <f>IF($BZ15=$BZ13,$BT15-$BV13,0)</f>
        <v>0</v>
      </c>
      <c r="CH15" s="34">
        <f>IF($BZ15=$BZ14,$BU15-$BV14,0)</f>
        <v>0</v>
      </c>
      <c r="CI15" s="34"/>
      <c r="CJ15" s="34">
        <f>SUM(CF15:CI15)</f>
        <v>0</v>
      </c>
      <c r="CK15" s="5"/>
      <c r="CL15" s="34">
        <f>IF($BZ15=$BZ12,$BS19-$BV16,0)</f>
        <v>0</v>
      </c>
      <c r="CM15" s="34">
        <f>IF($BZ15=$BZ13,$BT19-$BV17,0)</f>
        <v>0</v>
      </c>
      <c r="CN15" s="34">
        <f>IF($BZ15=$BZ14,$BU19-$BV18,0)</f>
        <v>0</v>
      </c>
      <c r="CO15" s="34"/>
      <c r="CP15" s="34">
        <f>SUM(CL15:CO15)</f>
        <v>0</v>
      </c>
      <c r="CQ15" s="34">
        <f>IF($BZ15=$BZ12,$BS19,0)</f>
        <v>0</v>
      </c>
      <c r="CR15" s="34">
        <f>IF($BZ15=$BZ13,$BT19,0)</f>
        <v>0</v>
      </c>
      <c r="CS15" s="34">
        <f>IF($BZ15=$BZ14,$BU19,0)</f>
        <v>0</v>
      </c>
      <c r="CT15" s="34"/>
      <c r="CU15" s="34">
        <f>SUM(CQ15:CT15)</f>
        <v>0</v>
      </c>
      <c r="CV15" s="184">
        <f>IF(AND(COUNTIF(BK13:BK18,$B$63)=COUNTA(BH13:BH18),COUNTIF(BK13:BK18,$B$63)=COUNTA(BJ13:BJ18)),IF(CU15=CU12,BS19-BV16,IF(CU15=CU13,BT19-BV17,IF(CU15=CU14,BU19-BV18,1))),1)</f>
        <v>2</v>
      </c>
      <c r="CX15" s="24">
        <f>IF(OR('em16zufall'!BH15="",'em16zufall'!BJ15=""),0,IF(BH15-BJ15='em16zufall'!BH15-'em16zufall'!BJ15,3,IF(OR(AND(BH15-BJ15&gt;4,'em16zufall'!BH15-'em16zufall'!BJ15&gt;4),AND(BJ15-BH15&gt;4,'em16zufall'!BJ15-'em16zufall'!BH15&gt;4)),2,IF(OR(AND(BH15=BJ15,'em16zufall'!BH15='em16zufall'!BJ15),(BH15-BJ15)*('em16zufall'!BH15-'em16zufall'!BJ15)&gt;0),1,0))))+IF(BH15='em16zufall'!BH15,1,0)+IF(BJ15='em16zufall'!BJ15,1,0)</f>
        <v>1</v>
      </c>
      <c r="CY15" s="24" t="str">
        <f>IF('em16zufall'!BK15='em16zufall'!$B$63,'em16zufall'!BK15,"")</f>
        <v>ok</v>
      </c>
      <c r="DA15" s="171" t="s">
        <v>155</v>
      </c>
      <c r="DB15" s="166">
        <f>DB18*(DB17+2*DB16)</f>
        <v>40</v>
      </c>
    </row>
    <row r="16" spans="1:106" ht="12.75">
      <c r="A16" s="2">
        <f>A14+12</f>
        <v>16</v>
      </c>
      <c r="B16" s="7">
        <f>'em16zufall'!B16</f>
        <v>42536.625</v>
      </c>
      <c r="C16" s="7" t="str">
        <f>'em16zufall'!C16</f>
        <v>Lille</v>
      </c>
      <c r="D16" s="125" t="str">
        <f>Y13</f>
        <v>Russland</v>
      </c>
      <c r="E16" s="125" t="s">
        <v>21</v>
      </c>
      <c r="F16" s="125" t="str">
        <f>Y15</f>
        <v>Slowakei</v>
      </c>
      <c r="G16" s="125"/>
      <c r="H16" s="136">
        <f ca="1" t="shared" si="4"/>
        <v>1</v>
      </c>
      <c r="I16" s="160" t="s">
        <v>22</v>
      </c>
      <c r="J16" s="136">
        <f ca="1" t="shared" si="5"/>
        <v>4</v>
      </c>
      <c r="K16" s="1" t="s">
        <v>23</v>
      </c>
      <c r="L16" s="1"/>
      <c r="S16" s="129"/>
      <c r="T16" s="130">
        <f>IF(K13=$B$63,H13,0)</f>
        <v>4</v>
      </c>
      <c r="U16" s="130">
        <f>IF(K15=$B$63,H15,0)</f>
        <v>5</v>
      </c>
      <c r="V16" s="130">
        <f>IF(K17=$B$63,J17,0)</f>
        <v>2</v>
      </c>
      <c r="W16" s="131"/>
      <c r="X16" s="131"/>
      <c r="Y16" s="131"/>
      <c r="Z16" s="131"/>
      <c r="AA16" s="131"/>
      <c r="AB16" s="131"/>
      <c r="AC16" s="131"/>
      <c r="AD16" s="138"/>
      <c r="AE16" s="139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V16" s="135"/>
      <c r="AW16" s="133"/>
      <c r="AX16" s="24">
        <f>IF(OR('em16zufall'!H16="",'em16zufall'!J16=""),0,IF(H16-J16='em16zufall'!H16-'em16zufall'!J16,3,IF(OR(AND(H16-J16&gt;4,'em16zufall'!H16-'em16zufall'!J16&gt;4),AND(J16-H16&gt;4,'em16zufall'!J16-'em16zufall'!H16&gt;4)),2,IF(OR(AND(H16=J16,'em16zufall'!H16='em16zufall'!J16),(H16-J16)*('em16zufall'!H16-'em16zufall'!J16)&gt;0),1,0))))+IF(H16='em16zufall'!H16,1,0)+IF(J16='em16zufall'!J16,1,0)</f>
        <v>1</v>
      </c>
      <c r="AY16" s="24" t="str">
        <f>IF('em16zufall'!K16='em16zufall'!$B$63,'em16zufall'!K16,"")</f>
        <v>ok</v>
      </c>
      <c r="BA16" s="2">
        <f>BA14+12</f>
        <v>22</v>
      </c>
      <c r="BB16" s="7">
        <f>'em16zufall'!BB16</f>
        <v>42538.625</v>
      </c>
      <c r="BC16" s="7" t="str">
        <f>'em16zufall'!BC16</f>
        <v>Toulouse</v>
      </c>
      <c r="BD16" s="125" t="str">
        <f>BY13</f>
        <v>Italien</v>
      </c>
      <c r="BE16" s="80" t="s">
        <v>21</v>
      </c>
      <c r="BF16" s="125" t="str">
        <f>BY15</f>
        <v>Schweden</v>
      </c>
      <c r="BG16" s="124"/>
      <c r="BH16" s="137">
        <f ca="1" t="shared" si="6"/>
        <v>3</v>
      </c>
      <c r="BI16" s="164" t="s">
        <v>22</v>
      </c>
      <c r="BJ16" s="136">
        <f ca="1" t="shared" si="7"/>
        <v>1</v>
      </c>
      <c r="BK16" s="1" t="s">
        <v>23</v>
      </c>
      <c r="BL16" s="1"/>
      <c r="BS16" s="129"/>
      <c r="BT16" s="130">
        <f>IF(BK13=$B$63,BH13,0)</f>
        <v>1</v>
      </c>
      <c r="BU16" s="130">
        <f>IF(BK15=$B$63,BH15,0)</f>
        <v>0</v>
      </c>
      <c r="BV16" s="130">
        <f>IF(BK17=$B$63,BJ17,0)</f>
        <v>1</v>
      </c>
      <c r="BW16" s="1"/>
      <c r="BX16" s="1"/>
      <c r="BY16" s="131"/>
      <c r="BZ16" s="1"/>
      <c r="CA16" s="1"/>
      <c r="CB16" s="1"/>
      <c r="CC16" s="1"/>
      <c r="CD16" s="6"/>
      <c r="CE16" s="9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V16" s="34"/>
      <c r="CX16" s="24">
        <f>IF(OR('em16zufall'!BH16="",'em16zufall'!BJ16=""),0,IF(BH16-BJ16='em16zufall'!BH16-'em16zufall'!BJ16,3,IF(OR(AND(BH16-BJ16&gt;4,'em16zufall'!BH16-'em16zufall'!BJ16&gt;4),AND(BJ16-BH16&gt;4,'em16zufall'!BJ16-'em16zufall'!BH16&gt;4)),2,IF(OR(AND(BH16=BJ16,'em16zufall'!BH16='em16zufall'!BJ16),(BH16-BJ16)*('em16zufall'!BH16-'em16zufall'!BJ16)&gt;0),1,0))))+IF(BH16='em16zufall'!BH16,1,0)+IF(BJ16='em16zufall'!BJ16,1,0)</f>
        <v>1</v>
      </c>
      <c r="CY16" s="24" t="str">
        <f>IF('em16zufall'!BK16='em16zufall'!$B$63,'em16zufall'!BK16,"")</f>
        <v>ok</v>
      </c>
      <c r="DA16" s="172" t="s">
        <v>156</v>
      </c>
      <c r="DB16" s="162">
        <v>1</v>
      </c>
    </row>
    <row r="17" spans="1:106" ht="12.75">
      <c r="A17" s="2">
        <f>A15+12</f>
        <v>27</v>
      </c>
      <c r="B17" s="7">
        <f>'em16zufall'!B17</f>
        <v>42541.875</v>
      </c>
      <c r="C17" s="7" t="str">
        <f>'em16zufall'!C17</f>
        <v>St.Étienne</v>
      </c>
      <c r="D17" s="125" t="str">
        <f>Y15</f>
        <v>Slowakei</v>
      </c>
      <c r="E17" s="125" t="s">
        <v>21</v>
      </c>
      <c r="F17" s="125" t="str">
        <f>Y12</f>
        <v>England</v>
      </c>
      <c r="G17" s="125"/>
      <c r="H17" s="136">
        <f ca="1" t="shared" si="4"/>
        <v>0</v>
      </c>
      <c r="I17" s="160" t="s">
        <v>22</v>
      </c>
      <c r="J17" s="136">
        <f ca="1" t="shared" si="5"/>
        <v>2</v>
      </c>
      <c r="K17" s="1" t="s">
        <v>23</v>
      </c>
      <c r="M17" s="71" t="str">
        <f>IF(N12&gt;0,M12,"")</f>
        <v>England</v>
      </c>
      <c r="N17" s="2" t="s">
        <v>27</v>
      </c>
      <c r="S17" s="130">
        <f>IF(K13=$B$63,J13,0)</f>
        <v>0</v>
      </c>
      <c r="T17" s="129"/>
      <c r="U17" s="130">
        <f>IF(K18=$B$63,H18,0)</f>
        <v>6</v>
      </c>
      <c r="V17" s="130">
        <f>IF(K16=$B$63,H16,0)</f>
        <v>1</v>
      </c>
      <c r="AD17" s="123" t="s">
        <v>119</v>
      </c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V17" s="141"/>
      <c r="AW17" s="133"/>
      <c r="AX17" s="24">
        <f>IF(OR('em16zufall'!H17="",'em16zufall'!J17=""),0,IF(H17-J17='em16zufall'!H17-'em16zufall'!J17,3,IF(OR(AND(H17-J17&gt;4,'em16zufall'!H17-'em16zufall'!J17&gt;4),AND(J17-H17&gt;4,'em16zufall'!J17-'em16zufall'!H17&gt;4)),2,IF(OR(AND(H17=J17,'em16zufall'!H17='em16zufall'!J17),(H17-J17)*('em16zufall'!H17-'em16zufall'!J17)&gt;0),1,0))))+IF(H17='em16zufall'!H17,1,0)+IF(J17='em16zufall'!J17,1,0)</f>
        <v>0</v>
      </c>
      <c r="AY17" s="24" t="str">
        <f>IF('em16zufall'!K18='em16zufall'!$B$63,'em16zufall'!K18,"")</f>
        <v>ok</v>
      </c>
      <c r="BA17" s="2">
        <f>BA15+12</f>
        <v>33</v>
      </c>
      <c r="BB17" s="7">
        <f>'em16zufall'!BB17</f>
        <v>42543.875</v>
      </c>
      <c r="BC17" s="7" t="str">
        <f>'em16zufall'!BC17</f>
        <v>Nizza</v>
      </c>
      <c r="BD17" s="125" t="str">
        <f>BY15</f>
        <v>Schweden</v>
      </c>
      <c r="BE17" s="80" t="s">
        <v>21</v>
      </c>
      <c r="BF17" s="125" t="str">
        <f>BY12</f>
        <v>Belgien</v>
      </c>
      <c r="BG17" s="123"/>
      <c r="BH17" s="136">
        <f ca="1" t="shared" si="6"/>
        <v>3</v>
      </c>
      <c r="BI17" s="164" t="s">
        <v>22</v>
      </c>
      <c r="BJ17" s="137">
        <f ca="1" t="shared" si="7"/>
        <v>1</v>
      </c>
      <c r="BK17" s="1" t="s">
        <v>23</v>
      </c>
      <c r="BM17" s="74" t="str">
        <f>IF(BN12&gt;0,BM12,"")</f>
        <v>Irland</v>
      </c>
      <c r="BN17" s="2" t="s">
        <v>36</v>
      </c>
      <c r="BS17" s="130">
        <f>IF(BK13=$B$63,BJ13,0)</f>
        <v>4</v>
      </c>
      <c r="BT17" s="129"/>
      <c r="BU17" s="130">
        <f>IF(BK18=$B$63,BH18,0)</f>
        <v>2</v>
      </c>
      <c r="BV17" s="130">
        <f>IF(BK16=$B$63,BH16,0)</f>
        <v>3</v>
      </c>
      <c r="CD17" s="2" t="s">
        <v>119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V17" s="35"/>
      <c r="CX17" s="24">
        <f>IF(OR('em16zufall'!BH17="",'em16zufall'!BJ17=""),0,IF(BH17-BJ17='em16zufall'!BH17-'em16zufall'!BJ17,3,IF(OR(AND(BH17-BJ17&gt;4,'em16zufall'!BH17-'em16zufall'!BJ17&gt;4),AND(BJ17-BH17&gt;4,'em16zufall'!BJ17-'em16zufall'!BH17&gt;4)),2,IF(OR(AND(BH17=BJ17,'em16zufall'!BH17='em16zufall'!BJ17),(BH17-BJ17)*('em16zufall'!BH17-'em16zufall'!BJ17)&gt;0),1,0))))+IF(BH17='em16zufall'!BH17,1,0)+IF(BJ17='em16zufall'!BJ17,1,0)</f>
        <v>1</v>
      </c>
      <c r="CY17" s="24" t="str">
        <f>IF('em16zufall'!BK18='em16zufall'!$B$63,'em16zufall'!BK18,"")</f>
        <v>ok</v>
      </c>
      <c r="DA17" s="172" t="s">
        <v>157</v>
      </c>
      <c r="DB17" s="162">
        <v>3</v>
      </c>
    </row>
    <row r="18" spans="1:106" ht="12.75">
      <c r="A18" s="2">
        <f>A16+12</f>
        <v>28</v>
      </c>
      <c r="B18" s="7">
        <f>'em16zufall'!B18</f>
        <v>42541.875</v>
      </c>
      <c r="C18" s="7" t="str">
        <f>'em16zufall'!C18</f>
        <v>Toulouse</v>
      </c>
      <c r="D18" s="125" t="str">
        <f>Y13</f>
        <v>Russland</v>
      </c>
      <c r="E18" s="125" t="s">
        <v>21</v>
      </c>
      <c r="F18" s="125" t="str">
        <f>Y14</f>
        <v>Wales</v>
      </c>
      <c r="G18" s="125"/>
      <c r="H18" s="136">
        <f ca="1" t="shared" si="4"/>
        <v>6</v>
      </c>
      <c r="I18" s="160" t="s">
        <v>22</v>
      </c>
      <c r="J18" s="136">
        <f ca="1" t="shared" si="5"/>
        <v>4</v>
      </c>
      <c r="K18" s="1" t="s">
        <v>23</v>
      </c>
      <c r="M18" s="71" t="str">
        <f>IF(N13&gt;0,M13,"")</f>
        <v>Wales</v>
      </c>
      <c r="N18" s="2" t="s">
        <v>28</v>
      </c>
      <c r="S18" s="130">
        <f>IF(K15=$B$63,J15,0)</f>
        <v>3</v>
      </c>
      <c r="T18" s="130">
        <f>IF(K18=$B$63,J18,0)</f>
        <v>4</v>
      </c>
      <c r="U18" s="129"/>
      <c r="V18" s="130">
        <f>IF(K14=$B$63,H14,0)</f>
        <v>5</v>
      </c>
      <c r="AD18" s="123" t="s">
        <v>120</v>
      </c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V18" s="141"/>
      <c r="AW18" s="133"/>
      <c r="AX18" s="24">
        <f>IF(OR('em16zufall'!H18="",'em16zufall'!J18=""),0,IF(H18-J18='em16zufall'!H18-'em16zufall'!J18,3,IF(OR(AND(H18-J18&gt;4,'em16zufall'!H18-'em16zufall'!J18&gt;4),AND(J18-H18&gt;4,'em16zufall'!J18-'em16zufall'!H18&gt;4)),2,IF(OR(AND(H18=J18,'em16zufall'!H18='em16zufall'!J18),(H18-J18)*('em16zufall'!H18-'em16zufall'!J18)&gt;0),1,0))))+IF(H18='em16zufall'!H18,1,0)+IF(J18='em16zufall'!J18,1,0)</f>
        <v>1</v>
      </c>
      <c r="AY18" s="24" t="str">
        <f>IF('em16zufall'!K17='em16zufall'!$B$63,'em16zufall'!K17,"")</f>
        <v>ok</v>
      </c>
      <c r="BA18" s="2">
        <f>BA16+12</f>
        <v>34</v>
      </c>
      <c r="BB18" s="7">
        <f>'em16zufall'!BB18</f>
        <v>42543.875</v>
      </c>
      <c r="BC18" s="7" t="str">
        <f>'em16zufall'!BC18</f>
        <v>Lille</v>
      </c>
      <c r="BD18" s="125" t="str">
        <f>BY13</f>
        <v>Italien</v>
      </c>
      <c r="BE18" s="80" t="s">
        <v>21</v>
      </c>
      <c r="BF18" s="125" t="str">
        <f>BY14</f>
        <v>Irland</v>
      </c>
      <c r="BG18" s="123"/>
      <c r="BH18" s="137">
        <f ca="1" t="shared" si="6"/>
        <v>2</v>
      </c>
      <c r="BI18" s="164" t="s">
        <v>22</v>
      </c>
      <c r="BJ18" s="137">
        <f ca="1" t="shared" si="7"/>
        <v>3</v>
      </c>
      <c r="BK18" s="1" t="s">
        <v>23</v>
      </c>
      <c r="BM18" s="74" t="str">
        <f>IF(BN13&gt;0,BM13,"")</f>
        <v>Italien</v>
      </c>
      <c r="BN18" s="2" t="s">
        <v>37</v>
      </c>
      <c r="BS18" s="130">
        <f>IF(BK15=$B$63,BJ15,0)</f>
        <v>0</v>
      </c>
      <c r="BT18" s="130">
        <f>IF(BK18=$B$63,BJ18,0)</f>
        <v>3</v>
      </c>
      <c r="BU18" s="129"/>
      <c r="BV18" s="130">
        <f>IF(BK14=$B$63,BH14,0)</f>
        <v>4</v>
      </c>
      <c r="CD18" s="2" t="s">
        <v>120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V18" s="35"/>
      <c r="CX18" s="24">
        <f>IF(OR('em16zufall'!BH18="",'em16zufall'!BJ18=""),0,IF(BH18-BJ18='em16zufall'!BH18-'em16zufall'!BJ18,3,IF(OR(AND(BH18-BJ18&gt;4,'em16zufall'!BH18-'em16zufall'!BJ18&gt;4),AND(BJ18-BH18&gt;4,'em16zufall'!BJ18-'em16zufall'!BH18&gt;4)),2,IF(OR(AND(BH18=BJ18,'em16zufall'!BH18='em16zufall'!BJ18),(BH18-BJ18)*('em16zufall'!BH18-'em16zufall'!BJ18)&gt;0),1,0))))+IF(BH18='em16zufall'!BH18,1,0)+IF(BJ18='em16zufall'!BJ18,1,0)</f>
        <v>0</v>
      </c>
      <c r="CY18" s="24" t="str">
        <f>IF('em16zufall'!BK17='em16zufall'!$B$63,'em16zufall'!BK17,"")</f>
        <v>ok</v>
      </c>
      <c r="DA18" s="170" t="s">
        <v>151</v>
      </c>
      <c r="DB18" s="162">
        <v>8</v>
      </c>
    </row>
    <row r="19" spans="4:106" ht="12.75">
      <c r="D19" s="125"/>
      <c r="E19" s="125"/>
      <c r="F19" s="125"/>
      <c r="G19" s="125"/>
      <c r="H19" s="125"/>
      <c r="I19" s="125"/>
      <c r="J19" s="125"/>
      <c r="M19" s="71" t="str">
        <f>IF(N14&gt;0,M14,"")</f>
        <v>Slowakei</v>
      </c>
      <c r="N19" s="2" t="s">
        <v>76</v>
      </c>
      <c r="S19" s="130">
        <f>IF(K17=$B$63,H17,0)</f>
        <v>0</v>
      </c>
      <c r="T19" s="130">
        <f>IF(K16=$B$63,J16,0)</f>
        <v>4</v>
      </c>
      <c r="U19" s="130">
        <f>IF(K14=$B$63,J14,0)</f>
        <v>1</v>
      </c>
      <c r="V19" s="129"/>
      <c r="AD19" s="2" t="s">
        <v>200</v>
      </c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V19" s="141"/>
      <c r="AW19" s="133"/>
      <c r="AX19" s="62">
        <f>IF(OR($CX$62="",MOD(SUM($H$3:$J$59)+SUM($BH$3:$BJ$61),3)=0),IF(M19="",0,COUNTIF('em16zufall'!$D$48:'em16zufall'!$F$55,M19)),0)</f>
        <v>0</v>
      </c>
      <c r="AY19" s="24">
        <f>IF(COUNTIF('em16zufall'!K13:'em16zufall'!K17,'em16zufall'!$B$63)=6,"ok","")</f>
      </c>
      <c r="BB19" s="2" t="s">
        <v>2</v>
      </c>
      <c r="BD19" s="123"/>
      <c r="BE19" s="123"/>
      <c r="BF19" s="123"/>
      <c r="BG19" s="123"/>
      <c r="BM19" s="74" t="str">
        <f>IF(BN14&gt;0,BM14,"")</f>
        <v>Schweden</v>
      </c>
      <c r="BN19" s="2" t="s">
        <v>77</v>
      </c>
      <c r="BS19" s="130">
        <f>IF(BK17=$B$63,BH17,0)</f>
        <v>3</v>
      </c>
      <c r="BT19" s="130">
        <f>IF(BK16=$B$63,BJ16,0)</f>
        <v>1</v>
      </c>
      <c r="BU19" s="130">
        <f>IF(BK14=$B$63,BJ14,0)</f>
        <v>1</v>
      </c>
      <c r="BV19" s="129"/>
      <c r="CD19" s="2" t="s">
        <v>200</v>
      </c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V19" s="35"/>
      <c r="CX19" s="25">
        <f>IF(OR($CX$62="",MOD(SUM($H$3:$J$59)+SUM($BH$3:$BJ$61),3)=0),IF(BM19="",0,COUNTIF('em16zufall'!$D$48:'em16zufall'!$F$55,BM19)),0)</f>
        <v>0</v>
      </c>
      <c r="CY19" s="24">
        <f>IF(COUNTIF('em16zufall'!BK13:'em16zufall'!BK17,'em16zufall'!$B$63)=6,"ok","")</f>
      </c>
      <c r="DA19" s="161"/>
      <c r="DB19" s="169"/>
    </row>
    <row r="20" spans="4:100" ht="6" customHeight="1">
      <c r="D20" s="125"/>
      <c r="E20" s="125"/>
      <c r="F20" s="125"/>
      <c r="G20" s="125"/>
      <c r="H20" s="125"/>
      <c r="I20" s="125"/>
      <c r="J20" s="125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V20" s="141"/>
      <c r="AW20" s="133"/>
      <c r="AX20" s="24"/>
      <c r="BD20" s="123"/>
      <c r="BE20" s="126"/>
      <c r="BF20" s="128"/>
      <c r="BG20" s="128"/>
      <c r="BH20" s="123"/>
      <c r="BI20" s="123"/>
      <c r="BJ20" s="123"/>
      <c r="BS20" s="123"/>
      <c r="BT20" s="123"/>
      <c r="BU20" s="123"/>
      <c r="BV20" s="123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V20" s="35"/>
    </row>
    <row r="21" spans="2:103" s="12" customFormat="1" ht="12.75">
      <c r="B21" s="49" t="s">
        <v>0</v>
      </c>
      <c r="C21" s="40" t="s">
        <v>29</v>
      </c>
      <c r="D21" s="125" t="s">
        <v>2</v>
      </c>
      <c r="E21" s="125"/>
      <c r="F21" s="125"/>
      <c r="G21" s="125"/>
      <c r="H21" s="125"/>
      <c r="I21" s="125"/>
      <c r="J21" s="125"/>
      <c r="K21" s="24"/>
      <c r="L21" s="24"/>
      <c r="M21" s="69" t="s">
        <v>3</v>
      </c>
      <c r="N21" s="2" t="s">
        <v>4</v>
      </c>
      <c r="O21" s="2" t="s">
        <v>5</v>
      </c>
      <c r="P21" s="2" t="s">
        <v>6</v>
      </c>
      <c r="Q21" s="2" t="s">
        <v>7</v>
      </c>
      <c r="R21" s="2"/>
      <c r="S21" s="123"/>
      <c r="T21" s="123"/>
      <c r="U21" s="123"/>
      <c r="V21" s="123"/>
      <c r="W21" s="124"/>
      <c r="X21" s="124" t="s">
        <v>8</v>
      </c>
      <c r="Y21" s="125" t="s">
        <v>9</v>
      </c>
      <c r="Z21" s="124" t="s">
        <v>4</v>
      </c>
      <c r="AA21" s="124" t="s">
        <v>5</v>
      </c>
      <c r="AB21" s="124" t="s">
        <v>6</v>
      </c>
      <c r="AC21" s="124" t="s">
        <v>7</v>
      </c>
      <c r="AD21" s="124"/>
      <c r="AE21" s="27" t="s">
        <v>10</v>
      </c>
      <c r="AF21" s="80" t="s">
        <v>11</v>
      </c>
      <c r="AG21" s="80"/>
      <c r="AH21" s="80"/>
      <c r="AI21" s="80"/>
      <c r="AJ21" s="80" t="s">
        <v>12</v>
      </c>
      <c r="AK21" s="125" t="s">
        <v>13</v>
      </c>
      <c r="AL21" s="80" t="s">
        <v>14</v>
      </c>
      <c r="AM21" s="80"/>
      <c r="AN21" s="80"/>
      <c r="AO21" s="80"/>
      <c r="AP21" s="80" t="s">
        <v>15</v>
      </c>
      <c r="AQ21" s="80" t="s">
        <v>16</v>
      </c>
      <c r="AR21" s="80"/>
      <c r="AS21" s="80"/>
      <c r="AT21" s="80"/>
      <c r="AU21" s="126" t="s">
        <v>17</v>
      </c>
      <c r="AV21" s="125" t="s">
        <v>18</v>
      </c>
      <c r="AW21" s="127"/>
      <c r="AX21" s="49">
        <f>IF(OR($CX$62="",MOD(SUM($H$3:$J$59)+SUM($BH$3:$BJ$61),3)=0),IF(M27="",0,COUNTIF('em16zufall'!$D$48:'em16zufall'!$F$55,M27)),0)</f>
        <v>1</v>
      </c>
      <c r="AY21" s="24">
        <f>IF(COUNTIF('em16zufall'!K23:'em16zufall'!K27,'em16zufall'!$B$63)=6,"ok","")</f>
      </c>
      <c r="AZ21" s="128"/>
      <c r="BB21" s="64" t="s">
        <v>0</v>
      </c>
      <c r="BC21" s="75" t="s">
        <v>38</v>
      </c>
      <c r="BD21" s="124" t="s">
        <v>2</v>
      </c>
      <c r="BE21" s="142"/>
      <c r="BF21" s="124"/>
      <c r="BG21" s="124"/>
      <c r="BH21" s="160"/>
      <c r="BI21" s="124"/>
      <c r="BJ21" s="160"/>
      <c r="BK21" s="24"/>
      <c r="BL21" s="24"/>
      <c r="BM21" s="69" t="s">
        <v>3</v>
      </c>
      <c r="BN21" s="2" t="s">
        <v>4</v>
      </c>
      <c r="BO21" s="2" t="s">
        <v>5</v>
      </c>
      <c r="BP21" s="2" t="s">
        <v>6</v>
      </c>
      <c r="BQ21" s="2" t="s">
        <v>7</v>
      </c>
      <c r="BR21" s="2"/>
      <c r="BS21" s="123"/>
      <c r="BT21" s="123"/>
      <c r="BU21" s="123"/>
      <c r="BV21" s="123"/>
      <c r="BW21" s="24"/>
      <c r="BX21" s="24" t="s">
        <v>8</v>
      </c>
      <c r="BY21" s="125" t="s">
        <v>9</v>
      </c>
      <c r="BZ21" s="24" t="s">
        <v>4</v>
      </c>
      <c r="CA21" s="24" t="s">
        <v>5</v>
      </c>
      <c r="CB21" s="24" t="s">
        <v>6</v>
      </c>
      <c r="CC21" s="24" t="s">
        <v>7</v>
      </c>
      <c r="CD21" s="24"/>
      <c r="CE21" s="29" t="s">
        <v>10</v>
      </c>
      <c r="CF21" s="22" t="s">
        <v>11</v>
      </c>
      <c r="CG21" s="22"/>
      <c r="CH21" s="22"/>
      <c r="CI21" s="22"/>
      <c r="CJ21" s="22" t="s">
        <v>12</v>
      </c>
      <c r="CK21" s="30" t="s">
        <v>13</v>
      </c>
      <c r="CL21" s="22" t="s">
        <v>14</v>
      </c>
      <c r="CM21" s="22"/>
      <c r="CN21" s="22"/>
      <c r="CO21" s="22"/>
      <c r="CP21" s="22" t="s">
        <v>15</v>
      </c>
      <c r="CQ21" s="22" t="s">
        <v>16</v>
      </c>
      <c r="CR21" s="22"/>
      <c r="CS21" s="22"/>
      <c r="CT21" s="22"/>
      <c r="CU21" s="23" t="s">
        <v>17</v>
      </c>
      <c r="CV21" s="30" t="s">
        <v>18</v>
      </c>
      <c r="CX21" s="64">
        <f>IF(OR($CX$62="",MOD(SUM($H$3:$J$59)+SUM($BH$3:$BJ$61),3)=0),IF(BM27="",0,COUNTIF('em16zufall'!$D$48:'em16zufall'!$F$55,BM27)),0)</f>
        <v>1</v>
      </c>
      <c r="CY21" s="24">
        <f>IF(COUNTIF('em16zufall'!BK23:'em16zufall'!BK27,'em16zufall'!$B$63)=6,"ok","")</f>
      </c>
    </row>
    <row r="22" spans="2:106" ht="12.75">
      <c r="B22" s="3" t="s">
        <v>19</v>
      </c>
      <c r="C22" s="3" t="s">
        <v>20</v>
      </c>
      <c r="D22" s="125"/>
      <c r="E22" s="125"/>
      <c r="F22" s="125"/>
      <c r="G22" s="125"/>
      <c r="H22" s="125"/>
      <c r="I22" s="125"/>
      <c r="J22" s="125"/>
      <c r="L22" s="1"/>
      <c r="M22" s="11" t="str">
        <f>VLOOKUP(1,$X$22:$AC$25,2,FALSE)</f>
        <v>Polen</v>
      </c>
      <c r="N22" s="2">
        <f>VLOOKUP(1,$X$22:$AC$25,3,FALSE)</f>
        <v>7</v>
      </c>
      <c r="O22" s="2">
        <f>VLOOKUP(1,$X$22:$AC$25,4,FALSE)</f>
        <v>12</v>
      </c>
      <c r="P22" s="2">
        <f>VLOOKUP(1,$X$22:$AC$25,5,FALSE)</f>
        <v>5</v>
      </c>
      <c r="Q22" s="2">
        <f>VLOOKUP(1,$X$22:$AC$25,6,FALSE)</f>
        <v>7</v>
      </c>
      <c r="S22" s="129"/>
      <c r="T22" s="130">
        <f>IF(H23="",0,IF(K23=$B$63,IF(H23&gt;J23,3,IF(H23=J23,1,0)),0))</f>
        <v>3</v>
      </c>
      <c r="U22" s="130">
        <f>IF(H25="",0,IF(K25=$B$63,IF(H25&gt;J25,3,IF(H25=J25,1,0)),0))</f>
        <v>0</v>
      </c>
      <c r="V22" s="130">
        <f>IF(J27="",0,IF(K27=$B$63,IF(H27&lt;J27,3,IF(H27=J27,1,0)),0))</f>
        <v>0</v>
      </c>
      <c r="W22" s="131"/>
      <c r="X22" s="185">
        <f>RANK(AD22,AD22:AD25)+COUNTIF(AD22:AD22,AD22)-1</f>
        <v>3</v>
      </c>
      <c r="Y22" s="132" t="str">
        <f>'em16zufall'!Y22</f>
        <v>Deutschland</v>
      </c>
      <c r="Z22" s="131">
        <f>SUM(S22:V22)</f>
        <v>3</v>
      </c>
      <c r="AA22" s="131">
        <f>SUM(S26:V26)</f>
        <v>4</v>
      </c>
      <c r="AB22" s="131">
        <f>SUM(S26:S29)</f>
        <v>8</v>
      </c>
      <c r="AC22" s="131">
        <f>AA22-AB22</f>
        <v>-4</v>
      </c>
      <c r="AD22" s="133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296040000000002</v>
      </c>
      <c r="AE22" s="134"/>
      <c r="AF22" s="135"/>
      <c r="AG22" s="135">
        <f>IF($Z22=$Z23,$T22-$S23,0)</f>
        <v>0</v>
      </c>
      <c r="AH22" s="135">
        <f>IF($Z22=$Z24,$U22-$S24,0)</f>
        <v>0</v>
      </c>
      <c r="AI22" s="135">
        <f>IF($Z22=$Z25,$V22-$S25,0)</f>
        <v>0</v>
      </c>
      <c r="AJ22" s="135">
        <f>SUM(AF22:AI22)</f>
        <v>0</v>
      </c>
      <c r="AK22" s="134"/>
      <c r="AL22" s="135"/>
      <c r="AM22" s="135">
        <f>IF($Z22=$Z23,$T26-$S27,0)</f>
        <v>0</v>
      </c>
      <c r="AN22" s="135">
        <f>IF($Z22=$Z24,$U26-$S28,0)</f>
        <v>0</v>
      </c>
      <c r="AO22" s="135">
        <f>IF($Z22=$Z25,$V26-$S29,0)</f>
        <v>0</v>
      </c>
      <c r="AP22" s="135">
        <f>SUM(AL22:AO22)</f>
        <v>0</v>
      </c>
      <c r="AQ22" s="135"/>
      <c r="AR22" s="135">
        <f>IF($Z22=$Z23,$T26,0)</f>
        <v>0</v>
      </c>
      <c r="AS22" s="135">
        <f>IF($Z22=$Z24,$U26,0)</f>
        <v>0</v>
      </c>
      <c r="AT22" s="135">
        <f>IF($Z22=$Z25,$V26,0)</f>
        <v>0</v>
      </c>
      <c r="AU22" s="135">
        <f>SUM(AQ22:AT22)</f>
        <v>0</v>
      </c>
      <c r="AV22" s="184">
        <f>IF(AND(COUNTIF(K23:K28,$B$63)=COUNTA(H23:H28),COUNTIF(K23:K28,$B$63)=COUNTA(J23:J28)),IF(AU22=AU23,T26-S27,IF(AU22=AU24,U26-S28,IF(AU22=AU25,V26-S29,4))),4)</f>
        <v>2</v>
      </c>
      <c r="AW22" s="133"/>
      <c r="AX22" s="49">
        <f>IF(OR($CX$62="",MOD(SUM($H$3:$J$59)+SUM($BH$3:$BJ$61),3)=0),IF(M28="",0,COUNTIF('em16zufall'!$D$48:'em16zufall'!$F$55,M28)),0)</f>
        <v>0</v>
      </c>
      <c r="AY22" s="24">
        <f>IF(COUNTIF('em16zufall'!K23:'em16zufall'!K27,'em16zufall'!$B$63)=6,"ok","")</f>
      </c>
      <c r="BB22" s="3" t="s">
        <v>19</v>
      </c>
      <c r="BC22" s="3" t="s">
        <v>20</v>
      </c>
      <c r="BD22" s="123"/>
      <c r="BE22" s="123"/>
      <c r="BF22" s="123"/>
      <c r="BG22" s="123"/>
      <c r="BL22" s="1"/>
      <c r="BM22" s="11" t="str">
        <f>VLOOKUP(1,$BX$22:$CC$25,2,FALSE)</f>
        <v>Portugal</v>
      </c>
      <c r="BN22" s="2">
        <f>VLOOKUP(1,$BX$22:$CC$25,3,FALSE)</f>
        <v>9</v>
      </c>
      <c r="BO22" s="2">
        <f>VLOOKUP(1,$BX$22:$CC$25,4,FALSE)</f>
        <v>10</v>
      </c>
      <c r="BP22" s="2">
        <f>VLOOKUP(1,$BX$22:$CC$25,5,FALSE)</f>
        <v>0</v>
      </c>
      <c r="BQ22" s="2">
        <f>VLOOKUP(1,$BX$22:$CC$25,6,FALSE)</f>
        <v>10</v>
      </c>
      <c r="BS22" s="129"/>
      <c r="BT22" s="130">
        <f>IF(BH23="",0,IF(BK23=$B$63,IF(BH23&gt;BJ23,3,IF(BH23=BJ23,1,0)),0))</f>
        <v>3</v>
      </c>
      <c r="BU22" s="130">
        <f>IF(BH25="",0,IF(BK25=$B$63,IF(BH25&gt;BJ25,3,IF(BH25=BJ25,1,0)),0))</f>
        <v>3</v>
      </c>
      <c r="BV22" s="130">
        <f>IF(BJ27="",0,IF(BK27=$B$63,IF(BH27&lt;BJ27,3,IF(BH27=BJ27,1,0)),0))</f>
        <v>3</v>
      </c>
      <c r="BW22" s="1"/>
      <c r="BX22" s="185">
        <f>RANK(CD22,CD22:CD25)+COUNTIF(CD22:CD22,CD22)-1</f>
        <v>1</v>
      </c>
      <c r="BY22" s="132" t="str">
        <f>'em16zufall'!BY22</f>
        <v>Portugal</v>
      </c>
      <c r="BZ22" s="1">
        <f>SUM(BS22:BV22)</f>
        <v>9</v>
      </c>
      <c r="CA22" s="1">
        <f>SUM(BS26:BV26)</f>
        <v>10</v>
      </c>
      <c r="CB22" s="1">
        <f>SUM(BS26:BS29)</f>
        <v>0</v>
      </c>
      <c r="CC22" s="1">
        <f>CA22-CB22</f>
        <v>10</v>
      </c>
      <c r="CD22" s="33">
        <f>IF(BP$28="",CE22*10000000000000000+BZ22*100000000000000+CC22*1000000000000+CA22*10000000000+CK22*100000000+CJ22*1000000+CP22*10000+CU22*100+CV22,CE22*10000000000000000+BZ22*100000000000000+CK22*1000000000000+CJ22*10000000000+CP22*100000000+CU22*1000000+CC22*10000+CA22*100+CV22)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910100000000004</v>
      </c>
      <c r="CE22" s="5"/>
      <c r="CF22" s="34"/>
      <c r="CG22" s="34">
        <f>IF($BZ22=$BZ23,$BT22-$BS23,0)</f>
        <v>0</v>
      </c>
      <c r="CH22" s="34">
        <f>IF($BZ22=$BZ24,$BU22-$BS24,0)</f>
        <v>0</v>
      </c>
      <c r="CI22" s="34">
        <f>IF($BZ22=$BZ25,$BV22-$BS25,0)</f>
        <v>0</v>
      </c>
      <c r="CJ22" s="34">
        <f>SUM(CF22:CI22)</f>
        <v>0</v>
      </c>
      <c r="CK22" s="5"/>
      <c r="CL22" s="34"/>
      <c r="CM22" s="34">
        <f>IF($BZ22=$BZ23,$BT26-$BS27,0)</f>
        <v>0</v>
      </c>
      <c r="CN22" s="34">
        <f>IF($BZ22=$BZ24,$BU26-$BS28,0)</f>
        <v>0</v>
      </c>
      <c r="CO22" s="34">
        <f>IF($BZ22=$BZ25,$BV26-$BS29,0)</f>
        <v>0</v>
      </c>
      <c r="CP22" s="34">
        <f>SUM(CL22:CO22)</f>
        <v>0</v>
      </c>
      <c r="CQ22" s="34"/>
      <c r="CR22" s="34">
        <f>IF($BZ22=$BZ23,$BT26,0)</f>
        <v>0</v>
      </c>
      <c r="CS22" s="34">
        <f>IF($BZ22=$BZ24,$BU26,0)</f>
        <v>0</v>
      </c>
      <c r="CT22" s="34">
        <f>IF($BZ22=$BZ25,$BV26,0)</f>
        <v>0</v>
      </c>
      <c r="CU22" s="34">
        <f>SUM(CQ22:CT22)</f>
        <v>0</v>
      </c>
      <c r="CV22" s="184">
        <f>IF(AND(COUNTIF(BK23:BK28,$B$63)=COUNTA(BH23:BH28),COUNTIF(BK23:BK28,$B$63)=COUNTA(BJ23:BJ28)),IF(CU22=CU23,BT26-BS27,IF(CU22=CU24,BU26-BS28,IF(CU22=CU25,BV26-BS29,4))),4)</f>
        <v>4</v>
      </c>
      <c r="CX22" s="64">
        <f>IF(OR($CX$62="",MOD(SUM($H$3:$J$59)+SUM($BH$3:$BJ$61),3)=0),IF(BM28="",0,COUNTIF('em16zufall'!$D$48:'em16zufall'!$F$55,BM28)),0)</f>
        <v>1</v>
      </c>
      <c r="CY22" s="24">
        <f>IF(COUNTIF('em16zufall'!BK23:'em16zufall'!BK27,'em16zufall'!$B$63)=6,"ok","")</f>
      </c>
      <c r="DA22" s="171" t="s">
        <v>158</v>
      </c>
      <c r="DB22" s="166">
        <f>DB26*(DB25+2*DB23)</f>
        <v>32</v>
      </c>
    </row>
    <row r="23" spans="1:106" ht="12.75">
      <c r="A23" s="2">
        <v>5</v>
      </c>
      <c r="B23" s="7">
        <f>'em16zufall'!B23</f>
        <v>42533.875</v>
      </c>
      <c r="C23" s="7" t="str">
        <f>'em16zufall'!C23</f>
        <v>Lille</v>
      </c>
      <c r="D23" s="125" t="str">
        <f>Y22</f>
        <v>Deutschland</v>
      </c>
      <c r="E23" s="125" t="s">
        <v>21</v>
      </c>
      <c r="F23" s="125" t="str">
        <f>Y23</f>
        <v>Ukraine</v>
      </c>
      <c r="G23" s="125"/>
      <c r="H23" s="136">
        <f aca="true" ca="1" t="shared" si="8" ref="H23:H28">IF($B$64="",1,INT(RAND()*5)+INT(RAND()*3)*INT(RAND()*2))</f>
        <v>2</v>
      </c>
      <c r="I23" s="160" t="s">
        <v>22</v>
      </c>
      <c r="J23" s="136">
        <f aca="true" ca="1" t="shared" si="9" ref="J23:J28">IF($B$64="",0,INT(RAND()*5)+INT(RAND()*3)*INT(RAND()*2))</f>
        <v>0</v>
      </c>
      <c r="K23" s="1" t="s">
        <v>23</v>
      </c>
      <c r="L23" s="1"/>
      <c r="M23" s="11" t="str">
        <f>VLOOKUP(2,$X$22:$AC$25,2,FALSE)</f>
        <v>Nordirland</v>
      </c>
      <c r="N23" s="2">
        <f>VLOOKUP(2,$X$22:$AC$25,3,FALSE)</f>
        <v>4</v>
      </c>
      <c r="O23" s="2">
        <f>VLOOKUP(2,$X$22:$AC$25,4,FALSE)</f>
        <v>10</v>
      </c>
      <c r="P23" s="2">
        <f>VLOOKUP(2,$X$22:$AC$25,5,FALSE)</f>
        <v>11</v>
      </c>
      <c r="Q23" s="2">
        <f>VLOOKUP(2,$X$22:$AC$25,6,FALSE)</f>
        <v>-1</v>
      </c>
      <c r="S23" s="130">
        <f>IF(J23="",0,IF(K23=$B$63,IF(H23&lt;J23,3,IF(H23=J23,1,0)),0))</f>
        <v>0</v>
      </c>
      <c r="T23" s="129"/>
      <c r="U23" s="130">
        <f>IF(H28="",0,IF(K28=$B$63,IF(H28&gt;J28,3,IF(H28=J28,1,0)),0))</f>
        <v>1</v>
      </c>
      <c r="V23" s="130">
        <f>IF(H26="",0,IF(K26=$B$63,IF(H26&gt;J26,3,IF(H26=J26,1,0)),0))</f>
        <v>1</v>
      </c>
      <c r="W23" s="131"/>
      <c r="X23" s="185">
        <f>RANK(AD23,AD22:AD25)+COUNTIF(AD22:AD23,AD23)-1</f>
        <v>4</v>
      </c>
      <c r="Y23" s="132" t="str">
        <f>'em16zufall'!Y23</f>
        <v>Ukraine</v>
      </c>
      <c r="Z23" s="131">
        <f>SUM(S23:V23)</f>
        <v>2</v>
      </c>
      <c r="AA23" s="131">
        <f>SUM(S27:V27)</f>
        <v>6</v>
      </c>
      <c r="AB23" s="131">
        <f>SUM(T26:T29)</f>
        <v>8</v>
      </c>
      <c r="AC23" s="131">
        <f>AA23-AB23</f>
        <v>-2</v>
      </c>
      <c r="AD23" s="133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198059999999998</v>
      </c>
      <c r="AE23" s="134"/>
      <c r="AF23" s="135">
        <f>IF($Z23=$Z22,$S23-$T22,0)</f>
        <v>0</v>
      </c>
      <c r="AG23" s="135"/>
      <c r="AH23" s="135">
        <f>IF($Z23=$Z24,$U23-$T24,0)</f>
        <v>0</v>
      </c>
      <c r="AI23" s="135">
        <f>IF($Z23=$Z25,$V23-$T25,0)</f>
        <v>0</v>
      </c>
      <c r="AJ23" s="135">
        <f>SUM(AF23:AI23)</f>
        <v>0</v>
      </c>
      <c r="AK23" s="134"/>
      <c r="AL23" s="135">
        <f>IF($Z23=$Z22,$S27-$T26,0)</f>
        <v>0</v>
      </c>
      <c r="AM23" s="135"/>
      <c r="AN23" s="135">
        <f>IF($Z23=$Z24,$U27-$T28,0)</f>
        <v>0</v>
      </c>
      <c r="AO23" s="135">
        <f>IF($Z23=$Z25,$V27-$T29,0)</f>
        <v>0</v>
      </c>
      <c r="AP23" s="135">
        <f>SUM(AL23:AO23)</f>
        <v>0</v>
      </c>
      <c r="AQ23" s="135">
        <f>IF($Z23=$Z22,$S27,0)</f>
        <v>0</v>
      </c>
      <c r="AR23" s="135"/>
      <c r="AS23" s="135">
        <f>IF($Z23=$Z24,$U27,0)</f>
        <v>0</v>
      </c>
      <c r="AT23" s="135">
        <f>IF($Z23=$Z25,$V27,0)</f>
        <v>0</v>
      </c>
      <c r="AU23" s="135">
        <f>SUM(AQ23:AT23)</f>
        <v>0</v>
      </c>
      <c r="AV23" s="184">
        <f>IF(AND(COUNTIF(K23:K28,$B$63)=COUNTA(H23:H28),COUNTIF(K23:K28,$B$63)=COUNTA(J23:J28)),IF(AU23=AU22,S27-T26,IF(AU23=AU24,U27-T28,IF(AU23=AU25,V27-T29,3))),3)</f>
        <v>-2</v>
      </c>
      <c r="AW23" s="133"/>
      <c r="AX23" s="24">
        <f>IF(OR('em16zufall'!H23="",'em16zufall'!J23=""),0,IF(H23-J23='em16zufall'!H23-'em16zufall'!J23,3,IF(OR(AND(H23-J23&gt;4,'em16zufall'!H23-'em16zufall'!J23&gt;4),AND(J23-H23&gt;4,'em16zufall'!J23-'em16zufall'!H23&gt;4)),2,IF(OR(AND(H23=J23,'em16zufall'!H23='em16zufall'!J23),(H23-J23)*('em16zufall'!H23-'em16zufall'!J23)&gt;0),1,0))))+IF(H23='em16zufall'!H23,1,0)+IF(J23='em16zufall'!J23,1,0)</f>
        <v>2</v>
      </c>
      <c r="AY23" s="24" t="str">
        <f>IF('em16zufall'!K23='em16zufall'!$B$63,'em16zufall'!K23,"")</f>
        <v>ok</v>
      </c>
      <c r="BA23" s="2">
        <v>11</v>
      </c>
      <c r="BB23" s="7">
        <f>'em16zufall'!BB23</f>
        <v>42535.875</v>
      </c>
      <c r="BC23" s="7" t="str">
        <f>'em16zufall'!BC23</f>
        <v>St.Étienne</v>
      </c>
      <c r="BD23" s="125" t="str">
        <f>BY22</f>
        <v>Portugal</v>
      </c>
      <c r="BE23" s="80" t="s">
        <v>21</v>
      </c>
      <c r="BF23" s="125" t="str">
        <f>BY23</f>
        <v>Island</v>
      </c>
      <c r="BG23" s="124"/>
      <c r="BH23" s="136">
        <f aca="true" ca="1" t="shared" si="10" ref="BH23:BH28">IF($B$64="",1,INT(RAND()*5)+INT(RAND()*3)*INT(RAND()*2))</f>
        <v>4</v>
      </c>
      <c r="BI23" s="164" t="s">
        <v>22</v>
      </c>
      <c r="BJ23" s="136">
        <f aca="true" ca="1" t="shared" si="11" ref="BJ23:BJ28">IF($B$64="",0,INT(RAND()*5)+INT(RAND()*3)*INT(RAND()*2))</f>
        <v>0</v>
      </c>
      <c r="BK23" s="1" t="s">
        <v>23</v>
      </c>
      <c r="BL23" s="1"/>
      <c r="BM23" s="11" t="str">
        <f>VLOOKUP(2,$BX$22:$CC$25,2,FALSE)</f>
        <v>Island</v>
      </c>
      <c r="BN23" s="2">
        <f>VLOOKUP(2,$BX$22:$CC$25,3,FALSE)</f>
        <v>4</v>
      </c>
      <c r="BO23" s="2">
        <f>VLOOKUP(2,$BX$22:$CC$25,4,FALSE)</f>
        <v>4</v>
      </c>
      <c r="BP23" s="2">
        <f>VLOOKUP(2,$BX$22:$CC$25,5,FALSE)</f>
        <v>7</v>
      </c>
      <c r="BQ23" s="2">
        <f>VLOOKUP(2,$BX$22:$CC$25,6,FALSE)</f>
        <v>-3</v>
      </c>
      <c r="BS23" s="130">
        <f>IF(BJ23="",0,IF(BK23=$B$63,IF(BH23&lt;BJ23,3,IF(BH23=BJ23,1,0)),0))</f>
        <v>0</v>
      </c>
      <c r="BT23" s="129"/>
      <c r="BU23" s="130">
        <f>IF(BH28="",0,IF(BK28=$B$63,IF(BH28&gt;BJ28,3,IF(BH28=BJ28,1,0)),0))</f>
        <v>3</v>
      </c>
      <c r="BV23" s="130">
        <f>IF(BH26="",0,IF(BK26=$B$63,IF(BH26&gt;BJ26,3,IF(BH26=BJ26,1,0)),0))</f>
        <v>1</v>
      </c>
      <c r="BW23" s="1"/>
      <c r="BX23" s="185">
        <f>RANK(CD23,CD22:CD25)+COUNTIF(CD22:CD23,CD23)-1</f>
        <v>2</v>
      </c>
      <c r="BY23" s="132" t="str">
        <f>'em16zufall'!BY23</f>
        <v>Island</v>
      </c>
      <c r="BZ23" s="1">
        <f>SUM(BS23:BV23)</f>
        <v>4</v>
      </c>
      <c r="CA23" s="1">
        <f>SUM(BS27:BV27)</f>
        <v>4</v>
      </c>
      <c r="CB23" s="1">
        <f>SUM(BT26:BT29)</f>
        <v>7</v>
      </c>
      <c r="CC23" s="1">
        <f>CA23-CB23</f>
        <v>-3</v>
      </c>
      <c r="CD23" s="33">
        <f>IF(BP$28="",CE23*10000000000000000+BZ23*100000000000000+CC23*1000000000000+CA23*10000000000+CK23*100000000+CJ23*1000000+CP23*10000+CU23*100+CV23,CE23*10000000000000000+BZ23*100000000000000+CK23*1000000000000+CJ23*10000000000+CP23*100000000+CU23*1000000+CC23*10000+CA23*100+CV23)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397039999999996</v>
      </c>
      <c r="CE23" s="5"/>
      <c r="CF23" s="34">
        <f>IF($BZ23=$BZ22,$BS23-$BT22,0)</f>
        <v>0</v>
      </c>
      <c r="CG23" s="34"/>
      <c r="CH23" s="34">
        <f>IF($BZ23=$BZ24,$BU23-$BT24,0)</f>
        <v>0</v>
      </c>
      <c r="CI23" s="34">
        <f>IF($BZ23=$BZ25,$BV23-$BT25,0)</f>
        <v>0</v>
      </c>
      <c r="CJ23" s="34">
        <f>SUM(CF23:CI23)</f>
        <v>0</v>
      </c>
      <c r="CK23" s="5"/>
      <c r="CL23" s="34">
        <f>IF($BZ23=$BZ22,$BS27-$BT26,0)</f>
        <v>0</v>
      </c>
      <c r="CM23" s="34"/>
      <c r="CN23" s="34">
        <f>IF($BZ23=$BZ24,$BU27-$BT28,0)</f>
        <v>0</v>
      </c>
      <c r="CO23" s="34">
        <f>IF($BZ23=$BZ25,$BV27-$BT29,0)</f>
        <v>0</v>
      </c>
      <c r="CP23" s="34">
        <f>SUM(CL23:CO23)</f>
        <v>0</v>
      </c>
      <c r="CQ23" s="34">
        <f>IF($BZ23=$BZ22,$BS27,0)</f>
        <v>0</v>
      </c>
      <c r="CR23" s="34"/>
      <c r="CS23" s="34">
        <f>IF($BZ23=$BZ24,$BU27,0)</f>
        <v>0</v>
      </c>
      <c r="CT23" s="34">
        <f>IF($BZ23=$BZ25,$BV27,0)</f>
        <v>0</v>
      </c>
      <c r="CU23" s="34">
        <f>SUM(CQ23:CT23)</f>
        <v>0</v>
      </c>
      <c r="CV23" s="184">
        <f>IF(AND(COUNTIF(BK23:BK28,$B$63)=COUNTA(BH23:BH28),COUNTIF(BK23:BK28,$B$63)=COUNTA(BJ23:BJ28)),IF(CU23=CU22,BS27-BT26,IF(CU23=CU24,BU27-BT28,IF(CU23=CU25,BV27-BT29,3))),3)</f>
        <v>-4</v>
      </c>
      <c r="CX23" s="24">
        <f>IF(OR('em16zufall'!BH23="",'em16zufall'!BJ23=""),0,IF(BH23-BJ23='em16zufall'!BH23-'em16zufall'!BJ23,3,IF(OR(AND(BH23-BJ23&gt;4,'em16zufall'!BH23-'em16zufall'!BJ23&gt;4),AND(BJ23-BH23&gt;4,'em16zufall'!BJ23-'em16zufall'!BH23&gt;4)),2,IF(OR(AND(BH23=BJ23,'em16zufall'!BH23='em16zufall'!BJ23),(BH23-BJ23)*('em16zufall'!BH23-'em16zufall'!BJ23)&gt;0),1,0))))+IF(BH23='em16zufall'!BH23,1,0)+IF(BJ23='em16zufall'!BJ23,1,0)</f>
        <v>2</v>
      </c>
      <c r="CY23" s="24" t="str">
        <f>IF('em16zufall'!BK23='em16zufall'!$B$63,'em16zufall'!BK23,"")</f>
        <v>ok</v>
      </c>
      <c r="DA23" s="167" t="s">
        <v>159</v>
      </c>
      <c r="DB23" s="162">
        <v>2</v>
      </c>
    </row>
    <row r="24" spans="1:106" ht="12.75">
      <c r="A24" s="2">
        <v>6</v>
      </c>
      <c r="B24" s="7">
        <f>'em16zufall'!B24</f>
        <v>42533.75</v>
      </c>
      <c r="C24" s="7" t="str">
        <f>'em16zufall'!C24</f>
        <v>Nizza</v>
      </c>
      <c r="D24" s="125" t="str">
        <f>Y24</f>
        <v>Polen</v>
      </c>
      <c r="E24" s="125" t="s">
        <v>21</v>
      </c>
      <c r="F24" s="125" t="str">
        <f>Y25</f>
        <v>Nordirland</v>
      </c>
      <c r="G24" s="125"/>
      <c r="H24" s="136">
        <f ca="1" t="shared" si="8"/>
        <v>5</v>
      </c>
      <c r="I24" s="160" t="s">
        <v>22</v>
      </c>
      <c r="J24" s="136">
        <f ca="1" t="shared" si="9"/>
        <v>3</v>
      </c>
      <c r="K24" s="1" t="s">
        <v>23</v>
      </c>
      <c r="L24" s="1"/>
      <c r="M24" s="11" t="str">
        <f>VLOOKUP(3,$X$22:$AC$25,2,FALSE)</f>
        <v>Deutschland</v>
      </c>
      <c r="N24" s="2">
        <f>VLOOKUP(3,$X$22:$AC$25,3,FALSE)</f>
        <v>3</v>
      </c>
      <c r="O24" s="2">
        <f>VLOOKUP(3,$X$22:$AC$25,4,FALSE)</f>
        <v>4</v>
      </c>
      <c r="P24" s="2">
        <f>VLOOKUP(3,$X$22:$AC$25,5,FALSE)</f>
        <v>8</v>
      </c>
      <c r="Q24" s="2">
        <f>VLOOKUP(3,$X$22:$AC$25,6,FALSE)</f>
        <v>-4</v>
      </c>
      <c r="S24" s="130">
        <f>IF(J25="",0,IF(K25=$B$63,IF(H25&lt;J25,3,IF(H25=J25,1,0)),0))</f>
        <v>3</v>
      </c>
      <c r="T24" s="130">
        <f>IF(J28="",0,IF(K28=$B$63,IF(H28&lt;J28,3,IF(H28=J28,1,0)),0))</f>
        <v>1</v>
      </c>
      <c r="U24" s="129"/>
      <c r="V24" s="130">
        <f>IF(H24="",0,IF(K24=$B$63,IF(H24&gt;J24,3,IF(H24=J24,1,0)),0))</f>
        <v>3</v>
      </c>
      <c r="W24" s="131"/>
      <c r="X24" s="185">
        <f>RANK(AD24,AD22:AD25)+COUNTIF(AD22:AD24,AD24)-1</f>
        <v>1</v>
      </c>
      <c r="Y24" s="132" t="str">
        <f>'em16zufall'!Y24</f>
        <v>Polen</v>
      </c>
      <c r="Z24" s="131">
        <f>SUM(S24:V24)</f>
        <v>7</v>
      </c>
      <c r="AA24" s="131">
        <f>SUM(S28:V28)</f>
        <v>12</v>
      </c>
      <c r="AB24" s="131">
        <f>SUM(U26:U29)</f>
        <v>5</v>
      </c>
      <c r="AC24" s="131">
        <f>AA24-AB24</f>
        <v>7</v>
      </c>
      <c r="AD24" s="133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707120000000005</v>
      </c>
      <c r="AE24" s="134"/>
      <c r="AF24" s="135">
        <f>IF($Z24=$Z22,$S24-$U22,0)</f>
        <v>0</v>
      </c>
      <c r="AG24" s="135">
        <f>IF($Z24=$Z23,$T24-$U23,0)</f>
        <v>0</v>
      </c>
      <c r="AH24" s="135"/>
      <c r="AI24" s="135">
        <f>IF($Z24=$Z25,$V24-$U25,0)</f>
        <v>0</v>
      </c>
      <c r="AJ24" s="135">
        <f>SUM(AF24:AI24)</f>
        <v>0</v>
      </c>
      <c r="AK24" s="134"/>
      <c r="AL24" s="135">
        <f>IF($Z24=$Z22,$S28-$U26,0)</f>
        <v>0</v>
      </c>
      <c r="AM24" s="135">
        <f>IF($Z24=$Z23,$T28-$U27,0)</f>
        <v>0</v>
      </c>
      <c r="AN24" s="135"/>
      <c r="AO24" s="135">
        <f>IF($Z24=$Z25,$V28-$U29,0)</f>
        <v>0</v>
      </c>
      <c r="AP24" s="135">
        <f>SUM(AL24:AO24)</f>
        <v>0</v>
      </c>
      <c r="AQ24" s="135">
        <f>IF($Z24=$Z22,$S28,0)</f>
        <v>0</v>
      </c>
      <c r="AR24" s="135">
        <f>IF($Z24=$Z23,$T28,0)</f>
        <v>0</v>
      </c>
      <c r="AS24" s="135"/>
      <c r="AT24" s="135">
        <f>IF($Z24=$Z25,$V28,0)</f>
        <v>0</v>
      </c>
      <c r="AU24" s="135">
        <f>SUM(AQ24:AT24)</f>
        <v>0</v>
      </c>
      <c r="AV24" s="184">
        <f>IF(AND(COUNTIF(K23:K28,$B$63)=COUNTA(H23:H28),COUNTIF(K23:K28,$B$63)=COUNTA(J23:J28)),IF(AU24=AU22,S28-U26,IF(AU24=AU23,T28-U27,IF(AU24=AU25,V28-U29,2))),2)</f>
        <v>5</v>
      </c>
      <c r="AW24" s="133"/>
      <c r="AX24" s="24">
        <f>IF(OR('em16zufall'!H24="",'em16zufall'!J24=""),0,IF(H24-J24='em16zufall'!H24-'em16zufall'!J24,3,IF(OR(AND(H24-J24&gt;4,'em16zufall'!H24-'em16zufall'!J24&gt;4),AND(J24-H24&gt;4,'em16zufall'!J24-'em16zufall'!H24&gt;4)),2,IF(OR(AND(H24=J24,'em16zufall'!H24='em16zufall'!J24),(H24-J24)*('em16zufall'!H24-'em16zufall'!J24)&gt;0),1,0))))+IF(H24='em16zufall'!H24,1,0)+IF(J24='em16zufall'!J24,1,0)</f>
        <v>1</v>
      </c>
      <c r="AY24" s="24" t="str">
        <f>IF('em16zufall'!K24='em16zufall'!$B$63,'em16zufall'!K24,"")</f>
        <v>ok</v>
      </c>
      <c r="BA24" s="2">
        <v>12</v>
      </c>
      <c r="BB24" s="7">
        <f>'em16zufall'!BB24</f>
        <v>42535.75</v>
      </c>
      <c r="BC24" s="7" t="str">
        <f>'em16zufall'!BC24</f>
        <v>Bordeaux</v>
      </c>
      <c r="BD24" s="125" t="str">
        <f>BY24</f>
        <v>Österreich</v>
      </c>
      <c r="BE24" s="80" t="s">
        <v>21</v>
      </c>
      <c r="BF24" s="125" t="str">
        <f>BY25</f>
        <v>Ungarn</v>
      </c>
      <c r="BG24" s="124"/>
      <c r="BH24" s="137">
        <f ca="1" t="shared" si="10"/>
        <v>6</v>
      </c>
      <c r="BI24" s="164" t="s">
        <v>22</v>
      </c>
      <c r="BJ24" s="136">
        <f ca="1" t="shared" si="11"/>
        <v>0</v>
      </c>
      <c r="BK24" s="1" t="s">
        <v>23</v>
      </c>
      <c r="BL24" s="1"/>
      <c r="BM24" s="11" t="str">
        <f>VLOOKUP(3,$BX$22:$CC$25,2,FALSE)</f>
        <v>Österreich</v>
      </c>
      <c r="BN24" s="2">
        <f>VLOOKUP(3,$BX$22:$CC$25,3,FALSE)</f>
        <v>3</v>
      </c>
      <c r="BO24" s="2">
        <f>VLOOKUP(3,$BX$22:$CC$25,4,FALSE)</f>
        <v>6</v>
      </c>
      <c r="BP24" s="2">
        <f>VLOOKUP(3,$BX$22:$CC$25,5,FALSE)</f>
        <v>5</v>
      </c>
      <c r="BQ24" s="2">
        <f>VLOOKUP(3,$BX$22:$CC$25,6,FALSE)</f>
        <v>1</v>
      </c>
      <c r="BS24" s="130">
        <f>IF(BJ25="",0,IF(BK25=$B$63,IF(BH25&lt;BJ25,3,IF(BH25=BJ25,1,0)),0))</f>
        <v>0</v>
      </c>
      <c r="BT24" s="130">
        <f>IF(BJ28="",0,IF(BK28=$B$63,IF(BH28&lt;BJ28,3,IF(BH28=BJ28,1,0)),0))</f>
        <v>0</v>
      </c>
      <c r="BU24" s="129"/>
      <c r="BV24" s="130">
        <f>IF(BH24="",0,IF(BK24=$B$63,IF(BH24&gt;BJ24,3,IF(BH24=BJ24,1,0)),0))</f>
        <v>3</v>
      </c>
      <c r="BW24" s="1"/>
      <c r="BX24" s="185">
        <f>RANK(CD24,CD22:CD25)+COUNTIF(CD22:CD24,CD24)-1</f>
        <v>3</v>
      </c>
      <c r="BY24" s="132" t="str">
        <f>'em16zufall'!BY24</f>
        <v>Österreich</v>
      </c>
      <c r="BZ24" s="1">
        <f>SUM(BS24:BV24)</f>
        <v>3</v>
      </c>
      <c r="CA24" s="1">
        <f>SUM(BS28:BV28)</f>
        <v>6</v>
      </c>
      <c r="CB24" s="1">
        <f>SUM(BU26:BU29)</f>
        <v>5</v>
      </c>
      <c r="CC24" s="1">
        <f>CA24-CB24</f>
        <v>1</v>
      </c>
      <c r="CD24" s="33">
        <f>IF(BP$28="",CE24*10000000000000000+BZ24*100000000000000+CC24*1000000000000+CA24*10000000000+CK24*100000000+CJ24*1000000+CP24*10000+CU24*100+CV24,CE24*10000000000000000+BZ24*100000000000000+CK24*1000000000000+CJ24*10000000000+CP24*100000000+CU24*1000000+CC24*10000+CA24*100+CV24)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301059999999996</v>
      </c>
      <c r="CE24" s="5"/>
      <c r="CF24" s="34">
        <f>IF($BZ24=$BZ22,$BS24-$BU22,0)</f>
        <v>0</v>
      </c>
      <c r="CG24" s="34">
        <f>IF($BZ24=$BZ23,$BT24-$BU23,0)</f>
        <v>0</v>
      </c>
      <c r="CH24" s="34"/>
      <c r="CI24" s="34">
        <f>IF($BZ24=$BZ25,$BV24-$BU25,0)</f>
        <v>0</v>
      </c>
      <c r="CJ24" s="34">
        <f>SUM(CF24:CI24)</f>
        <v>0</v>
      </c>
      <c r="CK24" s="5"/>
      <c r="CL24" s="34">
        <f>IF($BZ24=$BZ22,$BS28-$BU26,0)</f>
        <v>0</v>
      </c>
      <c r="CM24" s="34">
        <f>IF($BZ24=$BZ23,$BT28-$BU27,0)</f>
        <v>0</v>
      </c>
      <c r="CN24" s="34"/>
      <c r="CO24" s="34">
        <f>IF($BZ24=$BZ25,$BV28-$BU29,0)</f>
        <v>0</v>
      </c>
      <c r="CP24" s="34">
        <f>SUM(CL24:CO24)</f>
        <v>0</v>
      </c>
      <c r="CQ24" s="34">
        <f>IF($BZ24=$BZ22,$BS28,0)</f>
        <v>0</v>
      </c>
      <c r="CR24" s="34">
        <f>IF($BZ24=$BZ23,$BT28,0)</f>
        <v>0</v>
      </c>
      <c r="CS24" s="34"/>
      <c r="CT24" s="34">
        <f>IF($BZ24=$BZ25,$BV28,0)</f>
        <v>0</v>
      </c>
      <c r="CU24" s="34">
        <f>SUM(CQ24:CT24)</f>
        <v>0</v>
      </c>
      <c r="CV24" s="184">
        <f>IF(AND(COUNTIF(BK23:BK28,$B$63)=COUNTA(BH23:BH28),COUNTIF(BK23:BK28,$B$63)=COUNTA(BJ23:BJ28)),IF(CU24=CU22,BS28-BU26,IF(CU24=CU23,BT28-BU27,IF(CU24=CU25,BV28-BU29,2))),2)</f>
        <v>-4</v>
      </c>
      <c r="CX24" s="24">
        <f>IF(OR('em16zufall'!BH24="",'em16zufall'!BJ24=""),0,IF(BH24-BJ24='em16zufall'!BH24-'em16zufall'!BJ24,3,IF(OR(AND(BH24-BJ24&gt;4,'em16zufall'!BH24-'em16zufall'!BJ24&gt;4),AND(BJ24-BH24&gt;4,'em16zufall'!BJ24-'em16zufall'!BH24&gt;4)),2,IF(OR(AND(BH24=BJ24,'em16zufall'!BH24='em16zufall'!BJ24),(BH24-BJ24)*('em16zufall'!BH24-'em16zufall'!BJ24)&gt;0),1,0))))+IF(BH24='em16zufall'!BH24,1,0)+IF(BJ24='em16zufall'!BJ24,1,0)</f>
        <v>2</v>
      </c>
      <c r="CY24" s="24" t="str">
        <f>IF('em16zufall'!BK24='em16zufall'!$B$63,'em16zufall'!BK24,"")</f>
        <v>ok</v>
      </c>
      <c r="DA24" s="172" t="s">
        <v>160</v>
      </c>
      <c r="DB24" s="162">
        <v>1</v>
      </c>
    </row>
    <row r="25" spans="1:106" ht="12.75">
      <c r="A25" s="2">
        <f>A23+12</f>
        <v>17</v>
      </c>
      <c r="B25" s="7">
        <f>'em16zufall'!B25</f>
        <v>42537.875</v>
      </c>
      <c r="C25" s="7" t="str">
        <f>'em16zufall'!C25</f>
        <v>Paris St.Denis</v>
      </c>
      <c r="D25" s="125" t="str">
        <f>Y22</f>
        <v>Deutschland</v>
      </c>
      <c r="E25" s="125" t="s">
        <v>21</v>
      </c>
      <c r="F25" s="125" t="str">
        <f>Y24</f>
        <v>Polen</v>
      </c>
      <c r="G25" s="125"/>
      <c r="H25" s="136">
        <f ca="1" t="shared" si="8"/>
        <v>0</v>
      </c>
      <c r="I25" s="160" t="s">
        <v>22</v>
      </c>
      <c r="J25" s="136">
        <f ca="1" t="shared" si="9"/>
        <v>5</v>
      </c>
      <c r="K25" s="1" t="s">
        <v>23</v>
      </c>
      <c r="L25" s="1"/>
      <c r="M25" s="11" t="str">
        <f>VLOOKUP(4,$X$22:$AC$25,2,FALSE)</f>
        <v>Ukraine</v>
      </c>
      <c r="N25" s="2">
        <f>VLOOKUP(4,$X$22:$AC$25,3,FALSE)</f>
        <v>2</v>
      </c>
      <c r="O25" s="2">
        <f>VLOOKUP(4,$X$22:$AC$25,4,FALSE)</f>
        <v>6</v>
      </c>
      <c r="P25" s="2">
        <f>VLOOKUP(4,$X$22:$AC$25,5,FALSE)</f>
        <v>8</v>
      </c>
      <c r="Q25" s="2">
        <f>VLOOKUP(4,$X$22:$AC$25,6,FALSE)</f>
        <v>-2</v>
      </c>
      <c r="S25" s="130">
        <f>IF(H27="",0,IF(K27=$B$63,IF(H27&gt;J27,3,IF(H27=J27,1,0)),0))</f>
        <v>3</v>
      </c>
      <c r="T25" s="130">
        <f>IF(J26="",0,IF(K26=$B$63,IF(H26&lt;J26,3,IF(H26=J26,1,0)),0))</f>
        <v>1</v>
      </c>
      <c r="U25" s="130">
        <f>IF(J24="",0,IF(K24=$B$63,IF(H24&lt;J24,3,IF(H24=J24,1,0)),0))</f>
        <v>0</v>
      </c>
      <c r="V25" s="129"/>
      <c r="W25" s="131"/>
      <c r="X25" s="185">
        <f>RANK(AD25,AD22:AD25)+COUNTIF(AD22:AD25,AD25)-1</f>
        <v>2</v>
      </c>
      <c r="Y25" s="132" t="str">
        <f>'em16zufall'!Y25</f>
        <v>Nordirland</v>
      </c>
      <c r="Z25" s="131">
        <f>SUM(S25:V25)</f>
        <v>4</v>
      </c>
      <c r="AA25" s="131">
        <f>SUM(S29:V29)</f>
        <v>10</v>
      </c>
      <c r="AB25" s="131">
        <f>SUM(V26:V29)</f>
        <v>11</v>
      </c>
      <c r="AC25" s="131">
        <f>AA25-AB25</f>
        <v>-1</v>
      </c>
      <c r="AD25" s="133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399100000000001</v>
      </c>
      <c r="AE25" s="134"/>
      <c r="AF25" s="135">
        <f>IF($Z25=$Z22,$S25-$V22,0)</f>
        <v>0</v>
      </c>
      <c r="AG25" s="135">
        <f>IF($Z25=$Z23,$T25-$V23,0)</f>
        <v>0</v>
      </c>
      <c r="AH25" s="135">
        <f>IF($Z25=$Z24,$U25-$V24,0)</f>
        <v>0</v>
      </c>
      <c r="AI25" s="135"/>
      <c r="AJ25" s="135">
        <f>SUM(AF25:AI25)</f>
        <v>0</v>
      </c>
      <c r="AK25" s="134"/>
      <c r="AL25" s="135">
        <f>IF($Z25=$Z22,$S29-$V26,0)</f>
        <v>0</v>
      </c>
      <c r="AM25" s="135">
        <f>IF($Z25=$Z23,$T29-$V27,0)</f>
        <v>0</v>
      </c>
      <c r="AN25" s="135">
        <f>IF($Z25=$Z24,$U29-$V28,0)</f>
        <v>0</v>
      </c>
      <c r="AO25" s="135"/>
      <c r="AP25" s="135">
        <f>SUM(AL25:AO25)</f>
        <v>0</v>
      </c>
      <c r="AQ25" s="135">
        <f>IF($Z25=$Z22,$S29,0)</f>
        <v>0</v>
      </c>
      <c r="AR25" s="135">
        <f>IF($Z25=$Z23,$T29,0)</f>
        <v>0</v>
      </c>
      <c r="AS25" s="135">
        <f>IF($Z25=$Z24,$U29,0)</f>
        <v>0</v>
      </c>
      <c r="AT25" s="135"/>
      <c r="AU25" s="135">
        <f>SUM(AQ25:AT25)</f>
        <v>0</v>
      </c>
      <c r="AV25" s="184">
        <f>IF(AND(COUNTIF(K23:K28,$B$63)=COUNTA(H23:H28),COUNTIF(K23:K28,$B$63)=COUNTA(J23:J28)),IF(AU25=AU22,S29-V26,IF(AU25=AU23,T29-V27,IF(AU25=AU24,U29-V28,1))),1)</f>
        <v>1</v>
      </c>
      <c r="AW25" s="133"/>
      <c r="AX25" s="24">
        <f>IF(OR('em16zufall'!H25="",'em16zufall'!J25=""),0,IF(H25-J25='em16zufall'!H25-'em16zufall'!J25,3,IF(OR(AND(H25-J25&gt;4,'em16zufall'!H25-'em16zufall'!J25&gt;4),AND(J25-H25&gt;4,'em16zufall'!J25-'em16zufall'!H25&gt;4)),2,IF(OR(AND(H25=J25,'em16zufall'!H25='em16zufall'!J25),(H25-J25)*('em16zufall'!H25-'em16zufall'!J25)&gt;0),1,0))))+IF(H25='em16zufall'!H25,1,0)+IF(J25='em16zufall'!J25,1,0)</f>
        <v>0</v>
      </c>
      <c r="AY25" s="24" t="str">
        <f>IF('em16zufall'!K25='em16zufall'!$B$63,'em16zufall'!K25,"")</f>
        <v>ok</v>
      </c>
      <c r="BA25" s="2">
        <f>BA23+12</f>
        <v>23</v>
      </c>
      <c r="BB25" s="7">
        <f>'em16zufall'!BB25</f>
        <v>42539.875</v>
      </c>
      <c r="BC25" s="7" t="str">
        <f>'em16zufall'!BC25</f>
        <v>Paris</v>
      </c>
      <c r="BD25" s="125" t="str">
        <f>BY22</f>
        <v>Portugal</v>
      </c>
      <c r="BE25" s="80" t="s">
        <v>21</v>
      </c>
      <c r="BF25" s="125" t="str">
        <f>BY24</f>
        <v>Österreich</v>
      </c>
      <c r="BG25" s="124"/>
      <c r="BH25" s="137">
        <f ca="1" t="shared" si="10"/>
        <v>4</v>
      </c>
      <c r="BI25" s="164" t="s">
        <v>22</v>
      </c>
      <c r="BJ25" s="136">
        <f ca="1" t="shared" si="11"/>
        <v>0</v>
      </c>
      <c r="BK25" s="1" t="s">
        <v>23</v>
      </c>
      <c r="BL25" s="1"/>
      <c r="BM25" s="11" t="str">
        <f>VLOOKUP(4,$BX$22:$CC$25,2,FALSE)</f>
        <v>Ungarn</v>
      </c>
      <c r="BN25" s="2">
        <f>VLOOKUP(4,$BX$22:$CC$25,3,FALSE)</f>
        <v>1</v>
      </c>
      <c r="BO25" s="2">
        <f>VLOOKUP(4,$BX$22:$CC$25,4,FALSE)</f>
        <v>3</v>
      </c>
      <c r="BP25" s="2">
        <f>VLOOKUP(4,$BX$22:$CC$25,5,FALSE)</f>
        <v>11</v>
      </c>
      <c r="BQ25" s="2">
        <f>VLOOKUP(4,$BX$22:$CC$25,6,FALSE)</f>
        <v>-8</v>
      </c>
      <c r="BS25" s="130">
        <f>IF(BH27="",0,IF(BK27=$B$63,IF(BH27&gt;BJ27,3,IF(BH27=BJ27,1,0)),0))</f>
        <v>0</v>
      </c>
      <c r="BT25" s="130">
        <f>IF(BJ26="",0,IF(BK26=$B$63,IF(BH26&lt;BJ26,3,IF(BH26=BJ26,1,0)),0))</f>
        <v>1</v>
      </c>
      <c r="BU25" s="130">
        <f>IF(BJ24="",0,IF(BK24=$B$63,IF(BH24&lt;BJ24,3,IF(BH24=BJ24,1,0)),0))</f>
        <v>0</v>
      </c>
      <c r="BV25" s="129"/>
      <c r="BW25" s="1"/>
      <c r="BX25" s="185">
        <f>RANK(CD25,CD22:CD25)+COUNTIF(CD22:CD25,CD25)-1</f>
        <v>4</v>
      </c>
      <c r="BY25" s="132" t="str">
        <f>'em16zufall'!BY25</f>
        <v>Ungarn</v>
      </c>
      <c r="BZ25" s="1">
        <f>SUM(BS25:BV25)</f>
        <v>1</v>
      </c>
      <c r="CA25" s="1">
        <f>SUM(BS29:BV29)</f>
        <v>3</v>
      </c>
      <c r="CB25" s="1">
        <f>SUM(BV26:BV29)</f>
        <v>11</v>
      </c>
      <c r="CC25" s="1">
        <f>CA25-CB25</f>
        <v>-8</v>
      </c>
      <c r="CD25" s="33">
        <f>IF(BP$28="",CE25*10000000000000000+BZ25*100000000000000+CC25*1000000000000+CA25*10000000000+CK25*100000000+CJ25*1000000+CP25*10000+CU25*100+CV25,CE25*10000000000000000+BZ25*100000000000000+CK25*1000000000000+CJ25*10000000000+CP25*100000000+CU25*1000000+CC25*10000+CA25*100+CV25)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92029999999998</v>
      </c>
      <c r="CE25" s="5"/>
      <c r="CF25" s="34">
        <f>IF($BZ25=$BZ22,$BS25-$BV22,0)</f>
        <v>0</v>
      </c>
      <c r="CG25" s="34">
        <f>IF($BZ25=$BZ23,$BT25-$BV23,0)</f>
        <v>0</v>
      </c>
      <c r="CH25" s="34">
        <f>IF($BZ25=$BZ24,$BU25-$BV24,0)</f>
        <v>0</v>
      </c>
      <c r="CI25" s="34"/>
      <c r="CJ25" s="34">
        <f>SUM(CF25:CI25)</f>
        <v>0</v>
      </c>
      <c r="CK25" s="5"/>
      <c r="CL25" s="34">
        <f>IF($BZ25=$BZ22,$BS29-$BV26,0)</f>
        <v>0</v>
      </c>
      <c r="CM25" s="34">
        <f>IF($BZ25=$BZ23,$BT29-$BV27,0)</f>
        <v>0</v>
      </c>
      <c r="CN25" s="34">
        <f>IF($BZ25=$BZ24,$BU29-$BV28,0)</f>
        <v>0</v>
      </c>
      <c r="CO25" s="34"/>
      <c r="CP25" s="34">
        <f>SUM(CL25:CO25)</f>
        <v>0</v>
      </c>
      <c r="CQ25" s="34">
        <f>IF($BZ25=$BZ22,$BS29,0)</f>
        <v>0</v>
      </c>
      <c r="CR25" s="34">
        <f>IF($BZ25=$BZ23,$BT29,0)</f>
        <v>0</v>
      </c>
      <c r="CS25" s="34">
        <f>IF($BZ25=$BZ24,$BU29,0)</f>
        <v>0</v>
      </c>
      <c r="CT25" s="34"/>
      <c r="CU25" s="34">
        <f>SUM(CQ25:CT25)</f>
        <v>0</v>
      </c>
      <c r="CV25" s="184">
        <f>IF(AND(COUNTIF(BK23:BK28,$B$63)=COUNTA(BH23:BH28),COUNTIF(BK23:BK28,$B$63)=COUNTA(BJ23:BJ28)),IF(CU25=CU22,BS29-BV26,IF(CU25=CU23,BT29-BV27,IF(CU25=CU24,BU29-BV28,1))),1)</f>
        <v>-2</v>
      </c>
      <c r="CX25" s="24">
        <f>IF(OR('em16zufall'!BH25="",'em16zufall'!BJ25=""),0,IF(BH25-BJ25='em16zufall'!BH25-'em16zufall'!BJ25,3,IF(OR(AND(BH25-BJ25&gt;4,'em16zufall'!BH25-'em16zufall'!BJ25&gt;4),AND(BJ25-BH25&gt;4,'em16zufall'!BJ25-'em16zufall'!BH25&gt;4)),2,IF(OR(AND(BH25=BJ25,'em16zufall'!BH25='em16zufall'!BJ25),(BH25-BJ25)*('em16zufall'!BH25-'em16zufall'!BJ25)&gt;0),1,0))))+IF(BH25='em16zufall'!BH25,1,0)+IF(BJ25='em16zufall'!BJ25,1,0)</f>
        <v>2</v>
      </c>
      <c r="CY25" s="24" t="str">
        <f>IF('em16zufall'!BK25='em16zufall'!$B$63,'em16zufall'!BK25,"")</f>
        <v>ok</v>
      </c>
      <c r="DA25" s="172" t="s">
        <v>157</v>
      </c>
      <c r="DB25" s="162">
        <v>4</v>
      </c>
    </row>
    <row r="26" spans="1:106" ht="12.75">
      <c r="A26" s="2">
        <f>A24+12</f>
        <v>18</v>
      </c>
      <c r="B26" s="7">
        <f>'em16zufall'!B26</f>
        <v>42537.75</v>
      </c>
      <c r="C26" s="7" t="str">
        <f>'em16zufall'!C26</f>
        <v>Lyon</v>
      </c>
      <c r="D26" s="125" t="str">
        <f>Y23</f>
        <v>Ukraine</v>
      </c>
      <c r="E26" s="125" t="s">
        <v>21</v>
      </c>
      <c r="F26" s="125" t="str">
        <f>Y25</f>
        <v>Nordirland</v>
      </c>
      <c r="G26" s="125"/>
      <c r="H26" s="136">
        <f ca="1" t="shared" si="8"/>
        <v>4</v>
      </c>
      <c r="I26" s="160" t="s">
        <v>22</v>
      </c>
      <c r="J26" s="136">
        <f ca="1" t="shared" si="9"/>
        <v>4</v>
      </c>
      <c r="K26" s="1" t="s">
        <v>23</v>
      </c>
      <c r="L26" s="1"/>
      <c r="S26" s="129"/>
      <c r="T26" s="130">
        <f>IF(K23=$B$63,H23,0)</f>
        <v>2</v>
      </c>
      <c r="U26" s="130">
        <f>IF(K25=$B$63,H25,0)</f>
        <v>0</v>
      </c>
      <c r="V26" s="130">
        <f>IF(K27=$B$63,J27,0)</f>
        <v>2</v>
      </c>
      <c r="W26" s="131"/>
      <c r="X26" s="131"/>
      <c r="Y26" s="131"/>
      <c r="Z26" s="131"/>
      <c r="AA26" s="131"/>
      <c r="AB26" s="131"/>
      <c r="AC26" s="131"/>
      <c r="AD26" s="138"/>
      <c r="AE26" s="139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V26" s="135"/>
      <c r="AW26" s="133"/>
      <c r="AX26" s="24">
        <f>IF(OR('em16zufall'!H26="",'em16zufall'!J26=""),0,IF(H26-J26='em16zufall'!H26-'em16zufall'!J26,3,IF(OR(AND(H26-J26&gt;4,'em16zufall'!H26-'em16zufall'!J26&gt;4),AND(J26-H26&gt;4,'em16zufall'!J26-'em16zufall'!H26&gt;4)),2,IF(OR(AND(H26=J26,'em16zufall'!H26='em16zufall'!J26),(H26-J26)*('em16zufall'!H26-'em16zufall'!J26)&gt;0),1,0))))+IF(H26='em16zufall'!H26,1,0)+IF(J26='em16zufall'!J26,1,0)</f>
        <v>0</v>
      </c>
      <c r="AY26" s="24" t="str">
        <f>IF('em16zufall'!K26='em16zufall'!$B$63,'em16zufall'!K26,"")</f>
        <v>ok</v>
      </c>
      <c r="BA26" s="2">
        <f>BA24+12</f>
        <v>24</v>
      </c>
      <c r="BB26" s="7">
        <f>'em16zufall'!BB26</f>
        <v>42539.75</v>
      </c>
      <c r="BC26" s="7" t="str">
        <f>'em16zufall'!BC26</f>
        <v>Marseille</v>
      </c>
      <c r="BD26" s="125" t="str">
        <f>BY23</f>
        <v>Island</v>
      </c>
      <c r="BE26" s="80" t="s">
        <v>21</v>
      </c>
      <c r="BF26" s="125" t="str">
        <f>BY25</f>
        <v>Ungarn</v>
      </c>
      <c r="BG26" s="124"/>
      <c r="BH26" s="137">
        <f ca="1" t="shared" si="10"/>
        <v>3</v>
      </c>
      <c r="BI26" s="164" t="s">
        <v>22</v>
      </c>
      <c r="BJ26" s="136">
        <f ca="1" t="shared" si="11"/>
        <v>3</v>
      </c>
      <c r="BK26" s="1" t="s">
        <v>23</v>
      </c>
      <c r="BL26" s="1"/>
      <c r="BS26" s="129"/>
      <c r="BT26" s="130">
        <f>IF(BK23=$B$63,BH23,0)</f>
        <v>4</v>
      </c>
      <c r="BU26" s="130">
        <f>IF(BK25=$B$63,BH25,0)</f>
        <v>4</v>
      </c>
      <c r="BV26" s="130">
        <f>IF(BK27=$B$63,BJ27,0)</f>
        <v>2</v>
      </c>
      <c r="BW26" s="1"/>
      <c r="BX26" s="1"/>
      <c r="BY26" s="131"/>
      <c r="BZ26" s="1"/>
      <c r="CA26" s="1"/>
      <c r="CB26" s="1"/>
      <c r="CC26" s="1"/>
      <c r="CD26" s="6"/>
      <c r="CE26" s="9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V26" s="34"/>
      <c r="CX26" s="24">
        <f>IF(OR('em16zufall'!BH26="",'em16zufall'!BJ26=""),0,IF(BH26-BJ26='em16zufall'!BH26-'em16zufall'!BJ26,3,IF(OR(AND(BH26-BJ26&gt;4,'em16zufall'!BH26-'em16zufall'!BJ26&gt;4),AND(BJ26-BH26&gt;4,'em16zufall'!BJ26-'em16zufall'!BH26&gt;4)),2,IF(OR(AND(BH26=BJ26,'em16zufall'!BH26='em16zufall'!BJ26),(BH26-BJ26)*('em16zufall'!BH26-'em16zufall'!BJ26)&gt;0),1,0))))+IF(BH26='em16zufall'!BH26,1,0)+IF(BJ26='em16zufall'!BJ26,1,0)</f>
        <v>0</v>
      </c>
      <c r="CY26" s="24" t="str">
        <f>IF('em16zufall'!BK26='em16zufall'!$B$63,'em16zufall'!BK26,"")</f>
        <v>ok</v>
      </c>
      <c r="DA26" s="170" t="s">
        <v>151</v>
      </c>
      <c r="DB26" s="169">
        <v>4</v>
      </c>
    </row>
    <row r="27" spans="1:106" ht="12.75">
      <c r="A27" s="2">
        <f>A25+12</f>
        <v>29</v>
      </c>
      <c r="B27" s="7">
        <f>'em16zufall'!B27</f>
        <v>42542.75</v>
      </c>
      <c r="C27" s="7" t="str">
        <f>'em16zufall'!C27</f>
        <v>Paris</v>
      </c>
      <c r="D27" s="125" t="str">
        <f>Y25</f>
        <v>Nordirland</v>
      </c>
      <c r="E27" s="125" t="s">
        <v>21</v>
      </c>
      <c r="F27" s="125" t="str">
        <f>Y22</f>
        <v>Deutschland</v>
      </c>
      <c r="G27" s="125"/>
      <c r="H27" s="136">
        <f ca="1" t="shared" si="8"/>
        <v>3</v>
      </c>
      <c r="I27" s="160" t="s">
        <v>22</v>
      </c>
      <c r="J27" s="136">
        <f ca="1" t="shared" si="9"/>
        <v>2</v>
      </c>
      <c r="K27" s="1" t="s">
        <v>23</v>
      </c>
      <c r="M27" s="72" t="str">
        <f>IF(N22&gt;0,M22,"")</f>
        <v>Polen</v>
      </c>
      <c r="N27" s="2" t="s">
        <v>30</v>
      </c>
      <c r="S27" s="130">
        <f>IF(K23=$B$63,J23,0)</f>
        <v>0</v>
      </c>
      <c r="T27" s="129"/>
      <c r="U27" s="130">
        <f>IF(K28=$B$63,H28,0)</f>
        <v>2</v>
      </c>
      <c r="V27" s="130">
        <f>IF(K26=$B$63,H26,0)</f>
        <v>4</v>
      </c>
      <c r="AD27" s="123" t="s">
        <v>119</v>
      </c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V27" s="141"/>
      <c r="AW27" s="133"/>
      <c r="AX27" s="24">
        <f>IF(OR('em16zufall'!H27="",'em16zufall'!J27=""),0,IF(H27-J27='em16zufall'!H27-'em16zufall'!J27,3,IF(OR(AND(H27-J27&gt;4,'em16zufall'!H27-'em16zufall'!J27&gt;4),AND(J27-H27&gt;4,'em16zufall'!J27-'em16zufall'!H27&gt;4)),2,IF(OR(AND(H27=J27,'em16zufall'!H27='em16zufall'!J27),(H27-J27)*('em16zufall'!H27-'em16zufall'!J27)&gt;0),1,0))))+IF(H27='em16zufall'!H27,1,0)+IF(J27='em16zufall'!J27,1,0)</f>
        <v>3</v>
      </c>
      <c r="AY27" s="24" t="str">
        <f>IF('em16zufall'!K28='em16zufall'!$B$63,'em16zufall'!K28,"")</f>
        <v>ok</v>
      </c>
      <c r="BA27" s="2">
        <f>BA25+12</f>
        <v>35</v>
      </c>
      <c r="BB27" s="7">
        <f>'em16zufall'!BB27</f>
        <v>42543.75</v>
      </c>
      <c r="BC27" s="7" t="str">
        <f>'em16zufall'!BC27</f>
        <v>Lyon</v>
      </c>
      <c r="BD27" s="125" t="str">
        <f>BY25</f>
        <v>Ungarn</v>
      </c>
      <c r="BE27" s="80" t="s">
        <v>21</v>
      </c>
      <c r="BF27" s="125" t="str">
        <f>BY22</f>
        <v>Portugal</v>
      </c>
      <c r="BG27" s="123"/>
      <c r="BH27" s="136">
        <f ca="1" t="shared" si="10"/>
        <v>0</v>
      </c>
      <c r="BI27" s="164" t="s">
        <v>22</v>
      </c>
      <c r="BJ27" s="137">
        <f ca="1" t="shared" si="11"/>
        <v>2</v>
      </c>
      <c r="BK27" s="1" t="s">
        <v>23</v>
      </c>
      <c r="BM27" s="75" t="str">
        <f>IF(BN22&gt;0,BM22,"")</f>
        <v>Portugal</v>
      </c>
      <c r="BN27" s="2" t="s">
        <v>39</v>
      </c>
      <c r="BS27" s="130">
        <f>IF(BK23=$B$63,BJ23,0)</f>
        <v>0</v>
      </c>
      <c r="BT27" s="129"/>
      <c r="BU27" s="130">
        <f>IF(BK28=$B$63,BH28,0)</f>
        <v>1</v>
      </c>
      <c r="BV27" s="130">
        <f>IF(BK26=$B$63,BH26,0)</f>
        <v>3</v>
      </c>
      <c r="CD27" s="2" t="s">
        <v>119</v>
      </c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V27" s="35"/>
      <c r="CX27" s="24">
        <f>IF(OR('em16zufall'!BH27="",'em16zufall'!BJ27=""),0,IF(BH27-BJ27='em16zufall'!BH27-'em16zufall'!BJ27,3,IF(OR(AND(BH27-BJ27&gt;4,'em16zufall'!BH27-'em16zufall'!BJ27&gt;4),AND(BJ27-BH27&gt;4,'em16zufall'!BJ27-'em16zufall'!BH27&gt;4)),2,IF(OR(AND(BH27=BJ27,'em16zufall'!BH27='em16zufall'!BJ27),(BH27-BJ27)*('em16zufall'!BH27-'em16zufall'!BJ27)&gt;0),1,0))))+IF(BH27='em16zufall'!BH27,1,0)+IF(BJ27='em16zufall'!BJ27,1,0)</f>
        <v>0</v>
      </c>
      <c r="CY27" s="24" t="str">
        <f>IF('em16zufall'!BK28='em16zufall'!$B$63,'em16zufall'!BK28,"")</f>
        <v>ok</v>
      </c>
      <c r="DA27" s="161"/>
      <c r="DB27" s="162"/>
    </row>
    <row r="28" spans="1:103" ht="12.75">
      <c r="A28" s="2">
        <f>A26+12</f>
        <v>30</v>
      </c>
      <c r="B28" s="7">
        <f>'em16zufall'!B28</f>
        <v>42542.75</v>
      </c>
      <c r="C28" s="7" t="str">
        <f>'em16zufall'!C28</f>
        <v>Marseille</v>
      </c>
      <c r="D28" s="125" t="str">
        <f>Y23</f>
        <v>Ukraine</v>
      </c>
      <c r="E28" s="125" t="s">
        <v>21</v>
      </c>
      <c r="F28" s="125" t="str">
        <f>Y24</f>
        <v>Polen</v>
      </c>
      <c r="G28" s="125"/>
      <c r="H28" s="136">
        <f ca="1" t="shared" si="8"/>
        <v>2</v>
      </c>
      <c r="I28" s="160" t="s">
        <v>22</v>
      </c>
      <c r="J28" s="136">
        <f ca="1" t="shared" si="9"/>
        <v>2</v>
      </c>
      <c r="K28" s="1" t="s">
        <v>23</v>
      </c>
      <c r="M28" s="72" t="str">
        <f>IF(N23&gt;0,M23,"")</f>
        <v>Nordirland</v>
      </c>
      <c r="N28" s="2" t="s">
        <v>31</v>
      </c>
      <c r="S28" s="130">
        <f>IF(K25=$B$63,J25,0)</f>
        <v>5</v>
      </c>
      <c r="T28" s="130">
        <f>IF(K28=$B$63,J28,0)</f>
        <v>2</v>
      </c>
      <c r="U28" s="129"/>
      <c r="V28" s="130">
        <f>IF(K24=$B$63,H24,0)</f>
        <v>5</v>
      </c>
      <c r="AD28" s="123" t="s">
        <v>120</v>
      </c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V28" s="141"/>
      <c r="AW28" s="133"/>
      <c r="AX28" s="24">
        <f>IF(OR('em16zufall'!H28="",'em16zufall'!J28=""),0,IF(H28-J28='em16zufall'!H28-'em16zufall'!J28,3,IF(OR(AND(H28-J28&gt;4,'em16zufall'!H28-'em16zufall'!J28&gt;4),AND(J28-H28&gt;4,'em16zufall'!J28-'em16zufall'!H28&gt;4)),2,IF(OR(AND(H28=J28,'em16zufall'!H28='em16zufall'!J28),(H28-J28)*('em16zufall'!H28-'em16zufall'!J28)&gt;0),1,0))))+IF(H28='em16zufall'!H28,1,0)+IF(J28='em16zufall'!J28,1,0)</f>
        <v>0</v>
      </c>
      <c r="AY28" s="24" t="str">
        <f>IF('em16zufall'!K27='em16zufall'!$B$63,'em16zufall'!K27,"")</f>
        <v>ok</v>
      </c>
      <c r="BA28" s="2">
        <f>BA26+12</f>
        <v>36</v>
      </c>
      <c r="BB28" s="7">
        <f>'em16zufall'!BB28</f>
        <v>42543.75</v>
      </c>
      <c r="BC28" s="7" t="str">
        <f>'em16zufall'!BC28</f>
        <v>Paris St.Denis</v>
      </c>
      <c r="BD28" s="125" t="str">
        <f>BY23</f>
        <v>Island</v>
      </c>
      <c r="BE28" s="80" t="s">
        <v>21</v>
      </c>
      <c r="BF28" s="125" t="str">
        <f>BY24</f>
        <v>Österreich</v>
      </c>
      <c r="BG28" s="123"/>
      <c r="BH28" s="137">
        <f ca="1" t="shared" si="10"/>
        <v>1</v>
      </c>
      <c r="BI28" s="164" t="s">
        <v>22</v>
      </c>
      <c r="BJ28" s="137">
        <f ca="1" t="shared" si="11"/>
        <v>0</v>
      </c>
      <c r="BK28" s="1" t="s">
        <v>23</v>
      </c>
      <c r="BM28" s="75" t="str">
        <f>IF(BN23&gt;0,BM23,"")</f>
        <v>Island</v>
      </c>
      <c r="BN28" s="2" t="s">
        <v>40</v>
      </c>
      <c r="BS28" s="130">
        <f>IF(BK25=$B$63,BJ25,0)</f>
        <v>0</v>
      </c>
      <c r="BT28" s="130">
        <f>IF(BK28=$B$63,BJ28,0)</f>
        <v>0</v>
      </c>
      <c r="BU28" s="129"/>
      <c r="BV28" s="130">
        <f>IF(BK24=$B$63,BH24,0)</f>
        <v>6</v>
      </c>
      <c r="CD28" s="2" t="s">
        <v>120</v>
      </c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V28" s="35"/>
      <c r="CX28" s="24">
        <f>IF(OR('em16zufall'!BH28="",'em16zufall'!BJ28=""),0,IF(BH28-BJ28='em16zufall'!BH28-'em16zufall'!BJ28,3,IF(OR(AND(BH28-BJ28&gt;4,'em16zufall'!BH28-'em16zufall'!BJ28&gt;4),AND(BJ28-BH28&gt;4,'em16zufall'!BJ28-'em16zufall'!BH28&gt;4)),2,IF(OR(AND(BH28=BJ28,'em16zufall'!BH28='em16zufall'!BJ28),(BH28-BJ28)*('em16zufall'!BH28-'em16zufall'!BJ28)&gt;0),1,0))))+IF(BH28='em16zufall'!BH28,1,0)+IF(BJ28='em16zufall'!BJ28,1,0)</f>
        <v>5</v>
      </c>
      <c r="CY28" s="24" t="str">
        <f>IF('em16zufall'!BK27='em16zufall'!$B$63,'em16zufall'!BK27,"")</f>
        <v>ok</v>
      </c>
    </row>
    <row r="29" spans="4:103" ht="12.75">
      <c r="D29" s="123"/>
      <c r="E29" s="123"/>
      <c r="F29" s="123"/>
      <c r="G29" s="123"/>
      <c r="M29" s="72" t="str">
        <f>IF(N24&gt;0,M24,"")</f>
        <v>Deutschland</v>
      </c>
      <c r="N29" s="2" t="s">
        <v>74</v>
      </c>
      <c r="S29" s="130">
        <f>IF(K27=$B$63,H27,0)</f>
        <v>3</v>
      </c>
      <c r="T29" s="130">
        <f>IF(K26=$B$63,J26,0)</f>
        <v>4</v>
      </c>
      <c r="U29" s="130">
        <f>IF(K24=$B$63,J24,0)</f>
        <v>3</v>
      </c>
      <c r="V29" s="129"/>
      <c r="AD29" s="2" t="s">
        <v>200</v>
      </c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V29" s="141"/>
      <c r="AW29" s="133"/>
      <c r="AX29" s="49">
        <f>IF(OR($CX$62="",MOD(SUM($H$3:$J$59)+SUM($BH$3:$BJ$61),3)=0),IF(M29="",0,COUNTIF('em16zufall'!$D$48:'em16zufall'!$F$55,M29)),0)</f>
        <v>1</v>
      </c>
      <c r="AY29" s="24">
        <f>IF(COUNTIF('em16zufall'!K23:'em16zufall'!K27,'em16zufall'!$B$63)=6,"ok","")</f>
      </c>
      <c r="BD29" s="123"/>
      <c r="BE29" s="123"/>
      <c r="BF29" s="123"/>
      <c r="BG29" s="123"/>
      <c r="BM29" s="75" t="str">
        <f>IF(BN24&gt;0,BM24,"")</f>
        <v>Österreich</v>
      </c>
      <c r="BN29" s="2" t="s">
        <v>75</v>
      </c>
      <c r="BS29" s="130">
        <f>IF(BK27=$B$63,BH27,0)</f>
        <v>0</v>
      </c>
      <c r="BT29" s="130">
        <f>IF(BK26=$B$63,BJ26,0)</f>
        <v>3</v>
      </c>
      <c r="BU29" s="130">
        <f>IF(BK24=$B$63,BJ24,0)</f>
        <v>0</v>
      </c>
      <c r="BV29" s="129"/>
      <c r="CD29" s="2" t="s">
        <v>200</v>
      </c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V29" s="35"/>
      <c r="CX29" s="64">
        <f>IF(OR($CX$62="",MOD(SUM($H$3:$J$59)+SUM($BH$3:$BJ$61),3)=0),IF(BM29="",0,COUNTIF('em16zufall'!$D$48:'em16zufall'!$F$55,BM29)),0)</f>
        <v>0</v>
      </c>
      <c r="CY29" s="24">
        <f>IF(COUNTIF('em16zufall'!BK23:'em16zufall'!BK27,'em16zufall'!$B$63)=6,"ok","")</f>
      </c>
    </row>
    <row r="30" spans="4:100" ht="6" customHeight="1">
      <c r="D30" s="123"/>
      <c r="E30" s="126"/>
      <c r="F30" s="128"/>
      <c r="G30" s="128"/>
      <c r="H30" s="123"/>
      <c r="I30" s="123"/>
      <c r="J30" s="123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V30" s="141"/>
      <c r="AW30" s="133"/>
      <c r="AX30" s="24"/>
      <c r="BD30" s="123"/>
      <c r="BE30" s="126"/>
      <c r="BF30" s="128"/>
      <c r="BG30" s="128"/>
      <c r="BH30" s="123"/>
      <c r="BI30" s="123"/>
      <c r="BJ30" s="123"/>
      <c r="BS30" s="123"/>
      <c r="BT30" s="123"/>
      <c r="BU30" s="123"/>
      <c r="BV30" s="123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V30" s="35"/>
    </row>
    <row r="31" spans="2:103" ht="12.75" hidden="1">
      <c r="B31" s="67" t="s">
        <v>118</v>
      </c>
      <c r="C31" s="122" t="str">
        <f>CONCATENATE(D35,D36,D37,D38)</f>
        <v>ABDF</v>
      </c>
      <c r="AW31" s="133"/>
      <c r="AX31" s="24"/>
      <c r="AY31" s="24"/>
      <c r="BJ31" s="2"/>
      <c r="BK31" s="2"/>
      <c r="BM31" s="2"/>
      <c r="BS31" s="116"/>
      <c r="BT31" s="116"/>
      <c r="BU31" s="116"/>
      <c r="CE31"/>
      <c r="CF31" s="116" t="s">
        <v>27</v>
      </c>
      <c r="CG31" s="116"/>
      <c r="CH31" s="116"/>
      <c r="CI31" t="s">
        <v>24</v>
      </c>
      <c r="CJ31"/>
      <c r="CK31"/>
      <c r="CL31" t="s">
        <v>33</v>
      </c>
      <c r="CM31"/>
      <c r="CN31"/>
      <c r="CO31" t="s">
        <v>30</v>
      </c>
      <c r="CP31"/>
      <c r="CQ31"/>
      <c r="CY31" s="24"/>
    </row>
    <row r="32" spans="13:103" ht="12.75" hidden="1">
      <c r="M32" s="69" t="s">
        <v>128</v>
      </c>
      <c r="AW32" s="133"/>
      <c r="AX32" s="24"/>
      <c r="AY32" s="24"/>
      <c r="BJ32" s="2"/>
      <c r="BK32" s="2"/>
      <c r="BM32" s="2"/>
      <c r="BS32" s="143"/>
      <c r="BT32" s="143"/>
      <c r="BU32" s="143"/>
      <c r="CE32"/>
      <c r="CF32" s="116" t="s">
        <v>97</v>
      </c>
      <c r="CG32" s="116" t="s">
        <v>98</v>
      </c>
      <c r="CH32" s="116" t="s">
        <v>99</v>
      </c>
      <c r="CI32" t="s">
        <v>98</v>
      </c>
      <c r="CJ32" t="s">
        <v>99</v>
      </c>
      <c r="CK32" t="s">
        <v>100</v>
      </c>
      <c r="CL32" t="s">
        <v>101</v>
      </c>
      <c r="CM32" t="s">
        <v>100</v>
      </c>
      <c r="CN32" t="s">
        <v>102</v>
      </c>
      <c r="CO32" t="s">
        <v>97</v>
      </c>
      <c r="CP32" t="s">
        <v>101</v>
      </c>
      <c r="CQ32" t="s">
        <v>102</v>
      </c>
      <c r="CY32" s="24"/>
    </row>
    <row r="33" spans="4:103" ht="12.75" hidden="1">
      <c r="D33" s="128" t="s">
        <v>129</v>
      </c>
      <c r="F33" s="128" t="s">
        <v>130</v>
      </c>
      <c r="M33" s="69"/>
      <c r="AW33" s="133"/>
      <c r="AX33" s="24"/>
      <c r="AY33" s="24"/>
      <c r="BJ33" s="2"/>
      <c r="BK33" s="2"/>
      <c r="BM33" s="2"/>
      <c r="BS33" s="143"/>
      <c r="BT33" s="143"/>
      <c r="BU33" s="143"/>
      <c r="CE33"/>
      <c r="CF33" s="144" t="s">
        <v>83</v>
      </c>
      <c r="CG33" s="144" t="s">
        <v>94</v>
      </c>
      <c r="CH33" s="144" t="s">
        <v>82</v>
      </c>
      <c r="CI33" s="145" t="s">
        <v>82</v>
      </c>
      <c r="CJ33" s="145" t="s">
        <v>85</v>
      </c>
      <c r="CK33" s="145" t="s">
        <v>87</v>
      </c>
      <c r="CL33" s="145" t="s">
        <v>82</v>
      </c>
      <c r="CM33" s="145" t="s">
        <v>83</v>
      </c>
      <c r="CN33" s="145" t="s">
        <v>84</v>
      </c>
      <c r="CO33" s="145" t="s">
        <v>82</v>
      </c>
      <c r="CP33" s="145" t="s">
        <v>83</v>
      </c>
      <c r="CQ33" s="145" t="s">
        <v>90</v>
      </c>
      <c r="CR33" s="144"/>
      <c r="CS33" s="144"/>
      <c r="CT33" s="144"/>
      <c r="CY33" s="24"/>
    </row>
    <row r="34" spans="1:103" s="12" customFormat="1" ht="12.75" hidden="1">
      <c r="A34" s="32"/>
      <c r="D34" s="24" t="s">
        <v>131</v>
      </c>
      <c r="F34" s="24" t="s">
        <v>97</v>
      </c>
      <c r="L34" s="24"/>
      <c r="M34" s="69" t="s">
        <v>3</v>
      </c>
      <c r="N34" s="24" t="s">
        <v>4</v>
      </c>
      <c r="O34" s="24" t="s">
        <v>5</v>
      </c>
      <c r="P34" s="24" t="s">
        <v>6</v>
      </c>
      <c r="Q34" s="24" t="s">
        <v>7</v>
      </c>
      <c r="R34" s="24" t="s">
        <v>8</v>
      </c>
      <c r="S34" s="128"/>
      <c r="T34" s="128" t="s">
        <v>98</v>
      </c>
      <c r="U34" s="128"/>
      <c r="V34" s="128"/>
      <c r="W34" s="128"/>
      <c r="X34" s="124" t="s">
        <v>122</v>
      </c>
      <c r="Y34" s="128" t="s">
        <v>118</v>
      </c>
      <c r="Z34" s="128"/>
      <c r="AA34" s="128"/>
      <c r="AB34" s="128"/>
      <c r="AC34" s="128"/>
      <c r="AD34" s="128"/>
      <c r="AE34" s="27" t="s">
        <v>10</v>
      </c>
      <c r="AF34" s="124" t="s">
        <v>8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5" t="s">
        <v>18</v>
      </c>
      <c r="AW34" s="128"/>
      <c r="AX34" s="24"/>
      <c r="AY34" s="24"/>
      <c r="BJ34" s="2"/>
      <c r="BK34" s="2"/>
      <c r="BL34" s="2"/>
      <c r="BM34" s="2"/>
      <c r="BN34" s="2"/>
      <c r="BO34" s="2"/>
      <c r="BP34" s="2"/>
      <c r="BQ34" s="2"/>
      <c r="BR34" s="2"/>
      <c r="BS34" s="143"/>
      <c r="BT34" s="143"/>
      <c r="BU34" s="143"/>
      <c r="CE34"/>
      <c r="CF34" s="144" t="s">
        <v>84</v>
      </c>
      <c r="CG34" s="144"/>
      <c r="CH34" s="144" t="s">
        <v>88</v>
      </c>
      <c r="CI34" s="145" t="s">
        <v>83</v>
      </c>
      <c r="CJ34" s="145" t="s">
        <v>86</v>
      </c>
      <c r="CK34" s="145" t="s">
        <v>94</v>
      </c>
      <c r="CL34" s="145"/>
      <c r="CM34" s="145" t="s">
        <v>85</v>
      </c>
      <c r="CN34" s="145" t="s">
        <v>86</v>
      </c>
      <c r="CO34" s="145" t="s">
        <v>88</v>
      </c>
      <c r="CP34" s="145" t="s">
        <v>84</v>
      </c>
      <c r="CQ34" s="145" t="s">
        <v>91</v>
      </c>
      <c r="CV34" s="2"/>
      <c r="CX34" s="24"/>
      <c r="CY34" s="24"/>
    </row>
    <row r="35" spans="1:103" ht="12.75" hidden="1">
      <c r="A35" s="33"/>
      <c r="B35" s="67" t="str">
        <f>CONCATENATE("3",D35)</f>
        <v>3A</v>
      </c>
      <c r="C35" s="68" t="str">
        <f>IF(AND(N$35=0,N$36=0,N$37=0,N$38=0),"",VLOOKUP(1,$F$35:$M$43,8,FALSE))</f>
        <v>Schweiz</v>
      </c>
      <c r="D35" s="1" t="str">
        <f>IF(AND(N$35=0,N$36=0,N$37=0,N$38=0),"",VLOOKUP(1,$F$35:$M$38,7,FALSE))</f>
        <v>A</v>
      </c>
      <c r="F35" s="1">
        <f>RANK(T35,$T$35:$T$38)</f>
        <v>4</v>
      </c>
      <c r="I35" s="2"/>
      <c r="K35" s="11"/>
      <c r="L35" s="180" t="str">
        <f aca="true" t="shared" si="12" ref="L35:L40">MID(R35,2,1)</f>
        <v>F</v>
      </c>
      <c r="M35" s="181" t="str">
        <f>VLOOKUP(1,$X$35:$AC$40,2,FALSE)</f>
        <v>Österreich</v>
      </c>
      <c r="N35" s="2">
        <f>VLOOKUP(1,$X$35:$AC$40,3,FALSE)</f>
        <v>3</v>
      </c>
      <c r="O35" s="2">
        <f>VLOOKUP(1,$X$35:$AC$40,4,FALSE)</f>
        <v>6</v>
      </c>
      <c r="P35" s="2">
        <f>VLOOKUP(1,$X$35:$AC$40,5,FALSE)</f>
        <v>5</v>
      </c>
      <c r="Q35" s="2">
        <f>VLOOKUP(1,$X$35:$AC$40,6,FALSE)</f>
        <v>1</v>
      </c>
      <c r="R35" s="21" t="str">
        <f>VLOOKUP(1,$X$35:$AF$40,9,FALSE)</f>
        <v>3F</v>
      </c>
      <c r="T35" s="123">
        <f>71-CODE(L35)</f>
        <v>1</v>
      </c>
      <c r="X35" s="131">
        <f aca="true" t="shared" si="13" ref="X35:X40">RANK(AD35,$AD$35:$AD$40)</f>
        <v>2</v>
      </c>
      <c r="Y35" s="146" t="str">
        <f>M4</f>
        <v>Schweiz</v>
      </c>
      <c r="Z35" s="123">
        <f>N4</f>
        <v>3</v>
      </c>
      <c r="AA35" s="123">
        <f>O4</f>
        <v>9</v>
      </c>
      <c r="AB35" s="123">
        <f>P4</f>
        <v>10</v>
      </c>
      <c r="AC35" s="123">
        <f>Q4</f>
        <v>-1</v>
      </c>
      <c r="AD35" s="133">
        <f aca="true" t="shared" si="14" ref="AD35:AD40">AE35*10000000000000000+Z35*100000000000000+AC35*1000000000000+AA35*10000000000+AV35</f>
        <v>299090000000006</v>
      </c>
      <c r="AE35" s="134"/>
      <c r="AF35" s="123" t="str">
        <f>N9</f>
        <v>3A</v>
      </c>
      <c r="AV35" s="134">
        <v>6</v>
      </c>
      <c r="AX35" s="24"/>
      <c r="AY35" s="24"/>
      <c r="BJ35" s="2"/>
      <c r="BK35" s="2"/>
      <c r="BM35" s="2"/>
      <c r="BS35" s="143"/>
      <c r="BT35" s="143"/>
      <c r="BU35" s="143"/>
      <c r="CE35"/>
      <c r="CF35" s="144" t="s">
        <v>85</v>
      </c>
      <c r="CG35" s="144"/>
      <c r="CH35" s="144" t="s">
        <v>89</v>
      </c>
      <c r="CI35" s="145" t="s">
        <v>84</v>
      </c>
      <c r="CJ35" s="145" t="s">
        <v>91</v>
      </c>
      <c r="CK35" s="145" t="s">
        <v>95</v>
      </c>
      <c r="CL35" s="145"/>
      <c r="CM35" s="145" t="s">
        <v>88</v>
      </c>
      <c r="CN35" s="145" t="s">
        <v>87</v>
      </c>
      <c r="CO35" s="145" t="s">
        <v>89</v>
      </c>
      <c r="CP35" s="145" t="s">
        <v>85</v>
      </c>
      <c r="CQ35" s="145" t="s">
        <v>96</v>
      </c>
      <c r="CY35" s="24"/>
    </row>
    <row r="36" spans="1:103" ht="12.75" hidden="1">
      <c r="A36" s="33"/>
      <c r="B36" s="67" t="str">
        <f>CONCATENATE("3",D36)</f>
        <v>3B</v>
      </c>
      <c r="C36" s="68" t="str">
        <f>IF(AND(N$35=0,N$36=0,N$37=0,N$38=0),"",VLOOKUP(2,$F$35:$M$43,8,FALSE))</f>
        <v>Slowakei</v>
      </c>
      <c r="D36" s="1" t="str">
        <f>IF(AND(N$35=0,N$36=0,N$37=0,N$38=0),"",VLOOKUP(2,$F$35:$M$38,7,FALSE))</f>
        <v>B</v>
      </c>
      <c r="F36" s="1">
        <f>RANK(T36,$T$35:$T$38)</f>
        <v>1</v>
      </c>
      <c r="I36" s="2"/>
      <c r="K36" s="11"/>
      <c r="L36" s="180" t="str">
        <f t="shared" si="12"/>
        <v>A</v>
      </c>
      <c r="M36" s="181" t="str">
        <f>VLOOKUP(2,$X$35:$AC$40,2,FALSE)</f>
        <v>Schweiz</v>
      </c>
      <c r="N36" s="2">
        <f>VLOOKUP(2,$X$35:$AC$40,3,FALSE)</f>
        <v>3</v>
      </c>
      <c r="O36" s="2">
        <f>VLOOKUP(2,$X$35:$AC$40,4,FALSE)</f>
        <v>9</v>
      </c>
      <c r="P36" s="2">
        <f>VLOOKUP(2,$X$35:$AC$40,5,FALSE)</f>
        <v>10</v>
      </c>
      <c r="Q36" s="2">
        <f>VLOOKUP(2,$X$35:$AC$40,6,FALSE)</f>
        <v>-1</v>
      </c>
      <c r="R36" s="21" t="str">
        <f>VLOOKUP(2,$X$35:$AF$40,9,FALSE)</f>
        <v>3A</v>
      </c>
      <c r="T36" s="123">
        <f>71-CODE(L36)</f>
        <v>6</v>
      </c>
      <c r="X36" s="131">
        <f t="shared" si="13"/>
        <v>4</v>
      </c>
      <c r="Y36" s="146" t="str">
        <f>M14</f>
        <v>Slowakei</v>
      </c>
      <c r="Z36" s="123">
        <f>N14</f>
        <v>3</v>
      </c>
      <c r="AA36" s="123">
        <f>O14</f>
        <v>5</v>
      </c>
      <c r="AB36" s="123">
        <f>P14</f>
        <v>8</v>
      </c>
      <c r="AC36" s="123">
        <f>Q14</f>
        <v>-3</v>
      </c>
      <c r="AD36" s="133">
        <f t="shared" si="14"/>
        <v>297050000000005</v>
      </c>
      <c r="AE36" s="134"/>
      <c r="AF36" s="123" t="str">
        <f>N19</f>
        <v>3B</v>
      </c>
      <c r="AV36" s="134">
        <v>5</v>
      </c>
      <c r="AX36" s="24"/>
      <c r="AY36" s="24"/>
      <c r="BJ36" s="2"/>
      <c r="BK36" s="2"/>
      <c r="BM36" s="2"/>
      <c r="BS36" s="143"/>
      <c r="BT36" s="143"/>
      <c r="BU36" s="143"/>
      <c r="CE36"/>
      <c r="CF36" s="144" t="s">
        <v>86</v>
      </c>
      <c r="CG36" s="144"/>
      <c r="CH36" s="144" t="s">
        <v>92</v>
      </c>
      <c r="CI36" s="145" t="s">
        <v>88</v>
      </c>
      <c r="CJ36" s="145"/>
      <c r="CK36" s="145"/>
      <c r="CL36" s="145"/>
      <c r="CM36" s="145" t="s">
        <v>90</v>
      </c>
      <c r="CN36" s="145" t="s">
        <v>89</v>
      </c>
      <c r="CO36" s="145"/>
      <c r="CP36" s="145" t="s">
        <v>86</v>
      </c>
      <c r="CQ36" s="145"/>
      <c r="CY36" s="24"/>
    </row>
    <row r="37" spans="1:103" ht="12.75" hidden="1">
      <c r="A37" s="33"/>
      <c r="B37" s="67" t="str">
        <f>CONCATENATE("3",D37)</f>
        <v>3D</v>
      </c>
      <c r="C37" s="68" t="str">
        <f>IF(AND(N$35=0,N$36=0,N$37=0,N$38=0),"",VLOOKUP(3,$F$35:$M$43,8,FALSE))</f>
        <v>Spanien</v>
      </c>
      <c r="D37" s="1" t="str">
        <f>IF(AND(N$35=0,N$36=0,N$37=0,N$38=0),"",VLOOKUP(3,$F$35:$M$38,7,FALSE))</f>
        <v>D</v>
      </c>
      <c r="F37" s="1">
        <f>RANK(T37,$T$35:$T$38)</f>
        <v>3</v>
      </c>
      <c r="I37" s="2"/>
      <c r="K37" s="11"/>
      <c r="L37" s="180" t="str">
        <f t="shared" si="12"/>
        <v>D</v>
      </c>
      <c r="M37" s="181" t="str">
        <f>VLOOKUP(3,$X$35:$AC$40,2,FALSE)</f>
        <v>Spanien</v>
      </c>
      <c r="N37" s="2">
        <f>VLOOKUP(3,$X$35:$AC$40,3,FALSE)</f>
        <v>3</v>
      </c>
      <c r="O37" s="2">
        <f>VLOOKUP(3,$X$35:$AC$40,4,FALSE)</f>
        <v>6</v>
      </c>
      <c r="P37" s="2">
        <f>VLOOKUP(3,$X$35:$AC$40,5,FALSE)</f>
        <v>7</v>
      </c>
      <c r="Q37" s="2">
        <f>VLOOKUP(3,$X$35:$AC$40,6,FALSE)</f>
        <v>-1</v>
      </c>
      <c r="R37" s="21" t="str">
        <f>VLOOKUP(3,$X$35:$AF$40,9,FALSE)</f>
        <v>3D</v>
      </c>
      <c r="T37" s="123">
        <f>71-CODE(L37)</f>
        <v>3</v>
      </c>
      <c r="X37" s="131">
        <f t="shared" si="13"/>
        <v>6</v>
      </c>
      <c r="Y37" s="146" t="str">
        <f>M24</f>
        <v>Deutschland</v>
      </c>
      <c r="Z37" s="123">
        <f>N24</f>
        <v>3</v>
      </c>
      <c r="AA37" s="123">
        <f>O24</f>
        <v>4</v>
      </c>
      <c r="AB37" s="123">
        <f>P24</f>
        <v>8</v>
      </c>
      <c r="AC37" s="123">
        <f>Q24</f>
        <v>-4</v>
      </c>
      <c r="AD37" s="133">
        <f t="shared" si="14"/>
        <v>296040000000004</v>
      </c>
      <c r="AE37" s="134"/>
      <c r="AF37" s="123" t="str">
        <f>N29</f>
        <v>3C</v>
      </c>
      <c r="AV37" s="134">
        <v>4</v>
      </c>
      <c r="AX37" s="24"/>
      <c r="AY37" s="24"/>
      <c r="BJ37" s="2"/>
      <c r="BK37" s="2"/>
      <c r="BM37" s="2"/>
      <c r="BS37" s="143"/>
      <c r="BT37" s="143"/>
      <c r="BU37" s="143"/>
      <c r="CE37"/>
      <c r="CF37" s="144" t="s">
        <v>87</v>
      </c>
      <c r="CG37" s="144"/>
      <c r="CH37" s="144" t="s">
        <v>93</v>
      </c>
      <c r="CI37" s="145" t="s">
        <v>89</v>
      </c>
      <c r="CJ37" s="145"/>
      <c r="CK37" s="145"/>
      <c r="CL37" s="145"/>
      <c r="CM37" s="145" t="s">
        <v>91</v>
      </c>
      <c r="CN37" s="145" t="s">
        <v>93</v>
      </c>
      <c r="CO37" s="145"/>
      <c r="CP37" s="145" t="s">
        <v>87</v>
      </c>
      <c r="CQ37" s="145"/>
      <c r="CY37" s="24"/>
    </row>
    <row r="38" spans="1:103" ht="12.75" hidden="1">
      <c r="A38" s="33"/>
      <c r="B38" s="67" t="str">
        <f>CONCATENATE("3",D38)</f>
        <v>3F</v>
      </c>
      <c r="C38" s="68" t="str">
        <f>IF(AND(N$35=0,N$36=0,N$37=0,N$38=0),"",VLOOKUP(4,$F$35:$M$43,8,FALSE))</f>
        <v>Österreich</v>
      </c>
      <c r="D38" s="1" t="str">
        <f>IF(AND(N$35=0,N$36=0,N$37=0,N$38=0),"",VLOOKUP(4,$F$35:$M$38,7,FALSE))</f>
        <v>F</v>
      </c>
      <c r="F38" s="1">
        <f>RANK(T38,$T$35:$T$38)</f>
        <v>2</v>
      </c>
      <c r="I38" s="2"/>
      <c r="K38" s="11"/>
      <c r="L38" s="180" t="str">
        <f t="shared" si="12"/>
        <v>B</v>
      </c>
      <c r="M38" s="181" t="str">
        <f>VLOOKUP(4,$X$35:$AC$40,2,FALSE)</f>
        <v>Slowakei</v>
      </c>
      <c r="N38" s="2">
        <f>VLOOKUP(4,$X$35:$AC$40,3,FALSE)</f>
        <v>3</v>
      </c>
      <c r="O38" s="2">
        <f>VLOOKUP(4,$X$35:$AC$40,4,FALSE)</f>
        <v>5</v>
      </c>
      <c r="P38" s="2">
        <f>VLOOKUP(4,$X$35:$AC$40,5,FALSE)</f>
        <v>8</v>
      </c>
      <c r="Q38" s="2">
        <f>VLOOKUP(4,$X$35:$AC$40,6,FALSE)</f>
        <v>-3</v>
      </c>
      <c r="R38" s="21" t="str">
        <f>VLOOKUP(4,$X$35:$AF$40,9,FALSE)</f>
        <v>3B</v>
      </c>
      <c r="T38" s="123">
        <f>71-CODE(L38)</f>
        <v>5</v>
      </c>
      <c r="X38" s="131">
        <f t="shared" si="13"/>
        <v>3</v>
      </c>
      <c r="Y38" s="146" t="str">
        <f>BM4</f>
        <v>Spanien</v>
      </c>
      <c r="Z38" s="123">
        <f>BN4</f>
        <v>3</v>
      </c>
      <c r="AA38" s="123">
        <f>BO4</f>
        <v>6</v>
      </c>
      <c r="AB38" s="123">
        <f>BP4</f>
        <v>7</v>
      </c>
      <c r="AC38" s="123">
        <f>BQ4</f>
        <v>-1</v>
      </c>
      <c r="AD38" s="133">
        <f t="shared" si="14"/>
        <v>299060000000003</v>
      </c>
      <c r="AE38" s="134"/>
      <c r="AF38" s="123" t="str">
        <f>BN9</f>
        <v>3D</v>
      </c>
      <c r="AV38" s="134">
        <v>3</v>
      </c>
      <c r="AX38" s="24"/>
      <c r="AY38" s="24"/>
      <c r="BJ38" s="2"/>
      <c r="BK38" s="2"/>
      <c r="BM38" s="2"/>
      <c r="BS38" s="143"/>
      <c r="BT38" s="143"/>
      <c r="BU38" s="143"/>
      <c r="CE38"/>
      <c r="CF38" s="144" t="s">
        <v>90</v>
      </c>
      <c r="CG38" s="144"/>
      <c r="CH38" s="144" t="s">
        <v>95</v>
      </c>
      <c r="CI38" s="145" t="s">
        <v>90</v>
      </c>
      <c r="CJ38" s="145"/>
      <c r="CK38" s="145"/>
      <c r="CL38" s="145"/>
      <c r="CM38" s="145" t="s">
        <v>92</v>
      </c>
      <c r="CN38" s="145" t="s">
        <v>94</v>
      </c>
      <c r="CO38" s="145"/>
      <c r="CP38" s="145" t="s">
        <v>92</v>
      </c>
      <c r="CQ38" s="145"/>
      <c r="CY38" s="24"/>
    </row>
    <row r="39" spans="1:95" ht="12.75" hidden="1">
      <c r="A39" s="33"/>
      <c r="H39" s="2"/>
      <c r="I39" s="2"/>
      <c r="K39" s="11"/>
      <c r="L39" s="1" t="str">
        <f t="shared" si="12"/>
        <v>E</v>
      </c>
      <c r="M39" s="11" t="str">
        <f>VLOOKUP(5,$X$35:$AC$40,2,FALSE)</f>
        <v>Schweden</v>
      </c>
      <c r="N39" s="2">
        <f>VLOOKUP(5,$X$35:$AC$40,3,FALSE)</f>
        <v>3</v>
      </c>
      <c r="O39" s="2">
        <f>VLOOKUP(5,$X$35:$AC$40,4,FALSE)</f>
        <v>5</v>
      </c>
      <c r="P39" s="2">
        <f>VLOOKUP(5,$X$35:$AC$40,5,FALSE)</f>
        <v>8</v>
      </c>
      <c r="Q39" s="2">
        <f>VLOOKUP(5,$X$35:$AC$40,6,FALSE)</f>
        <v>-3</v>
      </c>
      <c r="R39" s="21" t="str">
        <f>VLOOKUP(5,$X$35:$AF$40,9,FALSE)</f>
        <v>3E</v>
      </c>
      <c r="X39" s="131">
        <f t="shared" si="13"/>
        <v>5</v>
      </c>
      <c r="Y39" s="146" t="str">
        <f>BM14</f>
        <v>Schweden</v>
      </c>
      <c r="Z39" s="123">
        <f>BN14</f>
        <v>3</v>
      </c>
      <c r="AA39" s="123">
        <f>BO14</f>
        <v>5</v>
      </c>
      <c r="AB39" s="123">
        <f>BP14</f>
        <v>8</v>
      </c>
      <c r="AC39" s="123">
        <f>BQ14</f>
        <v>-3</v>
      </c>
      <c r="AD39" s="133">
        <f t="shared" si="14"/>
        <v>297050000000002</v>
      </c>
      <c r="AE39" s="134"/>
      <c r="AF39" s="123" t="str">
        <f>BN19</f>
        <v>3E</v>
      </c>
      <c r="AV39" s="134">
        <v>2</v>
      </c>
      <c r="BJ39" s="2"/>
      <c r="BK39" s="2"/>
      <c r="BM39" s="2"/>
      <c r="BS39" s="143"/>
      <c r="BT39" s="143"/>
      <c r="BU39" s="143"/>
      <c r="CE39"/>
      <c r="CF39" s="144" t="s">
        <v>91</v>
      </c>
      <c r="CG39" s="144"/>
      <c r="CH39" s="144" t="s">
        <v>96</v>
      </c>
      <c r="CI39" s="145" t="s">
        <v>92</v>
      </c>
      <c r="CJ39" s="145"/>
      <c r="CK39" s="145"/>
      <c r="CL39" s="145"/>
      <c r="CM39" s="145" t="s">
        <v>96</v>
      </c>
      <c r="CN39" s="145" t="s">
        <v>95</v>
      </c>
      <c r="CO39" s="145"/>
      <c r="CP39" s="145" t="s">
        <v>93</v>
      </c>
      <c r="CQ39" s="145"/>
    </row>
    <row r="40" spans="1:95" ht="12.75" hidden="1">
      <c r="A40" s="33"/>
      <c r="H40" s="2"/>
      <c r="I40" s="2"/>
      <c r="K40" s="11"/>
      <c r="L40" s="1" t="str">
        <f t="shared" si="12"/>
        <v>C</v>
      </c>
      <c r="M40" s="11" t="str">
        <f>VLOOKUP(6,$X$35:$AC$40,2,FALSE)</f>
        <v>Deutschland</v>
      </c>
      <c r="N40" s="2">
        <f>VLOOKUP(6,$X$35:$AC$40,3,FALSE)</f>
        <v>3</v>
      </c>
      <c r="O40" s="2">
        <f>VLOOKUP(6,$X$35:$AC$40,4,FALSE)</f>
        <v>4</v>
      </c>
      <c r="P40" s="2">
        <f>VLOOKUP(6,$X$35:$AC$40,5,FALSE)</f>
        <v>8</v>
      </c>
      <c r="Q40" s="2">
        <f>VLOOKUP(6,$X$35:$AC$40,6,FALSE)</f>
        <v>-4</v>
      </c>
      <c r="R40" s="21" t="str">
        <f>VLOOKUP(6,$X$35:$AF$40,9,FALSE)</f>
        <v>3C</v>
      </c>
      <c r="X40" s="131">
        <f t="shared" si="13"/>
        <v>1</v>
      </c>
      <c r="Y40" s="146" t="str">
        <f>BM24</f>
        <v>Österreich</v>
      </c>
      <c r="Z40" s="123">
        <f>BN24</f>
        <v>3</v>
      </c>
      <c r="AA40" s="123">
        <f>BO24</f>
        <v>6</v>
      </c>
      <c r="AB40" s="123">
        <f>BP24</f>
        <v>5</v>
      </c>
      <c r="AC40" s="123">
        <f>BQ24</f>
        <v>1</v>
      </c>
      <c r="AD40" s="133">
        <f t="shared" si="14"/>
        <v>301060000000001</v>
      </c>
      <c r="AE40" s="134"/>
      <c r="AF40" s="123" t="str">
        <f>BN29</f>
        <v>3F</v>
      </c>
      <c r="AV40" s="134">
        <v>1</v>
      </c>
      <c r="BJ40" s="2"/>
      <c r="BK40" s="2"/>
      <c r="BM40" s="2"/>
      <c r="BS40" s="143"/>
      <c r="BT40" s="143"/>
      <c r="BU40" s="143"/>
      <c r="CE40"/>
      <c r="CF40" s="144"/>
      <c r="CG40" s="144"/>
      <c r="CH40" s="144"/>
      <c r="CI40" s="145" t="s">
        <v>93</v>
      </c>
      <c r="CJ40" s="145"/>
      <c r="CK40" s="145"/>
      <c r="CL40" s="145"/>
      <c r="CM40" s="145"/>
      <c r="CN40" s="145"/>
      <c r="CO40" s="145"/>
      <c r="CP40" s="145" t="s">
        <v>94</v>
      </c>
      <c r="CQ40" s="145"/>
    </row>
    <row r="41" spans="1:103" ht="12.75" hidden="1">
      <c r="A41" s="33"/>
      <c r="H41" s="2"/>
      <c r="I41" s="2"/>
      <c r="J41" s="1"/>
      <c r="K41" s="2"/>
      <c r="M41" s="2"/>
      <c r="AE41" s="123"/>
      <c r="AX41" s="24"/>
      <c r="AY41" s="24"/>
      <c r="BJ41" s="2"/>
      <c r="BK41" s="2"/>
      <c r="BM41" s="2"/>
      <c r="BS41" s="143"/>
      <c r="BT41" s="143"/>
      <c r="BU41" s="143"/>
      <c r="CE41"/>
      <c r="CF41" s="144"/>
      <c r="CG41" s="144"/>
      <c r="CH41" s="144"/>
      <c r="CI41" s="145" t="s">
        <v>96</v>
      </c>
      <c r="CJ41" s="145"/>
      <c r="CK41" s="145"/>
      <c r="CL41" s="145"/>
      <c r="CM41" s="145"/>
      <c r="CN41" s="145"/>
      <c r="CO41" s="145"/>
      <c r="CP41" s="145" t="s">
        <v>95</v>
      </c>
      <c r="CQ41" s="145"/>
      <c r="CY41" s="24"/>
    </row>
    <row r="42" spans="1:100" ht="12.75" hidden="1">
      <c r="A42" s="33"/>
      <c r="H42" s="2"/>
      <c r="I42" s="2"/>
      <c r="J42" s="1"/>
      <c r="K42" s="2"/>
      <c r="M42" s="2"/>
      <c r="AD42" s="123" t="s">
        <v>119</v>
      </c>
      <c r="AE42" s="123"/>
      <c r="AY42" s="24"/>
      <c r="BJ42" s="2"/>
      <c r="BK42" s="2"/>
      <c r="BM42" s="2"/>
      <c r="BS42" s="143"/>
      <c r="BT42" s="143"/>
      <c r="BU42" s="143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84" ht="12.75" customHeight="1" hidden="1">
      <c r="A43" s="33"/>
      <c r="H43" s="2"/>
      <c r="I43" s="2"/>
      <c r="J43" s="1"/>
      <c r="K43" s="2"/>
      <c r="M43" s="2"/>
      <c r="AD43" s="123" t="s">
        <v>121</v>
      </c>
      <c r="AE43" s="123"/>
      <c r="AY43" s="24"/>
      <c r="BH43" s="2"/>
      <c r="BI43" s="2"/>
      <c r="BJ43" s="2"/>
      <c r="BK43" s="2"/>
      <c r="BM43" s="2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3:84" ht="3.75" customHeight="1">
      <c r="C44" s="3"/>
      <c r="E44" s="3"/>
      <c r="F44" s="3"/>
      <c r="H44" s="164"/>
      <c r="I44" s="142"/>
      <c r="J44" s="164"/>
      <c r="AD44" s="138"/>
      <c r="BH44" s="2"/>
      <c r="BI44" s="2"/>
      <c r="BJ44" s="2"/>
      <c r="BK44" s="2"/>
      <c r="BM44" s="2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3:84" ht="3.75" customHeight="1">
      <c r="C45" s="3"/>
      <c r="E45" s="3"/>
      <c r="F45" s="3"/>
      <c r="H45" s="164"/>
      <c r="I45" s="142"/>
      <c r="J45" s="164"/>
      <c r="AD45" s="138"/>
      <c r="BH45" s="2"/>
      <c r="BI45" s="2"/>
      <c r="BJ45" s="2"/>
      <c r="BK45" s="2"/>
      <c r="BM45" s="2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3:84" ht="3.75" customHeight="1">
      <c r="C46" s="3"/>
      <c r="E46" s="3"/>
      <c r="F46" s="3"/>
      <c r="H46" s="164"/>
      <c r="I46" s="142"/>
      <c r="J46" s="164"/>
      <c r="AD46" s="138"/>
      <c r="BH46" s="2"/>
      <c r="BI46" s="2"/>
      <c r="BJ46" s="2"/>
      <c r="BK46" s="2"/>
      <c r="BM46" s="2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106" ht="12.75">
      <c r="B47" s="24" t="s">
        <v>41</v>
      </c>
      <c r="C47" s="3"/>
      <c r="D47" s="24"/>
      <c r="E47" s="21"/>
      <c r="F47" s="24"/>
      <c r="G47" s="24"/>
      <c r="H47" s="160"/>
      <c r="I47" s="164"/>
      <c r="J47" s="160"/>
      <c r="K47" s="21"/>
      <c r="L47" s="1"/>
      <c r="M47" s="3"/>
      <c r="S47" s="124"/>
      <c r="T47" s="124"/>
      <c r="U47" s="124"/>
      <c r="V47" s="124"/>
      <c r="W47" s="124"/>
      <c r="X47" s="124"/>
      <c r="Y47" s="3" t="s">
        <v>124</v>
      </c>
      <c r="Z47" s="131"/>
      <c r="AB47" s="131" t="s">
        <v>97</v>
      </c>
      <c r="AC47" s="131"/>
      <c r="AD47" s="138"/>
      <c r="AE47" s="27" t="s">
        <v>125</v>
      </c>
      <c r="AF47" s="131"/>
      <c r="AG47" s="124"/>
      <c r="AH47" s="124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X47" s="12"/>
      <c r="BB47" s="79" t="s">
        <v>50</v>
      </c>
      <c r="BC47" s="3"/>
      <c r="BD47" s="24"/>
      <c r="BE47" s="21"/>
      <c r="BF47" s="24"/>
      <c r="BG47" s="24"/>
      <c r="BH47" s="160"/>
      <c r="BI47" s="164"/>
      <c r="BJ47" s="173"/>
      <c r="BK47" s="21"/>
      <c r="BL47" s="1"/>
      <c r="BM47" s="3"/>
      <c r="BS47" s="131"/>
      <c r="BT47" s="131"/>
      <c r="BU47" s="131"/>
      <c r="BV47" s="131"/>
      <c r="BW47" s="131"/>
      <c r="BX47" s="131"/>
      <c r="BY47" s="132"/>
      <c r="BZ47" s="131"/>
      <c r="CA47" s="131"/>
      <c r="CB47" s="131"/>
      <c r="CC47" s="131"/>
      <c r="CD47" s="131"/>
      <c r="CE47" s="138"/>
      <c r="CF47" s="139"/>
      <c r="CG47" s="131"/>
      <c r="CH47" s="131"/>
      <c r="CI47" s="123"/>
      <c r="CJ47" s="123"/>
      <c r="CK47" s="123"/>
      <c r="CL47" s="123"/>
      <c r="CM47" s="123"/>
      <c r="CN47" s="123"/>
      <c r="CO47" s="131"/>
      <c r="CP47" s="123"/>
      <c r="CQ47" s="123"/>
      <c r="CR47" s="123"/>
      <c r="CS47" s="123"/>
      <c r="CT47" s="123"/>
      <c r="CU47" s="123"/>
      <c r="CV47" s="123"/>
      <c r="CW47" s="123"/>
      <c r="CX47" s="12"/>
      <c r="CZ47" s="123"/>
      <c r="DA47" s="171" t="s">
        <v>161</v>
      </c>
      <c r="DB47" s="166">
        <f>DB51*(DB50+2*DB48)</f>
        <v>22</v>
      </c>
    </row>
    <row r="48" spans="1:106" ht="12.75">
      <c r="A48" s="2">
        <v>37</v>
      </c>
      <c r="B48" s="7">
        <f>'em16zufall'!B48</f>
        <v>42546.625</v>
      </c>
      <c r="C48" s="7" t="str">
        <f>'em16zufall'!C48</f>
        <v>St.Étienne</v>
      </c>
      <c r="D48" s="43" t="str">
        <f>M8</f>
        <v>Albanien</v>
      </c>
      <c r="E48" s="22" t="s">
        <v>21</v>
      </c>
      <c r="F48" s="72" t="str">
        <f>M28</f>
        <v>Nordirland</v>
      </c>
      <c r="G48" s="24"/>
      <c r="H48" s="136">
        <f aca="true" ca="1" t="shared" si="15" ref="H48:H55">IF($B$64="",1,IF(OR(J48&lt;1,INT(RAND()*10&lt;6)),J48+1,J48-1))</f>
        <v>3</v>
      </c>
      <c r="I48" s="160" t="s">
        <v>22</v>
      </c>
      <c r="J48" s="136">
        <f aca="true" ca="1" t="shared" si="16" ref="J48:J55">IF($B$64="",0,INT(RAND()*5)+INT(RAND()*3)*INT(RAND()*2))</f>
        <v>2</v>
      </c>
      <c r="K48" s="1" t="s">
        <v>23</v>
      </c>
      <c r="L48" s="1"/>
      <c r="M48" s="103" t="str">
        <f aca="true" t="shared" si="17" ref="M48:M55">IF(J48="","",IF(J48=H48,"falsch!!! K.Remis",IF(H48&gt;J48,D48,F48)))</f>
        <v>Albanien</v>
      </c>
      <c r="N48" s="2" t="str">
        <f>N8</f>
        <v>2A</v>
      </c>
      <c r="O48" s="2" t="str">
        <f>N28</f>
        <v>2C</v>
      </c>
      <c r="P48" s="2" t="s">
        <v>42</v>
      </c>
      <c r="V48" s="131"/>
      <c r="W48" s="131"/>
      <c r="Y48" s="1"/>
      <c r="Z48" s="131"/>
      <c r="AB48" s="131"/>
      <c r="AC48" s="116"/>
      <c r="AD48" s="116"/>
      <c r="AE48" s="134"/>
      <c r="AF48" s="116"/>
      <c r="AG48" s="131"/>
      <c r="AH48" s="131"/>
      <c r="AX48" s="24">
        <f>IF(OR($CX$62="",MOD(SUM($H$3:$J$59)+SUM($BH$3:$BJ$61),5)=0),IF(D48='em16zufall'!D48,1,0)+IF(F48='em16zufall'!F48,1,0),0)+IF(OR(AND(H48&gt;J48,'em16zufall'!H48&gt;'em16zufall'!J48),AND(H48&lt;J48,'em16zufall'!H48&lt;'em16zufall'!J48),AND(H48=J48,'em16zufall'!H48='em16zufall'!J48)),3,0)+IF(H48='em16zufall'!H48,1,0)+IF(J48='em16zufall'!J48,1,0)</f>
        <v>3</v>
      </c>
      <c r="AY48" s="24" t="str">
        <f>IF('em16zufall'!K48='em16zufall'!$B$63,'em16zufall'!K48,"")</f>
        <v>ok</v>
      </c>
      <c r="BA48" s="2">
        <f>A55+1</f>
        <v>45</v>
      </c>
      <c r="BB48" s="7">
        <f>'em16zufall'!BB48</f>
        <v>42551.875</v>
      </c>
      <c r="BC48" s="7" t="str">
        <f>'em16zufall'!BC48</f>
        <v>Marseille</v>
      </c>
      <c r="BD48" s="104" t="str">
        <f>M48</f>
        <v>Albanien</v>
      </c>
      <c r="BE48" s="22" t="s">
        <v>21</v>
      </c>
      <c r="BF48" s="104" t="str">
        <f>M49</f>
        <v>Österreich</v>
      </c>
      <c r="BG48" s="24"/>
      <c r="BH48" s="136">
        <f ca="1">IF($B$64="",1,IF(OR(BJ48&lt;1,INT(RAND()*10&lt;6)),BJ48+1,BJ48-1))</f>
        <v>3</v>
      </c>
      <c r="BI48" s="160" t="s">
        <v>22</v>
      </c>
      <c r="BJ48" s="137">
        <f ca="1">IF($B$64="",0,INT(RAND()*5)+INT(RAND()*3)*INT(RAND()*2))</f>
        <v>2</v>
      </c>
      <c r="BK48" s="1" t="s">
        <v>23</v>
      </c>
      <c r="BL48" s="1"/>
      <c r="BM48" s="105" t="str">
        <f>IF(BJ48="","",IF(BJ48=BH48,"falsch!!! K.Remis",IF(BH48&gt;BJ48,BD48,BF48)))</f>
        <v>Albanien</v>
      </c>
      <c r="BN48" s="2" t="str">
        <f>P48</f>
        <v>AF1</v>
      </c>
      <c r="BO48" s="2" t="str">
        <f>P49</f>
        <v>AF2</v>
      </c>
      <c r="BP48" s="2" t="s">
        <v>52</v>
      </c>
      <c r="BS48" s="131"/>
      <c r="BT48" s="131"/>
      <c r="BU48" s="131"/>
      <c r="BV48" s="131"/>
      <c r="BW48" s="131"/>
      <c r="BX48" s="131"/>
      <c r="BY48" s="132"/>
      <c r="BZ48" s="131"/>
      <c r="CA48" s="131"/>
      <c r="CB48" s="131"/>
      <c r="CC48" s="131"/>
      <c r="CD48" s="131"/>
      <c r="CE48" s="138"/>
      <c r="CF48" s="139"/>
      <c r="CG48" s="131"/>
      <c r="CH48" s="131"/>
      <c r="CI48" s="123"/>
      <c r="CJ48" s="123"/>
      <c r="CK48" s="123"/>
      <c r="CL48" s="123"/>
      <c r="CM48" s="123"/>
      <c r="CN48" s="123"/>
      <c r="CO48" s="131"/>
      <c r="CP48" s="123"/>
      <c r="CQ48" s="123"/>
      <c r="CR48" s="123"/>
      <c r="CS48" s="123"/>
      <c r="CT48" s="123"/>
      <c r="CU48" s="123"/>
      <c r="CV48" s="123"/>
      <c r="CW48" s="123"/>
      <c r="CX48" s="24">
        <f>IF(OR($CX$62="",MOD(SUM($H$3:$J$59)+SUM($BH$3:$BJ$61),5)=0),IF(BD48='em16zufall'!BD48,1,0)+IF(BF48='em16zufall'!BF48,1,0)+IF(BD48="",0,COUNTIF('em16zufall'!$BD$48:'em16zufall'!$BF$51,BD48))+IF(BF48="",0,COUNTIF('em16zufall'!$BD$48:'em16zufall'!$BF$51,BF48))+IF(OR(AND(BH48&gt;BJ48,'em16zufall'!BH48&gt;'em16zufall'!BJ48),AND(BH48&lt;BJ48,'em16zufall'!BH48&lt;'em16zufall'!BJ48),AND(BH48=BJ48,'em16zufall'!BH48='em16zufall'!BJ48)),4,0)+IF(BH48='em16zufall'!BH48,1,0)+IF(BJ48='em16zufall'!BJ48,1,0),0)</f>
        <v>0</v>
      </c>
      <c r="CY48" s="24" t="str">
        <f>IF('em16zufall'!BK48='em16zufall'!$B$63,'em16zufall'!BK48,"")</f>
        <v>ok</v>
      </c>
      <c r="CZ48" s="123"/>
      <c r="DA48" s="167" t="s">
        <v>162</v>
      </c>
      <c r="DB48" s="162">
        <v>3</v>
      </c>
    </row>
    <row r="49" spans="1:106" ht="12.75">
      <c r="A49" s="2">
        <f>A48+1</f>
        <v>38</v>
      </c>
      <c r="B49" s="7">
        <f>'em16zufall'!B49</f>
        <v>42546.875</v>
      </c>
      <c r="C49" s="7" t="str">
        <f>'em16zufall'!C49</f>
        <v>Lens</v>
      </c>
      <c r="D49" s="155" t="str">
        <f>BM7</f>
        <v>Kroatien</v>
      </c>
      <c r="E49" s="22" t="s">
        <v>21</v>
      </c>
      <c r="F49" s="68" t="str">
        <f>VLOOKUP(O49,$B$35:$C$38,2,TRUE)</f>
        <v>Österreich</v>
      </c>
      <c r="G49" s="24"/>
      <c r="H49" s="137">
        <f ca="1" t="shared" si="15"/>
        <v>0</v>
      </c>
      <c r="I49" s="160" t="s">
        <v>22</v>
      </c>
      <c r="J49" s="137">
        <f ca="1" t="shared" si="16"/>
        <v>1</v>
      </c>
      <c r="K49" s="1" t="s">
        <v>23</v>
      </c>
      <c r="L49" s="1"/>
      <c r="M49" s="103" t="str">
        <f t="shared" si="17"/>
        <v>Österreich</v>
      </c>
      <c r="N49" s="2" t="str">
        <f>BN7</f>
        <v>1D</v>
      </c>
      <c r="O49" s="2" t="str">
        <f>IF(AE49="",CONCATENATE("3",AB49),CONCATENATE("3",AE49))</f>
        <v>3F</v>
      </c>
      <c r="P49" s="2" t="s">
        <v>43</v>
      </c>
      <c r="V49" s="131"/>
      <c r="W49" s="131"/>
      <c r="Y49" s="3" t="s">
        <v>80</v>
      </c>
      <c r="Z49" s="131"/>
      <c r="AA49" s="131" t="s">
        <v>126</v>
      </c>
      <c r="AB49" s="148" t="str">
        <f>IF(COUNTIF($CL$33:$CL$41,C$31)&gt;0,$CL$32,IF(COUNTIF($CM$33:$CM$41,C$31)&gt;0,$CM$32,IF(COUNTIF($CN$33:$CN$41,C$31)&gt;0,$CN$32,CONCATENATE("??? ",C$31))))</f>
        <v>F</v>
      </c>
      <c r="AC49" s="116"/>
      <c r="AD49" s="116"/>
      <c r="AE49" s="134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X49" s="24">
        <f>IF(OR($CX$62="",MOD(SUM($H$3:$J$59)+SUM($BH$3:$BJ$61),5)=0),IF(D49='em16zufall'!D49,1,0)+IF(F49='em16zufall'!F49,1,0),0)+IF(OR(AND(H49&gt;J49,'em16zufall'!H49&gt;'em16zufall'!J49),AND(H49&lt;J49,'em16zufall'!H49&lt;'em16zufall'!J49),AND(H49=J49,'em16zufall'!H49='em16zufall'!J49)),3,0)+IF(H49='em16zufall'!H49,1,0)+IF(J49='em16zufall'!J49,1,0)</f>
        <v>0</v>
      </c>
      <c r="AY49" s="24" t="str">
        <f>IF('em16zufall'!K49='em16zufall'!$B$63,'em16zufall'!K49,"")</f>
        <v>ok</v>
      </c>
      <c r="BA49" s="2">
        <f>BA48+1</f>
        <v>46</v>
      </c>
      <c r="BB49" s="7">
        <f>'em16zufall'!BB49</f>
        <v>42552.875</v>
      </c>
      <c r="BC49" s="7" t="str">
        <f>'em16zufall'!BC49</f>
        <v>Lille</v>
      </c>
      <c r="BD49" s="81" t="str">
        <f>M50</f>
        <v>England</v>
      </c>
      <c r="BE49" s="80" t="s">
        <v>21</v>
      </c>
      <c r="BF49" s="81" t="str">
        <f>M51</f>
        <v>Portugal</v>
      </c>
      <c r="BG49" s="24"/>
      <c r="BH49" s="136">
        <f ca="1">IF($B$64="",1,IF(OR(BJ49&lt;1,INT(RAND()*10&lt;6)),BJ49+1,BJ49-1))</f>
        <v>3</v>
      </c>
      <c r="BI49" s="160" t="s">
        <v>22</v>
      </c>
      <c r="BJ49" s="136">
        <f ca="1">IF($B$64="",0,INT(RAND()*5)+INT(RAND()*3)*INT(RAND()*2))</f>
        <v>4</v>
      </c>
      <c r="BK49" s="1" t="s">
        <v>23</v>
      </c>
      <c r="BL49" s="1"/>
      <c r="BM49" s="82" t="str">
        <f>IF(BJ49="","",IF(BJ49=BH49,"falsch!!! K.Remis",IF(BH49&gt;BJ49,BD49,BF49)))</f>
        <v>Portugal</v>
      </c>
      <c r="BN49" s="2" t="str">
        <f>P50</f>
        <v>AF3</v>
      </c>
      <c r="BO49" s="2" t="str">
        <f>P51</f>
        <v>AF4</v>
      </c>
      <c r="BP49" s="2" t="s">
        <v>54</v>
      </c>
      <c r="BS49" s="131"/>
      <c r="BT49" s="131"/>
      <c r="BU49" s="131"/>
      <c r="BV49" s="131"/>
      <c r="BW49" s="131"/>
      <c r="BX49" s="131"/>
      <c r="BY49" s="132"/>
      <c r="BZ49" s="131"/>
      <c r="CA49" s="131"/>
      <c r="CB49" s="131"/>
      <c r="CC49" s="131"/>
      <c r="CD49" s="131"/>
      <c r="CE49" s="138"/>
      <c r="CF49" s="139"/>
      <c r="CG49" s="131"/>
      <c r="CH49" s="131"/>
      <c r="CI49" s="123"/>
      <c r="CJ49" s="123"/>
      <c r="CK49" s="123"/>
      <c r="CL49" s="123"/>
      <c r="CM49" s="123"/>
      <c r="CN49" s="123"/>
      <c r="CO49" s="131"/>
      <c r="CP49" s="123"/>
      <c r="CQ49" s="123"/>
      <c r="CR49" s="123"/>
      <c r="CS49" s="123"/>
      <c r="CT49" s="123"/>
      <c r="CU49" s="123"/>
      <c r="CV49" s="123"/>
      <c r="CW49" s="123"/>
      <c r="CX49" s="24">
        <f>IF(OR($CX$62="",MOD(SUM($H$3:$J$59)+SUM($BH$3:$BJ$61),5)=0),IF(BD49='em16zufall'!BD49,1,0)+IF(BF49='em16zufall'!BF49,1,0)+IF(BD49="",0,COUNTIF('em16zufall'!$BD$48:'em16zufall'!$BF$51,BD49))+IF(BF49="",0,COUNTIF('em16zufall'!$BD$48:'em16zufall'!$BF$51,BF49))+IF(OR(AND(BH49&gt;BJ49,'em16zufall'!BH49&gt;'em16zufall'!BJ49),AND(BH49&lt;BJ49,'em16zufall'!BH49&lt;'em16zufall'!BJ49),AND(BH49=BJ49,'em16zufall'!BH49='em16zufall'!BJ49)),4,0)+IF(BH49='em16zufall'!BH49,1,0)+IF(BJ49='em16zufall'!BJ49,1,0),0)</f>
        <v>0</v>
      </c>
      <c r="CY49" s="24" t="str">
        <f>IF('em16zufall'!BK49='em16zufall'!$B$63,'em16zufall'!BK49,"")</f>
        <v>ok</v>
      </c>
      <c r="CZ49" s="123"/>
      <c r="DA49" s="172" t="s">
        <v>163</v>
      </c>
      <c r="DB49" s="162">
        <v>2</v>
      </c>
    </row>
    <row r="50" spans="1:106" ht="12.75">
      <c r="A50" s="2">
        <f aca="true" t="shared" si="18" ref="A50:A55">A49+1</f>
        <v>39</v>
      </c>
      <c r="B50" s="7">
        <f>'em16zufall'!B50</f>
        <v>42546.75</v>
      </c>
      <c r="C50" s="7" t="str">
        <f>'em16zufall'!C50</f>
        <v>Paris</v>
      </c>
      <c r="D50" s="71" t="str">
        <f>M17</f>
        <v>England</v>
      </c>
      <c r="E50" s="22" t="s">
        <v>21</v>
      </c>
      <c r="F50" s="68" t="str">
        <f>VLOOKUP(O50,$B$35:$C$38,2,TRUE)</f>
        <v>Schweiz</v>
      </c>
      <c r="G50" s="24"/>
      <c r="H50" s="137">
        <f ca="1" t="shared" si="15"/>
        <v>4</v>
      </c>
      <c r="I50" s="160" t="s">
        <v>22</v>
      </c>
      <c r="J50" s="137">
        <f ca="1" t="shared" si="16"/>
        <v>3</v>
      </c>
      <c r="K50" s="1" t="s">
        <v>23</v>
      </c>
      <c r="L50" s="1"/>
      <c r="M50" s="83" t="str">
        <f t="shared" si="17"/>
        <v>England</v>
      </c>
      <c r="N50" s="2" t="str">
        <f>N17</f>
        <v>1B</v>
      </c>
      <c r="O50" s="2" t="str">
        <f>IF(AE50="",CONCATENATE("3",AB50),CONCATENATE("3",AE50))</f>
        <v>3A</v>
      </c>
      <c r="P50" s="2" t="s">
        <v>44</v>
      </c>
      <c r="V50" s="131"/>
      <c r="W50" s="131"/>
      <c r="Y50" s="3" t="s">
        <v>78</v>
      </c>
      <c r="Z50" s="131"/>
      <c r="AA50" s="131" t="s">
        <v>126</v>
      </c>
      <c r="AB50" s="148" t="str">
        <f>IF(COUNTIF($CF$33:$CF$41,C$31)&gt;0,$CF$32,IF(COUNTIF($CG$33:$CG$41,C$31)&gt;0,$CG$32,IF(COUNTIF($CH$33:$CH$41,C$31)&gt;0,$CH$32,CONCATENATE("??? ",C$31))))</f>
        <v>A</v>
      </c>
      <c r="AC50" s="116"/>
      <c r="AD50" s="116"/>
      <c r="AE50" s="134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X50" s="24">
        <f>IF(OR($CX$62="",MOD(SUM($H$3:$J$59)+SUM($BH$3:$BJ$61),5)=0),IF(D50='em16zufall'!D50,1,0)+IF(F50='em16zufall'!F50,1,0),0)+IF(OR(AND(H50&gt;J50,'em16zufall'!H50&gt;'em16zufall'!J50),AND(H50&lt;J50,'em16zufall'!H50&lt;'em16zufall'!J50),AND(H50=J50,'em16zufall'!H50='em16zufall'!J50)),3,0)+IF(H50='em16zufall'!H50,1,0)+IF(J50='em16zufall'!J50,1,0)</f>
        <v>3</v>
      </c>
      <c r="AY50" s="24" t="str">
        <f>IF('em16zufall'!K50='em16zufall'!$B$63,'em16zufall'!K50,"")</f>
        <v>ok</v>
      </c>
      <c r="BA50" s="2">
        <f>BA49+1</f>
        <v>47</v>
      </c>
      <c r="BB50" s="7">
        <f>'em16zufall'!BB50</f>
        <v>42553.875</v>
      </c>
      <c r="BC50" s="7" t="str">
        <f>'em16zufall'!BC50</f>
        <v>Bordeaux</v>
      </c>
      <c r="BD50" s="84" t="str">
        <f>M52</f>
        <v>Irland</v>
      </c>
      <c r="BE50" s="80" t="s">
        <v>21</v>
      </c>
      <c r="BF50" s="84" t="str">
        <f>M53</f>
        <v>Polen</v>
      </c>
      <c r="BG50" s="24"/>
      <c r="BH50" s="136">
        <f ca="1">IF($B$64="",1,IF(OR(BJ50&lt;1,INT(RAND()*10&lt;6)),BJ50+1,BJ50-1))</f>
        <v>2</v>
      </c>
      <c r="BI50" s="160" t="s">
        <v>22</v>
      </c>
      <c r="BJ50" s="137">
        <f ca="1">IF($B$64="",0,INT(RAND()*5)+INT(RAND()*3)*INT(RAND()*2))</f>
        <v>1</v>
      </c>
      <c r="BK50" s="1" t="s">
        <v>23</v>
      </c>
      <c r="BL50" s="1"/>
      <c r="BM50" s="85" t="str">
        <f>IF(BJ50="","",IF(BJ50=BH50,"falsch!!! K.Remis",IF(BH50&gt;BJ50,BD50,BF50)))</f>
        <v>Irland</v>
      </c>
      <c r="BN50" s="2" t="str">
        <f>P52</f>
        <v>AF5</v>
      </c>
      <c r="BO50" s="2" t="str">
        <f>P53</f>
        <v>AF6</v>
      </c>
      <c r="BP50" s="2" t="s">
        <v>51</v>
      </c>
      <c r="BS50" s="131"/>
      <c r="BT50" s="131"/>
      <c r="BU50" s="131"/>
      <c r="BV50" s="131"/>
      <c r="BW50" s="131"/>
      <c r="BX50" s="131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23"/>
      <c r="CQ50" s="123"/>
      <c r="CR50" s="123"/>
      <c r="CS50" s="123"/>
      <c r="CT50" s="123"/>
      <c r="CU50" s="123"/>
      <c r="CV50" s="123"/>
      <c r="CW50" s="123"/>
      <c r="CX50" s="24">
        <f>IF(OR($CX$62="",MOD(SUM($H$3:$J$59)+SUM($BH$3:$BJ$61),5)=0),IF(BD50='em16zufall'!BD50,1,0)+IF(BF50='em16zufall'!BF50,1,0)+IF(BD50="",0,COUNTIF('em16zufall'!$BD$48:'em16zufall'!$BF$51,BD50))+IF(BF50="",0,COUNTIF('em16zufall'!$BD$48:'em16zufall'!$BF$51,BF50))+IF(OR(AND(BH50&gt;BJ50,'em16zufall'!BH50&gt;'em16zufall'!BJ50),AND(BH50&lt;BJ50,'em16zufall'!BH50&lt;'em16zufall'!BJ50),AND(BH50=BJ50,'em16zufall'!BH50='em16zufall'!BJ50)),4,0)+IF(BH50='em16zufall'!BH50,1,0)+IF(BJ50='em16zufall'!BJ50,1,0),0)</f>
        <v>0</v>
      </c>
      <c r="CY50" s="24" t="str">
        <f>IF('em16zufall'!BK50='em16zufall'!$B$63,'em16zufall'!BK50,"")</f>
        <v>ok</v>
      </c>
      <c r="CZ50" s="123"/>
      <c r="DA50" s="172" t="s">
        <v>157</v>
      </c>
      <c r="DB50" s="162">
        <v>5</v>
      </c>
    </row>
    <row r="51" spans="1:106" ht="12.75">
      <c r="A51" s="2">
        <f t="shared" si="18"/>
        <v>40</v>
      </c>
      <c r="B51" s="7">
        <f>'em16zufall'!B51</f>
        <v>42547.875</v>
      </c>
      <c r="C51" s="7" t="str">
        <f>'em16zufall'!C51</f>
        <v>Toulouse</v>
      </c>
      <c r="D51" s="75" t="str">
        <f>BM27</f>
        <v>Portugal</v>
      </c>
      <c r="E51" s="22" t="s">
        <v>21</v>
      </c>
      <c r="F51" s="74" t="str">
        <f>BM18</f>
        <v>Italien</v>
      </c>
      <c r="G51" s="24"/>
      <c r="H51" s="137">
        <f ca="1" t="shared" si="15"/>
        <v>5</v>
      </c>
      <c r="I51" s="160" t="s">
        <v>22</v>
      </c>
      <c r="J51" s="136">
        <f ca="1" t="shared" si="16"/>
        <v>4</v>
      </c>
      <c r="K51" s="1" t="s">
        <v>23</v>
      </c>
      <c r="L51" s="1"/>
      <c r="M51" s="83" t="str">
        <f t="shared" si="17"/>
        <v>Portugal</v>
      </c>
      <c r="N51" s="2" t="str">
        <f>BN27</f>
        <v>1F</v>
      </c>
      <c r="O51" s="2" t="str">
        <f>BN18</f>
        <v>2E</v>
      </c>
      <c r="P51" s="2" t="s">
        <v>45</v>
      </c>
      <c r="V51" s="131"/>
      <c r="W51" s="131"/>
      <c r="Y51" s="3"/>
      <c r="Z51" s="131"/>
      <c r="AA51" s="131"/>
      <c r="AB51" s="124"/>
      <c r="AC51" s="116"/>
      <c r="AD51" s="116"/>
      <c r="AE51" s="134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X51" s="24">
        <f>IF(OR($CX$62="",MOD(SUM($H$3:$J$59)+SUM($BH$3:$BJ$61),5)=0),IF(D51='em16zufall'!D51,1,0)+IF(F51='em16zufall'!F51,1,0),0)+IF(OR(AND(H51&gt;J51,'em16zufall'!H51&gt;'em16zufall'!J51),AND(H51&lt;J51,'em16zufall'!H51&lt;'em16zufall'!J51),AND(H51=J51,'em16zufall'!H51='em16zufall'!J51)),3,0)+IF(H51='em16zufall'!H51,1,0)+IF(J51='em16zufall'!J51,1,0)</f>
        <v>3</v>
      </c>
      <c r="AY51" s="24" t="str">
        <f>IF('em16zufall'!K51='em16zufall'!$B$63,'em16zufall'!K51,"")</f>
        <v>ok</v>
      </c>
      <c r="BA51" s="2">
        <f>BA50+1</f>
        <v>48</v>
      </c>
      <c r="BB51" s="7">
        <f>'em16zufall'!BB51</f>
        <v>42554.875</v>
      </c>
      <c r="BC51" s="7" t="str">
        <f>'em16zufall'!BC51</f>
        <v>Paris St.Denis</v>
      </c>
      <c r="BD51" s="86" t="str">
        <f>M54</f>
        <v>Island</v>
      </c>
      <c r="BE51" s="22" t="s">
        <v>21</v>
      </c>
      <c r="BF51" s="86" t="str">
        <f>M55</f>
        <v>Spanien</v>
      </c>
      <c r="BG51" s="24"/>
      <c r="BH51" s="136">
        <f ca="1">IF($B$64="",1,IF(OR(BJ51&lt;1,INT(RAND()*10&lt;6)),BJ51+1,BJ51-1))</f>
        <v>4</v>
      </c>
      <c r="BI51" s="160" t="s">
        <v>22</v>
      </c>
      <c r="BJ51" s="137">
        <f ca="1">IF($B$64="",0,INT(RAND()*5)+INT(RAND()*3)*INT(RAND()*2))</f>
        <v>3</v>
      </c>
      <c r="BK51" s="1" t="s">
        <v>23</v>
      </c>
      <c r="BL51" s="1"/>
      <c r="BM51" s="87" t="str">
        <f>IF(BJ51="","",IF(BJ51=BH51,"falsch!!! K.Remis",IF(BH51&gt;BJ51,BD51,BF51)))</f>
        <v>Island</v>
      </c>
      <c r="BN51" s="2" t="str">
        <f>P54</f>
        <v>AF7</v>
      </c>
      <c r="BO51" s="2" t="str">
        <f>P55</f>
        <v>AF8</v>
      </c>
      <c r="BP51" s="2" t="s">
        <v>53</v>
      </c>
      <c r="BS51" s="131"/>
      <c r="BT51" s="131"/>
      <c r="BU51" s="131"/>
      <c r="BV51" s="131"/>
      <c r="BW51" s="131"/>
      <c r="BX51" s="131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23"/>
      <c r="CQ51" s="123"/>
      <c r="CR51" s="123"/>
      <c r="CS51" s="123"/>
      <c r="CT51" s="123"/>
      <c r="CU51" s="123"/>
      <c r="CV51" s="123"/>
      <c r="CW51" s="123"/>
      <c r="CX51" s="24">
        <f>IF(OR($CX$62="",MOD(SUM($H$3:$J$59)+SUM($BH$3:$BJ$61),5)=0),IF(BD51='em16zufall'!BD51,1,0)+IF(BF51='em16zufall'!BF51,1,0)+IF(BD51="",0,COUNTIF('em16zufall'!$BD$48:'em16zufall'!$BF$51,BD51))+IF(BF51="",0,COUNTIF('em16zufall'!$BD$48:'em16zufall'!$BF$51,BF51))+IF(OR(AND(BH51&gt;BJ51,'em16zufall'!BH51&gt;'em16zufall'!BJ51),AND(BH51&lt;BJ51,'em16zufall'!BH51&lt;'em16zufall'!BJ51),AND(BH51=BJ51,'em16zufall'!BH51='em16zufall'!BJ51)),4,0)+IF(BH51='em16zufall'!BH51,1,0)+IF(BJ51='em16zufall'!BJ51,1,0),0)</f>
        <v>0</v>
      </c>
      <c r="CY51" s="24" t="str">
        <f>IF('em16zufall'!BK51='em16zufall'!$B$63,'em16zufall'!BK51,"")</f>
        <v>ok</v>
      </c>
      <c r="CZ51" s="123"/>
      <c r="DA51" s="170" t="s">
        <v>151</v>
      </c>
      <c r="DB51" s="169">
        <v>2</v>
      </c>
    </row>
    <row r="52" spans="1:106" ht="12.75">
      <c r="A52" s="2">
        <f t="shared" si="18"/>
        <v>41</v>
      </c>
      <c r="B52" s="7">
        <f>'em16zufall'!B52</f>
        <v>42548.75</v>
      </c>
      <c r="C52" s="7" t="str">
        <f>'em16zufall'!C52</f>
        <v>Paris St.Denis</v>
      </c>
      <c r="D52" s="74" t="str">
        <f>BM17</f>
        <v>Irland</v>
      </c>
      <c r="E52" s="22" t="s">
        <v>21</v>
      </c>
      <c r="F52" s="155" t="str">
        <f>BM8</f>
        <v>Tschechien</v>
      </c>
      <c r="G52" s="24"/>
      <c r="H52" s="137">
        <f ca="1" t="shared" si="15"/>
        <v>1</v>
      </c>
      <c r="I52" s="160" t="s">
        <v>22</v>
      </c>
      <c r="J52" s="137">
        <f ca="1" t="shared" si="16"/>
        <v>0</v>
      </c>
      <c r="K52" s="1" t="s">
        <v>23</v>
      </c>
      <c r="L52" s="1"/>
      <c r="M52" s="88" t="str">
        <f t="shared" si="17"/>
        <v>Irland</v>
      </c>
      <c r="N52" s="2" t="str">
        <f>BN17</f>
        <v>1E</v>
      </c>
      <c r="O52" s="2" t="str">
        <f>BN8</f>
        <v>2D</v>
      </c>
      <c r="P52" s="2" t="s">
        <v>46</v>
      </c>
      <c r="V52" s="131"/>
      <c r="W52" s="131"/>
      <c r="Y52" s="3"/>
      <c r="Z52" s="131"/>
      <c r="AA52" s="131"/>
      <c r="AB52" s="124"/>
      <c r="AC52" s="116"/>
      <c r="AD52" s="116"/>
      <c r="AE52" s="134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X52" s="24">
        <f>IF(OR($CX$62="",MOD(SUM($H$3:$J$59)+SUM($BH$3:$BJ$61),5)=0),IF(D52='em16zufall'!D52,1,0)+IF(F52='em16zufall'!F52,1,0),0)+IF(OR(AND(H52&gt;J52,'em16zufall'!H52&gt;'em16zufall'!J52),AND(H52&lt;J52,'em16zufall'!H52&lt;'em16zufall'!J52),AND(H52=J52,'em16zufall'!H52='em16zufall'!J52)),3,0)+IF(H52='em16zufall'!H52,1,0)+IF(J52='em16zufall'!J52,1,0)</f>
        <v>5</v>
      </c>
      <c r="AY52" s="24" t="str">
        <f>IF('em16zufall'!K52='em16zufall'!$B$63,'em16zufall'!K52,"")</f>
        <v>ok</v>
      </c>
      <c r="BS52" s="131"/>
      <c r="BT52" s="131"/>
      <c r="BU52" s="131"/>
      <c r="BV52" s="131"/>
      <c r="BW52" s="131"/>
      <c r="BX52" s="131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23"/>
      <c r="CQ52" s="123"/>
      <c r="CR52" s="123"/>
      <c r="CS52" s="123"/>
      <c r="CT52" s="123"/>
      <c r="CU52" s="123"/>
      <c r="CV52" s="123"/>
      <c r="CW52" s="123"/>
      <c r="CY52" s="24"/>
      <c r="CZ52" s="123"/>
      <c r="DA52" s="161"/>
      <c r="DB52" s="162"/>
    </row>
    <row r="53" spans="1:104" ht="12.75">
      <c r="A53" s="2">
        <f t="shared" si="18"/>
        <v>42</v>
      </c>
      <c r="B53" s="7">
        <f>'em16zufall'!B53</f>
        <v>42547.75</v>
      </c>
      <c r="C53" s="7" t="str">
        <f>'em16zufall'!C53</f>
        <v>Lille</v>
      </c>
      <c r="D53" s="72" t="str">
        <f>M27</f>
        <v>Polen</v>
      </c>
      <c r="E53" s="22" t="s">
        <v>21</v>
      </c>
      <c r="F53" s="68" t="str">
        <f>VLOOKUP(O53,$B$35:$C$38,2,TRUE)</f>
        <v>Slowakei</v>
      </c>
      <c r="G53" s="24"/>
      <c r="H53" s="137">
        <f ca="1" t="shared" si="15"/>
        <v>3</v>
      </c>
      <c r="I53" s="160" t="s">
        <v>22</v>
      </c>
      <c r="J53" s="137">
        <f ca="1" t="shared" si="16"/>
        <v>2</v>
      </c>
      <c r="K53" s="1" t="s">
        <v>23</v>
      </c>
      <c r="L53" s="1"/>
      <c r="M53" s="88" t="str">
        <f t="shared" si="17"/>
        <v>Polen</v>
      </c>
      <c r="N53" s="2" t="str">
        <f>N27</f>
        <v>1C</v>
      </c>
      <c r="O53" s="2" t="str">
        <f>IF(AE53="",CONCATENATE("3",AB53),CONCATENATE("3",AE53))</f>
        <v>3B</v>
      </c>
      <c r="P53" s="2" t="s">
        <v>47</v>
      </c>
      <c r="V53" s="131"/>
      <c r="W53" s="131"/>
      <c r="Y53" s="3" t="s">
        <v>81</v>
      </c>
      <c r="Z53" s="131"/>
      <c r="AA53" s="131" t="s">
        <v>126</v>
      </c>
      <c r="AB53" s="148" t="str">
        <f>IF(COUNTIF($CO$33:$CO$41,C$31)&gt;0,$CO$32,IF(COUNTIF($CP$33:$CP$41,C$31)&gt;0,$CP$32,IF(COUNTIF($CQ$33:$CQ$41,C$31)&gt;0,$CQ$32,CONCATENATE("??? ",C$31))))</f>
        <v>B</v>
      </c>
      <c r="AC53" s="116"/>
      <c r="AD53" s="116"/>
      <c r="AE53" s="134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X53" s="24">
        <f>IF(OR($CX$62="",MOD(SUM($H$3:$J$59)+SUM($BH$3:$BJ$61),5)=0),IF(D53='em16zufall'!D53,1,0)+IF(F53='em16zufall'!F53,1,0),0)+IF(OR(AND(H53&gt;J53,'em16zufall'!H53&gt;'em16zufall'!J53),AND(H53&lt;J53,'em16zufall'!H53&lt;'em16zufall'!J53),AND(H53=J53,'em16zufall'!H53='em16zufall'!J53)),3,0)+IF(H53='em16zufall'!H53,1,0)+IF(J53='em16zufall'!J53,1,0)</f>
        <v>3</v>
      </c>
      <c r="AY53" s="24" t="str">
        <f>IF('em16zufall'!K53='em16zufall'!$B$63,'em16zufall'!K53,"")</f>
        <v>ok</v>
      </c>
      <c r="BC53" s="30"/>
      <c r="BD53" s="24"/>
      <c r="BE53" s="21"/>
      <c r="BF53" s="24"/>
      <c r="BG53" s="24"/>
      <c r="BH53" s="160"/>
      <c r="BI53" s="124"/>
      <c r="BJ53" s="160"/>
      <c r="BK53" s="21"/>
      <c r="BL53" s="24"/>
      <c r="BM53" s="30"/>
      <c r="BS53" s="131"/>
      <c r="BT53" s="131"/>
      <c r="BU53" s="131"/>
      <c r="BV53" s="131"/>
      <c r="BW53" s="131"/>
      <c r="BX53" s="131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23"/>
      <c r="CQ53" s="123"/>
      <c r="CR53" s="123"/>
      <c r="CS53" s="123"/>
      <c r="CT53" s="123"/>
      <c r="CU53" s="123"/>
      <c r="CV53" s="123"/>
      <c r="CW53" s="123"/>
      <c r="CY53" s="24"/>
      <c r="CZ53" s="123"/>
    </row>
    <row r="54" spans="1:104" ht="12.75">
      <c r="A54" s="2">
        <f t="shared" si="18"/>
        <v>43</v>
      </c>
      <c r="B54" s="7">
        <f>'em16zufall'!B54</f>
        <v>42548.875</v>
      </c>
      <c r="C54" s="7" t="str">
        <f>'em16zufall'!C54</f>
        <v>Nizza</v>
      </c>
      <c r="D54" s="71" t="str">
        <f>M18</f>
        <v>Wales</v>
      </c>
      <c r="E54" s="22" t="s">
        <v>21</v>
      </c>
      <c r="F54" s="75" t="str">
        <f>BM28</f>
        <v>Island</v>
      </c>
      <c r="G54" s="24"/>
      <c r="H54" s="137">
        <f ca="1" t="shared" si="15"/>
        <v>0</v>
      </c>
      <c r="I54" s="160" t="s">
        <v>22</v>
      </c>
      <c r="J54" s="137">
        <f ca="1" t="shared" si="16"/>
        <v>1</v>
      </c>
      <c r="K54" s="1" t="s">
        <v>23</v>
      </c>
      <c r="L54" s="1"/>
      <c r="M54" s="90" t="str">
        <f t="shared" si="17"/>
        <v>Island</v>
      </c>
      <c r="N54" s="2" t="str">
        <f>N18</f>
        <v>2B</v>
      </c>
      <c r="O54" s="2" t="str">
        <f>BN28</f>
        <v>2F</v>
      </c>
      <c r="P54" s="2" t="s">
        <v>48</v>
      </c>
      <c r="V54" s="131"/>
      <c r="W54" s="131"/>
      <c r="Y54" s="3"/>
      <c r="Z54" s="131"/>
      <c r="AA54" s="131"/>
      <c r="AB54" s="124"/>
      <c r="AC54" s="116"/>
      <c r="AD54" s="116"/>
      <c r="AE54" s="134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X54" s="24">
        <f>IF(OR($CX$62="",MOD(SUM($H$3:$J$59)+SUM($BH$3:$BJ$61),5)=0),IF(D54='em16zufall'!D54,1,0)+IF(F54='em16zufall'!F54,1,0),0)+IF(OR(AND(H54&gt;J54,'em16zufall'!H54&gt;'em16zufall'!J54),AND(H54&lt;J54,'em16zufall'!H54&lt;'em16zufall'!J54),AND(H54=J54,'em16zufall'!H54='em16zufall'!J54)),3,0)+IF(H54='em16zufall'!H54,1,0)+IF(J54='em16zufall'!J54,1,0)</f>
        <v>0</v>
      </c>
      <c r="AY54" s="24" t="str">
        <f>IF('em16zufall'!K54='em16zufall'!$B$63,'em16zufall'!K54,"")</f>
        <v>ok</v>
      </c>
      <c r="BB54" s="89" t="s">
        <v>55</v>
      </c>
      <c r="BC54" s="3"/>
      <c r="BD54" s="24"/>
      <c r="BE54" s="21"/>
      <c r="BF54" s="24"/>
      <c r="BG54" s="24"/>
      <c r="BH54" s="160"/>
      <c r="BI54" s="164"/>
      <c r="BJ54" s="160"/>
      <c r="BK54" s="21"/>
      <c r="BL54" s="1"/>
      <c r="BM54" s="3"/>
      <c r="BS54" s="131"/>
      <c r="BT54" s="131"/>
      <c r="BU54" s="131"/>
      <c r="BV54" s="131"/>
      <c r="BW54" s="131"/>
      <c r="BX54" s="131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23"/>
      <c r="CQ54" s="123"/>
      <c r="CR54" s="123"/>
      <c r="CS54" s="123"/>
      <c r="CT54" s="123"/>
      <c r="CU54" s="123"/>
      <c r="CV54" s="123"/>
      <c r="CW54" s="123"/>
      <c r="CY54" s="24"/>
      <c r="CZ54" s="123"/>
    </row>
    <row r="55" spans="1:106" ht="12.75">
      <c r="A55" s="2">
        <f t="shared" si="18"/>
        <v>44</v>
      </c>
      <c r="B55" s="7">
        <f>'em16zufall'!B55</f>
        <v>42547.625</v>
      </c>
      <c r="C55" s="7" t="str">
        <f>'em16zufall'!C55</f>
        <v>Lyon</v>
      </c>
      <c r="D55" s="70" t="str">
        <f>M7</f>
        <v>Rumänien</v>
      </c>
      <c r="E55" s="22" t="s">
        <v>21</v>
      </c>
      <c r="F55" s="68" t="str">
        <f>VLOOKUP(O55,$B$35:$C$38,2,TRUE)</f>
        <v>Spanien</v>
      </c>
      <c r="G55" s="24"/>
      <c r="H55" s="137">
        <f ca="1" t="shared" si="15"/>
        <v>4</v>
      </c>
      <c r="I55" s="160" t="s">
        <v>22</v>
      </c>
      <c r="J55" s="137">
        <f ca="1" t="shared" si="16"/>
        <v>5</v>
      </c>
      <c r="K55" s="1" t="s">
        <v>23</v>
      </c>
      <c r="L55" s="1"/>
      <c r="M55" s="90" t="str">
        <f t="shared" si="17"/>
        <v>Spanien</v>
      </c>
      <c r="N55" s="2" t="str">
        <f>N7</f>
        <v>1A</v>
      </c>
      <c r="O55" s="2" t="str">
        <f>IF(AE55="",CONCATENATE("3",AB55),CONCATENATE("3",AE55))</f>
        <v>3D</v>
      </c>
      <c r="P55" s="2" t="s">
        <v>49</v>
      </c>
      <c r="V55" s="131"/>
      <c r="W55" s="131"/>
      <c r="Y55" s="3" t="s">
        <v>79</v>
      </c>
      <c r="Z55" s="131"/>
      <c r="AA55" s="131" t="s">
        <v>126</v>
      </c>
      <c r="AB55" s="148" t="str">
        <f>IF(COUNTIF($CI$33:$CI$41,C$31)&gt;0,$CI$32,IF(COUNTIF($CJ$33:$CJ$41,C$31)&gt;0,$CJ$32,IF(COUNTIF($CK$33:$CK$41,C$31)&gt;0,$CK$32,CONCATENATE("??? ",C$31))))</f>
        <v>D</v>
      </c>
      <c r="AC55" s="116"/>
      <c r="AD55" s="116"/>
      <c r="AE55" s="134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X55" s="24">
        <f>IF(OR($CX$62="",MOD(SUM($H$3:$J$59)+SUM($BH$3:$BJ$61),5)=0),IF(D55='em16zufall'!D55,1,0)+IF(F55='em16zufall'!F55,1,0),0)+IF(OR(AND(H55&gt;J55,'em16zufall'!H55&gt;'em16zufall'!J55),AND(H55&lt;J55,'em16zufall'!H55&lt;'em16zufall'!J55),AND(H55=J55,'em16zufall'!H55='em16zufall'!J55)),3,0)+IF(H55='em16zufall'!H55,1,0)+IF(J55='em16zufall'!J55,1,0)</f>
        <v>0</v>
      </c>
      <c r="AY55" s="24" t="str">
        <f>IF('em16zufall'!K55='em16zufall'!$B$63,'em16zufall'!K55,"")</f>
        <v>ok</v>
      </c>
      <c r="BA55" s="2">
        <f>BA51+1</f>
        <v>49</v>
      </c>
      <c r="BB55" s="7">
        <f>'em16zufall'!BB55</f>
        <v>42557.875</v>
      </c>
      <c r="BC55" s="7" t="str">
        <f>'em16zufall'!BC55</f>
        <v>Lyon</v>
      </c>
      <c r="BD55" s="106" t="str">
        <f>BM48</f>
        <v>Albanien</v>
      </c>
      <c r="BE55" s="30" t="s">
        <v>21</v>
      </c>
      <c r="BF55" s="26" t="str">
        <f>BM49</f>
        <v>Portugal</v>
      </c>
      <c r="BG55" s="24"/>
      <c r="BH55" s="136">
        <f ca="1">IF($B$64="",1,IF(OR(BJ55&lt;1,INT(RAND()*10&lt;6)),BJ55+1,BJ55-1))</f>
        <v>1</v>
      </c>
      <c r="BI55" s="160" t="s">
        <v>22</v>
      </c>
      <c r="BJ55" s="136">
        <f ca="1">IF($B$64="",0,INT(RAND()*5)+INT(RAND()*3)*INT(RAND()*2))</f>
        <v>0</v>
      </c>
      <c r="BK55" s="1" t="s">
        <v>23</v>
      </c>
      <c r="BL55" s="1"/>
      <c r="BM55" s="107" t="str">
        <f>IF(BJ55="","",IF(BJ55=BH55,"falsch!!! K.Remis",IF(BH55&gt;BJ55,BD55,BF55)))</f>
        <v>Albanien</v>
      </c>
      <c r="BN55" s="2" t="s">
        <v>52</v>
      </c>
      <c r="BO55" s="2" t="s">
        <v>54</v>
      </c>
      <c r="BP55" s="2" t="s">
        <v>56</v>
      </c>
      <c r="BS55" s="131"/>
      <c r="BT55" s="131"/>
      <c r="BU55" s="131"/>
      <c r="BV55" s="131"/>
      <c r="BW55" s="131"/>
      <c r="BX55" s="131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23"/>
      <c r="CQ55" s="123"/>
      <c r="CR55" s="123"/>
      <c r="CS55" s="123"/>
      <c r="CT55" s="123"/>
      <c r="CU55" s="123"/>
      <c r="CV55" s="123"/>
      <c r="CW55" s="123"/>
      <c r="CX55" s="24">
        <f>IF(OR($CX$62="",MOD(SUM($H$3:$J$59)+SUM($BH$3:$BJ$61),5)=0),IF(BD55='em16zufall'!BD55,3,0)+IF(BF55='em16zufall'!BF55,3,0)+IF(OR(BD55='em16zufall'!BF55,BD55='em16zufall'!BD56,BD55='em16zufall'!BF56),2,0)+IF(OR(BF55='em16zufall'!BD55,BF55='em16zufall'!BD56,BF55='em16zufall'!BF56),2,0),0)+IF(OR(AND(BH55&gt;BJ55,'em16zufall'!BH55&gt;'em16zufall'!BJ55),AND(BH55&lt;BJ55,'em16zufall'!BH55&lt;'em16zufall'!BJ55),AND(BH55=BJ55,'em16zufall'!BH55='em16zufall'!BJ55)),5,0)+IF(BH55='em16zufall'!BH55,1,0)+IF(BJ55='em16zufall'!BJ55,1,0)</f>
        <v>7</v>
      </c>
      <c r="CY55" s="24" t="str">
        <f>IF('em16zufall'!BK55='em16zufall'!$B$63,'em16zufall'!BK55,"")</f>
        <v>ok</v>
      </c>
      <c r="CZ55" s="123"/>
      <c r="DA55" s="165" t="s">
        <v>164</v>
      </c>
      <c r="DB55" s="174">
        <f>DB58*(DB57+2*DB56)</f>
        <v>15</v>
      </c>
    </row>
    <row r="56" spans="2:106" ht="12.75">
      <c r="B56" s="1"/>
      <c r="C56" s="3"/>
      <c r="D56" s="24"/>
      <c r="E56" s="21"/>
      <c r="F56" s="24"/>
      <c r="G56" s="24"/>
      <c r="H56" s="160"/>
      <c r="I56" s="164"/>
      <c r="J56" s="160"/>
      <c r="K56" s="21"/>
      <c r="L56" s="1"/>
      <c r="M56" s="3"/>
      <c r="V56" s="131"/>
      <c r="W56" s="131"/>
      <c r="Y56" s="116"/>
      <c r="Z56" s="116"/>
      <c r="AA56" s="116"/>
      <c r="AB56" s="116"/>
      <c r="AC56" s="116"/>
      <c r="AD56" s="116"/>
      <c r="AE56" s="123" t="s">
        <v>127</v>
      </c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Y56" s="24">
        <f>IF('em16zufall'!K56='em16zufall'!$B$63,'em16zufall'!K56,"")</f>
      </c>
      <c r="BA56" s="2">
        <f>BA55+1</f>
        <v>50</v>
      </c>
      <c r="BB56" s="7">
        <f>'em16zufall'!BB56</f>
        <v>42558.875</v>
      </c>
      <c r="BC56" s="7" t="str">
        <f>'em16zufall'!BC56</f>
        <v>Marseille</v>
      </c>
      <c r="BD56" s="91" t="str">
        <f>BM50</f>
        <v>Irland</v>
      </c>
      <c r="BE56" s="30" t="s">
        <v>21</v>
      </c>
      <c r="BF56" s="92" t="str">
        <f>BM51</f>
        <v>Island</v>
      </c>
      <c r="BG56" s="24"/>
      <c r="BH56" s="136">
        <f ca="1">IF($B$64="",1,IF(OR(BJ56&lt;1,INT(RAND()*10&lt;6)),BJ56+1,BJ56-1))</f>
        <v>1</v>
      </c>
      <c r="BI56" s="160" t="s">
        <v>22</v>
      </c>
      <c r="BJ56" s="136">
        <f ca="1">IF($B$64="",0,INT(RAND()*5)+INT(RAND()*3)*INT(RAND()*2))</f>
        <v>0</v>
      </c>
      <c r="BK56" s="1" t="s">
        <v>23</v>
      </c>
      <c r="BL56" s="1"/>
      <c r="BM56" s="107" t="str">
        <f>IF(BJ56="","",IF(BJ56=BH56,"falsch!!! K.Remis",IF(BH56&gt;BJ56,BD56,BF56)))</f>
        <v>Irland</v>
      </c>
      <c r="BN56" s="2" t="s">
        <v>51</v>
      </c>
      <c r="BO56" s="2" t="s">
        <v>53</v>
      </c>
      <c r="BP56" s="2" t="s">
        <v>57</v>
      </c>
      <c r="BS56" s="131"/>
      <c r="BT56" s="131"/>
      <c r="BU56" s="131"/>
      <c r="BV56" s="131"/>
      <c r="BW56" s="131"/>
      <c r="BX56" s="131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23"/>
      <c r="CQ56" s="123"/>
      <c r="CR56" s="123"/>
      <c r="CS56" s="123"/>
      <c r="CT56" s="123"/>
      <c r="CU56" s="123"/>
      <c r="CV56" s="123"/>
      <c r="CW56" s="123"/>
      <c r="CX56" s="24">
        <f>IF(OR($CX$62="",MOD(SUM($H$3:$J$59)+SUM($BH$3:$BJ$61),5)=0),IF(BD56='em16zufall'!BD56,3,0)+IF(BF56='em16zufall'!BF56,3,0)+IF(OR(BD56='em16zufall'!BF56,BD56='em16zufall'!BD55,BD56='em16zufall'!BF55),2,0)+IF(OR(BF56='em16zufall'!BD56,BF56='em16zufall'!BD55,BF56='em16zufall'!BF55),2,0),0)+IF(OR(AND(BH56&gt;BJ56,'em16zufall'!BH56&gt;'em16zufall'!BJ56),AND(BH56&lt;BJ56,'em16zufall'!BH56&lt;'em16zufall'!BJ56),AND(BH56=BJ56,'em16zufall'!BH56='em16zufall'!BJ56)),5,0)+IF(BH56='em16zufall'!BH56,1,0)+IF(BJ56='em16zufall'!BJ56,1,0)</f>
        <v>7</v>
      </c>
      <c r="CY56" s="24" t="str">
        <f>IF('em16zufall'!BK56='em16zufall'!$B$63,'em16zufall'!BK56,"")</f>
        <v>ok</v>
      </c>
      <c r="CZ56" s="123"/>
      <c r="DA56" s="167" t="s">
        <v>165</v>
      </c>
      <c r="DB56" s="162">
        <v>4</v>
      </c>
    </row>
    <row r="57" spans="3:106" ht="12.75">
      <c r="C57" s="3"/>
      <c r="D57" s="12"/>
      <c r="E57" s="23"/>
      <c r="F57" s="12"/>
      <c r="G57" s="12"/>
      <c r="H57" s="128"/>
      <c r="J57" s="128"/>
      <c r="K57" s="21"/>
      <c r="M57" s="2"/>
      <c r="S57" s="131"/>
      <c r="T57" s="131"/>
      <c r="U57" s="131"/>
      <c r="V57" s="131"/>
      <c r="W57" s="131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Y57" s="24"/>
      <c r="AZ57" s="2"/>
      <c r="BB57" s="1"/>
      <c r="BC57" s="3"/>
      <c r="BD57" s="24"/>
      <c r="BE57" s="21"/>
      <c r="BF57" s="24"/>
      <c r="BG57" s="24"/>
      <c r="BH57" s="160"/>
      <c r="BI57" s="164"/>
      <c r="BJ57" s="160"/>
      <c r="BK57" s="21"/>
      <c r="BL57" s="1"/>
      <c r="BM57" s="93" t="str">
        <f>IF(BJ55="","",IF(BD55=BM55,BF55,BD55))</f>
        <v>Portugal</v>
      </c>
      <c r="BP57" s="2" t="s">
        <v>58</v>
      </c>
      <c r="BS57" s="131"/>
      <c r="BT57" s="131"/>
      <c r="BU57" s="131"/>
      <c r="BV57" s="131"/>
      <c r="BW57" s="131"/>
      <c r="BX57" s="131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23"/>
      <c r="CQ57" s="123"/>
      <c r="CR57" s="123"/>
      <c r="CS57" s="123"/>
      <c r="CT57" s="123"/>
      <c r="CU57" s="123"/>
      <c r="CV57" s="123"/>
      <c r="CW57" s="123"/>
      <c r="CY57" s="24"/>
      <c r="CZ57" s="123"/>
      <c r="DA57" s="172" t="s">
        <v>157</v>
      </c>
      <c r="DB57" s="162">
        <v>7</v>
      </c>
    </row>
    <row r="58" spans="2:106" ht="12.75">
      <c r="B58" s="94" t="s">
        <v>60</v>
      </c>
      <c r="C58" s="3"/>
      <c r="D58" s="12"/>
      <c r="E58" s="23"/>
      <c r="F58" s="12"/>
      <c r="G58" s="12"/>
      <c r="H58" s="176"/>
      <c r="J58" s="176"/>
      <c r="K58" s="21"/>
      <c r="M58" s="2" t="s">
        <v>174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X58" s="24">
        <f>IF(M59='em16zufall'!M59,20,0)</f>
        <v>0</v>
      </c>
      <c r="AY58" s="24" t="str">
        <f>IF('em16zufall'!K59='em16zufall'!$B$63,'em16zufall'!K59,"")</f>
        <v>ok</v>
      </c>
      <c r="BD58" s="12"/>
      <c r="BE58" s="23"/>
      <c r="BF58" s="12"/>
      <c r="BG58" s="12"/>
      <c r="BH58" s="128"/>
      <c r="BJ58" s="128"/>
      <c r="BK58" s="21"/>
      <c r="BM58" s="93" t="str">
        <f>IF(BJ56="","",IF(BD56=BM56,BF56,BD56))</f>
        <v>Island</v>
      </c>
      <c r="BP58" s="2" t="s">
        <v>59</v>
      </c>
      <c r="BS58" s="131"/>
      <c r="BT58" s="131"/>
      <c r="BU58" s="131"/>
      <c r="BV58" s="131"/>
      <c r="BW58" s="131"/>
      <c r="BX58" s="131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23"/>
      <c r="CQ58" s="123"/>
      <c r="CR58" s="123"/>
      <c r="CS58" s="123"/>
      <c r="CT58" s="123"/>
      <c r="CU58" s="123"/>
      <c r="CV58" s="123"/>
      <c r="CW58" s="123"/>
      <c r="CY58" s="24"/>
      <c r="CZ58" s="123"/>
      <c r="DA58" s="170" t="s">
        <v>151</v>
      </c>
      <c r="DB58" s="174">
        <v>1</v>
      </c>
    </row>
    <row r="59" spans="1:106" ht="12.75">
      <c r="A59" s="2">
        <f>BA56+1</f>
        <v>51</v>
      </c>
      <c r="B59" s="7">
        <f>'em16zufall'!B59</f>
        <v>42561.875</v>
      </c>
      <c r="C59" s="7" t="str">
        <f>'em16zufall'!C59</f>
        <v>Paris St.Denis</v>
      </c>
      <c r="D59" s="66" t="str">
        <f>BM55</f>
        <v>Albanien</v>
      </c>
      <c r="E59" s="30" t="s">
        <v>21</v>
      </c>
      <c r="F59" s="66" t="str">
        <f>BM56</f>
        <v>Irland</v>
      </c>
      <c r="G59" s="24"/>
      <c r="H59" s="137">
        <f ca="1">IF($B$64="",1,IF(OR(J59&lt;1,INT(RAND()*10&lt;6)),J59+1,J59-1))</f>
        <v>1</v>
      </c>
      <c r="I59" s="160" t="s">
        <v>22</v>
      </c>
      <c r="J59" s="137">
        <f ca="1">IF($B$64="",0,INT(RAND()*5)+INT(RAND()*3)*INT(RAND()*2))</f>
        <v>2</v>
      </c>
      <c r="K59" s="1" t="s">
        <v>23</v>
      </c>
      <c r="L59" s="1"/>
      <c r="M59" s="95" t="str">
        <f>IF(J59="","",IF(J59=H59,"falsch!!! K.Remis",IF(H59&gt;J59,D59,F59)))</f>
        <v>Irland</v>
      </c>
      <c r="N59" s="2" t="str">
        <f>BP55</f>
        <v>F1</v>
      </c>
      <c r="O59" s="2" t="str">
        <f>BP56</f>
        <v>F2</v>
      </c>
      <c r="AE59" s="132"/>
      <c r="AF59" s="140"/>
      <c r="AX59" s="24">
        <f>IF(OR($CX$62="",MOD(SUM($H$3:$J$59)+SUM($BH$3:$BJ$61),5)=0),IF(OR(D59='em16zufall'!D59,D59='em16zufall'!F59),4,0)+IF(OR(F59='em16zufall'!F59,F59='em16zufall'!D59),4,0),0)+IF(OR(AND(H59&gt;J59,'em16zufall'!H59&gt;'em16zufall'!J59),AND(H59&lt;J59,'em16zufall'!H59&lt;'em16zufall'!J59),AND(H59=J59,'em16zufall'!H59='em16zufall'!J59)),7,0)+IF(H59='em16zufall'!H59,1,0)+IF(J59='em16zufall'!J59,1,0)</f>
        <v>1</v>
      </c>
      <c r="AY59" s="24" t="str">
        <f>IF('em16zufall'!K59='em16zufall'!$B$63,'em16zufall'!K59,"")</f>
        <v>ok</v>
      </c>
      <c r="BH59" s="2"/>
      <c r="BI59" s="2"/>
      <c r="BJ59" s="2"/>
      <c r="BK59" s="21"/>
      <c r="BM59" s="2"/>
      <c r="BS59" s="123"/>
      <c r="BT59" s="123"/>
      <c r="BU59" s="123"/>
      <c r="BV59" s="123"/>
      <c r="BW59" s="123"/>
      <c r="BX59" s="123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23"/>
      <c r="CQ59" s="123"/>
      <c r="CR59" s="123"/>
      <c r="CS59" s="123"/>
      <c r="CT59" s="123"/>
      <c r="CU59" s="123"/>
      <c r="CV59" s="123"/>
      <c r="CW59" s="123"/>
      <c r="CX59" s="177">
        <v>15</v>
      </c>
      <c r="CY59" s="24" t="str">
        <f>IF(AND('em16zufall'!BK55='em16zufall'!$B$63,'em16zufall'!BK56='em16zufall'!$B$63),'em16zufall'!$B$63,"")</f>
        <v>ok</v>
      </c>
      <c r="CZ59" s="123"/>
      <c r="DA59" s="175" t="s">
        <v>166</v>
      </c>
      <c r="DB59" s="174">
        <f>DB55</f>
        <v>15</v>
      </c>
    </row>
    <row r="60" spans="8:106" ht="12.75">
      <c r="H60" s="2"/>
      <c r="I60" s="2"/>
      <c r="J60" s="2"/>
      <c r="K60" s="2"/>
      <c r="M60" s="2"/>
      <c r="S60" s="131"/>
      <c r="T60" s="131"/>
      <c r="U60" s="131"/>
      <c r="V60" s="131"/>
      <c r="W60" s="131"/>
      <c r="AE60" s="131"/>
      <c r="AF60" s="139"/>
      <c r="AG60" s="131"/>
      <c r="AH60" s="131"/>
      <c r="AO60" s="131"/>
      <c r="AW60" s="2"/>
      <c r="BH60" s="2"/>
      <c r="BI60" s="2"/>
      <c r="BJ60" s="2"/>
      <c r="BL60" s="1"/>
      <c r="BM60" s="3"/>
      <c r="BN60" s="2" t="str">
        <f>BP57</f>
        <v>HF1</v>
      </c>
      <c r="BO60" s="2" t="str">
        <f>BP58</f>
        <v>HF2</v>
      </c>
      <c r="BS60" s="131"/>
      <c r="BT60" s="131"/>
      <c r="BU60" s="131"/>
      <c r="BV60" s="131"/>
      <c r="BW60" s="131"/>
      <c r="BX60" s="123"/>
      <c r="BZ60" s="123"/>
      <c r="CA60" s="123"/>
      <c r="CB60" s="123"/>
      <c r="CC60" s="123"/>
      <c r="CD60" s="123"/>
      <c r="CE60" s="131"/>
      <c r="CF60" s="139"/>
      <c r="CG60" s="131"/>
      <c r="CH60" s="131"/>
      <c r="CI60" s="123"/>
      <c r="CJ60" s="123"/>
      <c r="CK60" s="123"/>
      <c r="CL60" s="123"/>
      <c r="CM60" s="123"/>
      <c r="CN60" s="123"/>
      <c r="CO60" s="131"/>
      <c r="CP60" s="123"/>
      <c r="CQ60" s="123"/>
      <c r="CR60" s="123"/>
      <c r="CS60" s="123"/>
      <c r="CT60" s="123"/>
      <c r="CU60" s="123"/>
      <c r="CV60" s="123"/>
      <c r="CW60" s="123"/>
      <c r="CY60" s="2"/>
      <c r="CZ60" s="123"/>
      <c r="DA60" s="161"/>
      <c r="DB60" s="162"/>
    </row>
    <row r="61" spans="8:102" ht="16.5" thickBot="1">
      <c r="H61" s="2"/>
      <c r="I61" s="2"/>
      <c r="J61" s="2"/>
      <c r="K61" s="2"/>
      <c r="M61" s="2"/>
      <c r="S61" s="131"/>
      <c r="T61" s="131"/>
      <c r="U61" s="131"/>
      <c r="V61" s="131"/>
      <c r="W61" s="131"/>
      <c r="AE61" s="131"/>
      <c r="AF61" s="139"/>
      <c r="AG61" s="131"/>
      <c r="AH61" s="131"/>
      <c r="AO61" s="131"/>
      <c r="AW61" s="2"/>
      <c r="AX61" s="178">
        <f>SUMIF(AY1:AY59,'em16zufall'!$B$63,AX1:AX59)</f>
        <v>40</v>
      </c>
      <c r="AZ61" s="2"/>
      <c r="BH61" s="2"/>
      <c r="BI61" s="2"/>
      <c r="BJ61" s="2"/>
      <c r="BK61" s="2"/>
      <c r="BM61" s="2"/>
      <c r="BS61" s="131"/>
      <c r="BT61" s="131"/>
      <c r="BU61" s="131"/>
      <c r="BV61" s="131"/>
      <c r="BW61" s="131"/>
      <c r="BX61" s="123"/>
      <c r="BZ61" s="123"/>
      <c r="CA61" s="123"/>
      <c r="CB61" s="123"/>
      <c r="CC61" s="123"/>
      <c r="CD61" s="123"/>
      <c r="CE61" s="131"/>
      <c r="CF61" s="139"/>
      <c r="CG61" s="131"/>
      <c r="CH61" s="131"/>
      <c r="CI61" s="123"/>
      <c r="CJ61" s="123"/>
      <c r="CK61" s="123"/>
      <c r="CL61" s="123"/>
      <c r="CM61" s="123"/>
      <c r="CN61" s="123"/>
      <c r="CO61" s="131"/>
      <c r="CP61" s="123"/>
      <c r="CQ61" s="123"/>
      <c r="CR61" s="123"/>
      <c r="CS61" s="123"/>
      <c r="CT61" s="123"/>
      <c r="CU61" s="123"/>
      <c r="CV61" s="123"/>
      <c r="CX61" s="178">
        <f>SUMIF(CY1:CY59,'em16zufall'!$B$63,CX1:CX59)</f>
        <v>53</v>
      </c>
    </row>
    <row r="62" spans="8:106" ht="17.25" thickBot="1" thickTop="1">
      <c r="H62" s="115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179">
        <f>AX61+CX61</f>
        <v>93</v>
      </c>
      <c r="AY62" s="1" t="s">
        <v>167</v>
      </c>
      <c r="AZ62" s="2"/>
      <c r="BH62" s="2"/>
      <c r="BI62" s="2"/>
      <c r="BJ62" s="2"/>
      <c r="BK62" s="2"/>
      <c r="BM62" s="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X62" s="24" t="s">
        <v>173</v>
      </c>
      <c r="CY62" s="1" t="s">
        <v>168</v>
      </c>
      <c r="DA62" s="165" t="s">
        <v>174</v>
      </c>
      <c r="DB62" s="166">
        <v>20</v>
      </c>
    </row>
    <row r="63" spans="2:106" ht="14.25" thickBot="1" thickTop="1">
      <c r="B63" s="16" t="s">
        <v>23</v>
      </c>
      <c r="C63" s="1" t="s">
        <v>62</v>
      </c>
      <c r="D63" s="3"/>
      <c r="E63" s="3"/>
      <c r="F63" s="3"/>
      <c r="AD63" s="132"/>
      <c r="BH63" s="2"/>
      <c r="BI63" s="2"/>
      <c r="BJ63" s="2"/>
      <c r="BK63" s="2"/>
      <c r="CD63" s="3"/>
      <c r="DA63" s="165"/>
      <c r="DB63" s="166"/>
    </row>
    <row r="64" spans="2:106" ht="14.25" thickBot="1" thickTop="1">
      <c r="B64" s="16" t="s">
        <v>71</v>
      </c>
      <c r="C64" s="1" t="s">
        <v>73</v>
      </c>
      <c r="E64" s="3"/>
      <c r="F64" s="3"/>
      <c r="AD64" s="132"/>
      <c r="AE64" s="123"/>
      <c r="BH64" s="2"/>
      <c r="BI64" s="2"/>
      <c r="BJ64" s="2"/>
      <c r="BK64" s="2"/>
      <c r="CD64" s="3"/>
      <c r="CE64" s="2"/>
      <c r="DA64" s="165" t="s">
        <v>169</v>
      </c>
      <c r="DB64" s="166">
        <f>DB66*(2*DB65)</f>
        <v>30</v>
      </c>
    </row>
    <row r="65" spans="2:106" ht="14.25" thickBot="1" thickTop="1">
      <c r="B65" s="110">
        <f ca="1">IF($B$64="",1,INT(RAND()*5)+INT(RAND()*3)*INT(RAND()*2))</f>
        <v>3</v>
      </c>
      <c r="C65" s="1" t="s">
        <v>61</v>
      </c>
      <c r="E65" s="3"/>
      <c r="F65" s="3"/>
      <c r="AD65" s="132"/>
      <c r="AE65" s="123"/>
      <c r="BH65" s="2"/>
      <c r="BI65" s="2"/>
      <c r="BJ65" s="2"/>
      <c r="BK65" s="2"/>
      <c r="CD65" s="3"/>
      <c r="CE65" s="2"/>
      <c r="DA65" s="167" t="s">
        <v>170</v>
      </c>
      <c r="DB65" s="162">
        <v>1</v>
      </c>
    </row>
    <row r="66" spans="19:106" ht="13.5" thickTop="1"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BS66" s="1"/>
      <c r="BT66" s="1"/>
      <c r="BU66" s="1"/>
      <c r="BV66" s="1"/>
      <c r="BW66" s="1"/>
      <c r="BX66" s="1"/>
      <c r="BY66" s="131"/>
      <c r="BZ66" s="1"/>
      <c r="CA66" s="1"/>
      <c r="CB66" s="1"/>
      <c r="CC66" s="1"/>
      <c r="CD66" s="1"/>
      <c r="CE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DA66" s="170" t="s">
        <v>171</v>
      </c>
      <c r="DB66" s="174">
        <v>15</v>
      </c>
    </row>
    <row r="67" spans="105:106" ht="12.75">
      <c r="DA67" s="161"/>
      <c r="DB67" s="162"/>
    </row>
    <row r="68" spans="105:106" ht="12.75">
      <c r="DA68" s="165" t="s">
        <v>172</v>
      </c>
      <c r="DB68" s="166">
        <f>DB3+DB11+DB15+DB22+DB47+DB55+DB62+DB64+DB59</f>
        <v>370</v>
      </c>
    </row>
    <row r="70" spans="19:100" ht="12.75">
      <c r="S70" s="149"/>
      <c r="T70" s="150"/>
      <c r="U70" s="149"/>
      <c r="V70" s="151"/>
      <c r="W70" s="151"/>
      <c r="X70" s="151"/>
      <c r="Y70" s="151"/>
      <c r="Z70" s="151"/>
      <c r="AA70" s="151"/>
      <c r="AB70" s="151"/>
      <c r="AC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BS70" s="18"/>
      <c r="BT70" s="20"/>
      <c r="BU70" s="18"/>
      <c r="BV70" s="19"/>
      <c r="BW70" s="19"/>
      <c r="BX70" s="19"/>
      <c r="BY70" s="151"/>
      <c r="BZ70" s="19"/>
      <c r="CA70" s="19"/>
      <c r="CB70" s="19"/>
      <c r="CC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</row>
    <row r="71" spans="19:73" ht="12.75">
      <c r="S71" s="138"/>
      <c r="T71" s="131"/>
      <c r="U71" s="131"/>
      <c r="BS71" s="6"/>
      <c r="BT71" s="1"/>
      <c r="BU71" s="1"/>
    </row>
    <row r="72" spans="19:73" ht="12.75">
      <c r="S72" s="138"/>
      <c r="T72" s="131"/>
      <c r="U72" s="131"/>
      <c r="BS72" s="6"/>
      <c r="BT72" s="1"/>
      <c r="BU72" s="1"/>
    </row>
    <row r="73" spans="19:73" ht="12.75">
      <c r="S73" s="138"/>
      <c r="T73" s="131"/>
      <c r="U73" s="131"/>
      <c r="BS73" s="6"/>
      <c r="BT73" s="1"/>
      <c r="BU73" s="1"/>
    </row>
    <row r="74" spans="19:73" ht="12.75">
      <c r="S74" s="138"/>
      <c r="T74" s="131"/>
      <c r="U74" s="131"/>
      <c r="BS74" s="6"/>
      <c r="BT74" s="1"/>
      <c r="BU74" s="1"/>
    </row>
    <row r="75" spans="19:73" ht="12.75">
      <c r="S75" s="138"/>
      <c r="T75" s="131"/>
      <c r="U75" s="131"/>
      <c r="BS75" s="6"/>
      <c r="BT75" s="1"/>
      <c r="BU75" s="1"/>
    </row>
    <row r="76" spans="19:73" ht="12.75">
      <c r="S76" s="138"/>
      <c r="T76" s="131"/>
      <c r="U76" s="131"/>
      <c r="BS76" s="6"/>
      <c r="BT76" s="1"/>
      <c r="BU76" s="1"/>
    </row>
    <row r="77" spans="19:73" ht="12.75">
      <c r="S77" s="138"/>
      <c r="T77" s="131"/>
      <c r="U77" s="131"/>
      <c r="BS77" s="6"/>
      <c r="BT77" s="1"/>
      <c r="BU77" s="1"/>
    </row>
    <row r="79" spans="19:103" ht="12.75">
      <c r="S79" s="149"/>
      <c r="T79" s="150"/>
      <c r="U79" s="149"/>
      <c r="V79" s="151"/>
      <c r="W79" s="151"/>
      <c r="X79" s="151"/>
      <c r="Y79" s="151"/>
      <c r="Z79" s="151"/>
      <c r="AA79" s="151"/>
      <c r="AB79" s="151"/>
      <c r="AC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Y79" s="18"/>
      <c r="BS79" s="18"/>
      <c r="BT79" s="20"/>
      <c r="BU79" s="18"/>
      <c r="BV79" s="19"/>
      <c r="BW79" s="19"/>
      <c r="BX79" s="19"/>
      <c r="BY79" s="151"/>
      <c r="BZ79" s="19"/>
      <c r="CA79" s="19"/>
      <c r="CB79" s="19"/>
      <c r="CC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Y79" s="18"/>
    </row>
    <row r="80" spans="19:73" ht="12.75">
      <c r="S80" s="138"/>
      <c r="T80" s="131"/>
      <c r="U80" s="131"/>
      <c r="BS80" s="6"/>
      <c r="BT80" s="1"/>
      <c r="BU80" s="1"/>
    </row>
    <row r="81" spans="19:73" ht="12.75">
      <c r="S81" s="138"/>
      <c r="T81" s="131"/>
      <c r="U81" s="131"/>
      <c r="AX81" s="18"/>
      <c r="BS81" s="6"/>
      <c r="BT81" s="1"/>
      <c r="BU81" s="1"/>
    </row>
    <row r="82" spans="19:73" ht="12.75">
      <c r="S82" s="138"/>
      <c r="T82" s="131"/>
      <c r="U82" s="131"/>
      <c r="BS82" s="6"/>
      <c r="BT82" s="1"/>
      <c r="BU82" s="1"/>
    </row>
    <row r="83" spans="19:73" ht="12.75">
      <c r="S83" s="138"/>
      <c r="T83" s="131"/>
      <c r="U83" s="131"/>
      <c r="BS83" s="6"/>
      <c r="BT83" s="1"/>
      <c r="BU83" s="1"/>
    </row>
    <row r="85" spans="19:73" ht="12.75">
      <c r="S85" s="138"/>
      <c r="T85" s="131"/>
      <c r="U85" s="131"/>
      <c r="BS85" s="6"/>
      <c r="BT85" s="1"/>
      <c r="BU85" s="1"/>
    </row>
    <row r="86" spans="19:73" ht="12.75">
      <c r="S86" s="138"/>
      <c r="T86" s="131"/>
      <c r="U86" s="131"/>
      <c r="BS86" s="6"/>
      <c r="BT86" s="1"/>
      <c r="BU86" s="1"/>
    </row>
    <row r="87" spans="19:73" ht="12.75">
      <c r="S87" s="138"/>
      <c r="T87" s="131"/>
      <c r="U87" s="131"/>
      <c r="BS87" s="6"/>
      <c r="BT87" s="1"/>
      <c r="BU87" s="1"/>
    </row>
    <row r="89" spans="19:100" ht="12.75">
      <c r="S89" s="149"/>
      <c r="T89" s="150"/>
      <c r="U89" s="149"/>
      <c r="V89" s="151"/>
      <c r="W89" s="151"/>
      <c r="X89" s="151"/>
      <c r="Y89" s="151"/>
      <c r="Z89" s="151"/>
      <c r="AA89" s="151"/>
      <c r="AB89" s="151"/>
      <c r="AC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BS89" s="18"/>
      <c r="BT89" s="20"/>
      <c r="BU89" s="18"/>
      <c r="BV89" s="19"/>
      <c r="BW89" s="19"/>
      <c r="BX89" s="19"/>
      <c r="BY89" s="151"/>
      <c r="BZ89" s="19"/>
      <c r="CA89" s="19"/>
      <c r="CB89" s="19"/>
      <c r="CC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</row>
    <row r="90" spans="19:103" ht="12.75">
      <c r="S90" s="138"/>
      <c r="T90" s="131"/>
      <c r="U90" s="131"/>
      <c r="AY90" s="18"/>
      <c r="BS90" s="6"/>
      <c r="BT90" s="1"/>
      <c r="BU90" s="1"/>
      <c r="CY90" s="18"/>
    </row>
    <row r="91" spans="19:73" ht="12.75">
      <c r="S91" s="138"/>
      <c r="T91" s="131"/>
      <c r="U91" s="131"/>
      <c r="BS91" s="6"/>
      <c r="BT91" s="1"/>
      <c r="BU91" s="1"/>
    </row>
    <row r="92" spans="19:73" ht="12.75">
      <c r="S92" s="138"/>
      <c r="T92" s="131"/>
      <c r="U92" s="131"/>
      <c r="AX92" s="18"/>
      <c r="BS92" s="6"/>
      <c r="BT92" s="1"/>
      <c r="BU92" s="1"/>
    </row>
    <row r="96" spans="51:103" ht="12.75">
      <c r="AY96" s="18"/>
      <c r="CY96" s="18"/>
    </row>
    <row r="98" ht="12.75">
      <c r="AX98" s="18"/>
    </row>
    <row r="102" spans="51:103" ht="12.75">
      <c r="AY102" s="18"/>
      <c r="CY102" s="18"/>
    </row>
    <row r="104" ht="12.75">
      <c r="AX104" s="18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104"/>
  <sheetViews>
    <sheetView tabSelected="1" workbookViewId="0" topLeftCell="A1">
      <selection activeCell="H62" sqref="H62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26" customWidth="1"/>
    <col min="9" max="9" width="1.57421875" style="126" customWidth="1"/>
    <col min="10" max="10" width="3.57421875" style="126" customWidth="1"/>
    <col min="11" max="11" width="3.00390625" style="1" customWidth="1"/>
    <col min="12" max="12" width="2.00390625" style="2" customWidth="1"/>
    <col min="13" max="13" width="14.28125" style="11" customWidth="1"/>
    <col min="14" max="17" width="4.28125" style="2" hidden="1" customWidth="1"/>
    <col min="18" max="18" width="3.8515625" style="2" hidden="1" customWidth="1"/>
    <col min="19" max="22" width="2.00390625" style="123" hidden="1" customWidth="1"/>
    <col min="23" max="23" width="1.7109375" style="123" hidden="1" customWidth="1"/>
    <col min="24" max="24" width="3.00390625" style="123" hidden="1" customWidth="1"/>
    <col min="25" max="25" width="14.28125" style="123" hidden="1" customWidth="1"/>
    <col min="26" max="26" width="2.28125" style="123" hidden="1" customWidth="1"/>
    <col min="27" max="27" width="3.28125" style="123" hidden="1" customWidth="1"/>
    <col min="28" max="28" width="3.00390625" style="123" hidden="1" customWidth="1"/>
    <col min="29" max="29" width="4.421875" style="123" hidden="1" customWidth="1"/>
    <col min="30" max="30" width="19.28125" style="123" hidden="1" customWidth="1"/>
    <col min="31" max="31" width="3.140625" style="123" hidden="1" customWidth="1"/>
    <col min="32" max="32" width="3.57421875" style="123" hidden="1" customWidth="1"/>
    <col min="33" max="36" width="2.8515625" style="123" hidden="1" customWidth="1"/>
    <col min="37" max="37" width="3.140625" style="123" hidden="1" customWidth="1"/>
    <col min="38" max="38" width="6.421875" style="123" hidden="1" customWidth="1"/>
    <col min="39" max="42" width="2.8515625" style="123" hidden="1" customWidth="1"/>
    <col min="43" max="43" width="7.7109375" style="123" hidden="1" customWidth="1"/>
    <col min="44" max="47" width="3.00390625" style="123" hidden="1" customWidth="1"/>
    <col min="48" max="48" width="3.140625" style="123" hidden="1" customWidth="1"/>
    <col min="49" max="49" width="11.421875" style="123" customWidth="1"/>
    <col min="50" max="51" width="7.140625" style="1" customWidth="1"/>
    <col min="52" max="52" width="11.421875" style="123" customWidth="1"/>
    <col min="53" max="53" width="3.57421875" style="2" customWidth="1"/>
    <col min="54" max="54" width="15.28125" style="2" customWidth="1"/>
    <col min="55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26" customWidth="1"/>
    <col min="61" max="61" width="1.57421875" style="126" customWidth="1"/>
    <col min="62" max="62" width="3.57421875" style="126" customWidth="1"/>
    <col min="63" max="63" width="3.00390625" style="1" customWidth="1"/>
    <col min="64" max="64" width="2.00390625" style="2" customWidth="1"/>
    <col min="65" max="65" width="14.28125" style="11" customWidth="1"/>
    <col min="66" max="69" width="4.28125" style="2" hidden="1" customWidth="1"/>
    <col min="70" max="70" width="3.8515625" style="2" hidden="1" customWidth="1"/>
    <col min="71" max="74" width="2.00390625" style="2" hidden="1" customWidth="1"/>
    <col min="75" max="75" width="1.7109375" style="2" hidden="1" customWidth="1"/>
    <col min="76" max="76" width="3.00390625" style="2" hidden="1" customWidth="1"/>
    <col min="77" max="77" width="14.28125" style="123" hidden="1" customWidth="1"/>
    <col min="78" max="78" width="2.28125" style="2" hidden="1" customWidth="1"/>
    <col min="79" max="79" width="3.28125" style="2" hidden="1" customWidth="1"/>
    <col min="80" max="80" width="3.00390625" style="2" hidden="1" customWidth="1"/>
    <col min="81" max="81" width="4.421875" style="2" hidden="1" customWidth="1"/>
    <col min="82" max="82" width="19.28125" style="2" hidden="1" customWidth="1"/>
    <col min="83" max="100" width="5.00390625" style="2" hidden="1" customWidth="1"/>
    <col min="101" max="101" width="11.421875" style="2" customWidth="1"/>
    <col min="102" max="102" width="7.140625" style="24" customWidth="1"/>
    <col min="103" max="103" width="7.140625" style="1" customWidth="1"/>
    <col min="104" max="104" width="11.421875" style="2" customWidth="1"/>
    <col min="105" max="105" width="36.7109375" style="2" customWidth="1"/>
    <col min="106" max="106" width="5.140625" style="2" customWidth="1"/>
    <col min="107" max="16384" width="11.421875" style="2" customWidth="1"/>
  </cols>
  <sheetData>
    <row r="1" spans="1:106" s="12" customFormat="1" ht="14.25" thickBot="1" thickTop="1">
      <c r="A1" s="12" t="s">
        <v>70</v>
      </c>
      <c r="B1" s="50" t="s">
        <v>0</v>
      </c>
      <c r="C1" s="43" t="s">
        <v>1</v>
      </c>
      <c r="D1" s="24" t="s">
        <v>2</v>
      </c>
      <c r="E1" s="21"/>
      <c r="F1" s="24"/>
      <c r="G1" s="112"/>
      <c r="H1" s="113"/>
      <c r="I1" s="124"/>
      <c r="J1" s="160"/>
      <c r="K1" s="24"/>
      <c r="L1" s="24"/>
      <c r="M1" s="6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27"/>
      <c r="AX1" s="50">
        <f>IF(OR($CX$62="",MOD(SUM($H$3:$J$59)+SUM($BH$3:$BJ$61),3)=0),IF(M7="",0,COUNTIF('em16zufall'!$D$48:'em16zufall'!$F$55,M7)),0)</f>
        <v>1</v>
      </c>
      <c r="AY1" s="24" t="str">
        <f>IF(COUNTIF('em16zufall'!K3:'em16zufall'!K8,'em16zufall'!$B$63)=6,"ok","")</f>
        <v>ok</v>
      </c>
      <c r="AZ1" s="128"/>
      <c r="BB1" s="156" t="s">
        <v>0</v>
      </c>
      <c r="BC1" s="155" t="s">
        <v>32</v>
      </c>
      <c r="BD1" s="24"/>
      <c r="BE1" s="21"/>
      <c r="BF1" s="24"/>
      <c r="BG1" s="112"/>
      <c r="BH1" s="110"/>
      <c r="BI1" s="124"/>
      <c r="BJ1" s="160"/>
      <c r="BK1" s="24"/>
      <c r="BL1" s="24">
        <f>IF('em16zufall'!BL1="","",'em16zufall'!BL1)</f>
      </c>
      <c r="BM1" s="69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X1" s="156">
        <f>IF(OR($CX$62="",MOD(SUM($H$3:$J$59)+SUM($BH$3:$BJ$61),3)=0),IF(BM7="",0,COUNTIF('em16zufall'!$D$48:'em16zufall'!$F$55,BM7)),0)</f>
        <v>1</v>
      </c>
      <c r="CY1" s="24" t="str">
        <f>IF(COUNTIF('em16zufall'!BK3:'em16zufall'!BK8,'em16zufall'!$B$63)=6,"ok","")</f>
        <v>ok</v>
      </c>
      <c r="DA1" s="161" t="s">
        <v>146</v>
      </c>
      <c r="DB1" s="162"/>
    </row>
    <row r="2" spans="2:106" ht="13.5" thickTop="1">
      <c r="B2" s="3" t="s">
        <v>19</v>
      </c>
      <c r="C2" s="3" t="s">
        <v>20</v>
      </c>
      <c r="L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33"/>
      <c r="AX2" s="50">
        <f>IF(OR($CX$62="",MOD(SUM($H$3:$J$59)+SUM($BH$3:$BJ$61),3)=0),IF(M8="",0,COUNTIF('em16zufall'!$D$48:'em16zufall'!$F$55,M8)),0)</f>
        <v>1</v>
      </c>
      <c r="AY2" s="24" t="str">
        <f>IF(COUNTIF('em16zufall'!K3:'em16zufall'!K8,'em16zufall'!$B$63)=6,"ok","")</f>
        <v>ok</v>
      </c>
      <c r="BB2" s="3" t="s">
        <v>19</v>
      </c>
      <c r="BC2" s="3" t="s">
        <v>20</v>
      </c>
      <c r="BL2" s="1">
        <f>IF('em16zufall'!BL2="","",'em16zufall'!BL2)</f>
      </c>
      <c r="BY2" s="2"/>
      <c r="CX2" s="156">
        <f>IF(OR($CX$62="",MOD(SUM($H$3:$J$59)+SUM($BH$3:$BJ$61),3)=0),IF(BM8="",0,COUNTIF('em16zufall'!$D$48:'em16zufall'!$F$55,BM8)),0)</f>
        <v>1</v>
      </c>
      <c r="CY2" s="24" t="str">
        <f>IF(COUNTIF('em16zufall'!BK3:'em16zufall'!BK8,'em16zufall'!$B$63)=6,"ok","")</f>
        <v>ok</v>
      </c>
      <c r="DA2" s="161"/>
      <c r="DB2" s="163"/>
    </row>
    <row r="3" spans="1:106" ht="12.75">
      <c r="A3" s="2">
        <v>1</v>
      </c>
      <c r="B3" s="7">
        <f>'em16zufall'!B3</f>
        <v>42531.875</v>
      </c>
      <c r="C3" s="7" t="str">
        <f>'em16zufall'!C3</f>
        <v>Paris St.Denis</v>
      </c>
      <c r="D3" s="125" t="str">
        <f>IF('em16zufall'!D3="","",'em16zufall'!D3)</f>
        <v>Frankreich</v>
      </c>
      <c r="E3" s="125" t="str">
        <f>IF('em16zufall'!E3="","",'em16zufall'!E3)</f>
        <v>-</v>
      </c>
      <c r="F3" s="125" t="str">
        <f>IF('em16zufall'!F3="","",'em16zufall'!F3)</f>
        <v>Rumänien</v>
      </c>
      <c r="G3" s="125">
        <f>IF('em16zufall'!G3="","",'em16zufall'!G3)</f>
      </c>
      <c r="H3" s="136">
        <f>IF('em16zufall'!H3="","",'em16zufall'!H3)</f>
        <v>1</v>
      </c>
      <c r="I3" s="160" t="str">
        <f>IF('em16zufall'!I3="","",'em16zufall'!I3)</f>
        <v>:</v>
      </c>
      <c r="J3" s="136">
        <f>IF('em16zufall'!J3="","",'em16zufall'!J3)</f>
        <v>0</v>
      </c>
      <c r="K3" s="1" t="str">
        <f>IF('em16zufall'!K3="","",'em16zufall'!K3)</f>
        <v>ok</v>
      </c>
      <c r="L3" s="1">
        <f>IF('em16zufall'!L3="","",'em16zufall'!L3)</f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33"/>
      <c r="AX3" s="24">
        <f>IF(OR('em16zufall'!H3="",'em16zufall'!J3=""),0,IF(H3-J3='em16zufall'!H3-'em16zufall'!J3,3,IF(OR(AND(H3-J3&gt;4,'em16zufall'!H3-'em16zufall'!J3&gt;4),AND(J3-H3&gt;4,'em16zufall'!J3-'em16zufall'!H3&gt;4)),2,IF(OR(AND(H3=J3,'em16zufall'!H3='em16zufall'!J3),(H3-J3)*('em16zufall'!H3-'em16zufall'!J3)&gt;0),1,0))))+IF(H3='em16zufall'!H3,1,0)+IF(J3='em16zufall'!J3,1,0)</f>
        <v>5</v>
      </c>
      <c r="AY3" s="24" t="str">
        <f>IF('em16zufall'!K3='em16zufall'!$B$63,'em16zufall'!K3,"")</f>
        <v>ok</v>
      </c>
      <c r="BA3" s="2">
        <v>7</v>
      </c>
      <c r="BB3" s="7">
        <f>'em16zufall'!BB3</f>
        <v>42534.625</v>
      </c>
      <c r="BC3" s="7" t="str">
        <f>'em16zufall'!BC3</f>
        <v>Toulouse</v>
      </c>
      <c r="BD3" s="125" t="str">
        <f>IF('em16zufall'!BD3="","",'em16zufall'!BD3)</f>
        <v>Spanien</v>
      </c>
      <c r="BE3" s="80" t="str">
        <f>IF('em16zufall'!BE3="","",'em16zufall'!BE3)</f>
        <v>-</v>
      </c>
      <c r="BF3" s="125" t="str">
        <f>IF('em16zufall'!BF3="","",'em16zufall'!BF3)</f>
        <v>Tschechien</v>
      </c>
      <c r="BG3" s="124">
        <f>IF('em16zufall'!BG3="","",'em16zufall'!BG3)</f>
      </c>
      <c r="BH3" s="136">
        <f>IF('em16zufall'!BH3="","",'em16zufall'!BH3)</f>
        <v>1</v>
      </c>
      <c r="BI3" s="164" t="str">
        <f>IF('em16zufall'!BI3="","",'em16zufall'!BI3)</f>
        <v>:</v>
      </c>
      <c r="BJ3" s="136">
        <f>IF('em16zufall'!BJ3="","",'em16zufall'!BJ3)</f>
        <v>0</v>
      </c>
      <c r="BK3" s="1" t="str">
        <f>IF('em16zufall'!BK3="","",'em16zufall'!BK3)</f>
        <v>ok</v>
      </c>
      <c r="BL3" s="1">
        <f>IF('em16zufall'!BL3="","",'em16zufall'!BL3)</f>
      </c>
      <c r="BY3" s="2"/>
      <c r="CX3" s="24">
        <f>IF(OR('em16zufall'!BH3="",'em16zufall'!BJ3=""),0,IF(BH3-BJ3='em16zufall'!BH3-'em16zufall'!BJ3,3,IF(OR(AND(BH3-BJ3&gt;4,'em16zufall'!BH3-'em16zufall'!BJ3&gt;4),AND(BJ3-BH3&gt;4,'em16zufall'!BJ3-'em16zufall'!BH3&gt;4)),2,IF(OR(AND(BH3=BJ3,'em16zufall'!BH3='em16zufall'!BJ3),(BH3-BJ3)*('em16zufall'!BH3-'em16zufall'!BJ3)&gt;0),1,0))))+IF(BH3='em16zufall'!BH3,1,0)+IF(BJ3='em16zufall'!BJ3,1,0)</f>
        <v>5</v>
      </c>
      <c r="CY3" s="24" t="str">
        <f>IF('em16zufall'!BK3='em16zufall'!$B$63,'em16zufall'!BK3,"")</f>
        <v>ok</v>
      </c>
      <c r="DA3" s="165" t="s">
        <v>147</v>
      </c>
      <c r="DB3" s="166">
        <f>DB7*DB4</f>
        <v>180</v>
      </c>
    </row>
    <row r="4" spans="1:106" ht="12.75">
      <c r="A4" s="2">
        <f>A3+1</f>
        <v>2</v>
      </c>
      <c r="B4" s="7">
        <f>'em16zufall'!B4</f>
        <v>42532.625</v>
      </c>
      <c r="C4" s="7" t="str">
        <f>'em16zufall'!C4</f>
        <v>Lens</v>
      </c>
      <c r="D4" s="125" t="str">
        <f>IF('em16zufall'!D4="","",'em16zufall'!D4)</f>
        <v>Albanien</v>
      </c>
      <c r="E4" s="125" t="str">
        <f>IF('em16zufall'!E4="","",'em16zufall'!E4)</f>
        <v>-</v>
      </c>
      <c r="F4" s="125" t="str">
        <f>IF('em16zufall'!F4="","",'em16zufall'!F4)</f>
        <v>Schweiz</v>
      </c>
      <c r="G4" s="125">
        <f>IF('em16zufall'!G4="","",'em16zufall'!G4)</f>
      </c>
      <c r="H4" s="136">
        <f>IF('em16zufall'!H4="","",'em16zufall'!H4)</f>
        <v>1</v>
      </c>
      <c r="I4" s="160" t="str">
        <f>IF('em16zufall'!I4="","",'em16zufall'!I4)</f>
        <v>:</v>
      </c>
      <c r="J4" s="136">
        <f>IF('em16zufall'!J4="","",'em16zufall'!J4)</f>
        <v>0</v>
      </c>
      <c r="K4" s="1" t="str">
        <f>IF('em16zufall'!K4="","",'em16zufall'!K4)</f>
        <v>ok</v>
      </c>
      <c r="L4" s="1">
        <f>IF('em16zufall'!L4="","",'em16zufall'!L4)</f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133"/>
      <c r="AX4" s="24">
        <f>IF(OR('em16zufall'!H4="",'em16zufall'!J4=""),0,IF(H4-J4='em16zufall'!H4-'em16zufall'!J4,3,IF(OR(AND(H4-J4&gt;4,'em16zufall'!H4-'em16zufall'!J4&gt;4),AND(J4-H4&gt;4,'em16zufall'!J4-'em16zufall'!H4&gt;4)),2,IF(OR(AND(H4=J4,'em16zufall'!H4='em16zufall'!J4),(H4-J4)*('em16zufall'!H4-'em16zufall'!J4)&gt;0),1,0))))+IF(H4='em16zufall'!H4,1,0)+IF(J4='em16zufall'!J4,1,0)</f>
        <v>5</v>
      </c>
      <c r="AY4" s="24" t="str">
        <f>IF('em16zufall'!K4='em16zufall'!$B$63,'em16zufall'!K4,"")</f>
        <v>ok</v>
      </c>
      <c r="BA4" s="2">
        <v>8</v>
      </c>
      <c r="BB4" s="7">
        <f>'em16zufall'!BB4</f>
        <v>42533.625</v>
      </c>
      <c r="BC4" s="7" t="str">
        <f>'em16zufall'!BC4</f>
        <v>Paris</v>
      </c>
      <c r="BD4" s="125" t="str">
        <f>IF('em16zufall'!BD4="","",'em16zufall'!BD4)</f>
        <v>Türkei</v>
      </c>
      <c r="BE4" s="80" t="str">
        <f>IF('em16zufall'!BE4="","",'em16zufall'!BE4)</f>
        <v>-</v>
      </c>
      <c r="BF4" s="125" t="str">
        <f>IF('em16zufall'!BF4="","",'em16zufall'!BF4)</f>
        <v>Kroatien</v>
      </c>
      <c r="BG4" s="124">
        <f>IF('em16zufall'!BG4="","",'em16zufall'!BG4)</f>
      </c>
      <c r="BH4" s="137">
        <f>IF('em16zufall'!BH4="","",'em16zufall'!BH4)</f>
        <v>1</v>
      </c>
      <c r="BI4" s="164" t="str">
        <f>IF('em16zufall'!BI4="","",'em16zufall'!BI4)</f>
        <v>:</v>
      </c>
      <c r="BJ4" s="136">
        <f>IF('em16zufall'!BJ4="","",'em16zufall'!BJ4)</f>
        <v>0</v>
      </c>
      <c r="BK4" s="1" t="str">
        <f>IF('em16zufall'!BK4="","",'em16zufall'!BK4)</f>
        <v>ok</v>
      </c>
      <c r="BL4" s="1">
        <f>IF('em16zufall'!BL4="","",'em16zufall'!BL4)</f>
      </c>
      <c r="BY4" s="2"/>
      <c r="CX4" s="24">
        <f>IF(OR('em16zufall'!BH4="",'em16zufall'!BJ4=""),0,IF(BH4-BJ4='em16zufall'!BH4-'em16zufall'!BJ4,3,IF(OR(AND(BH4-BJ4&gt;4,'em16zufall'!BH4-'em16zufall'!BJ4&gt;4),AND(BJ4-BH4&gt;4,'em16zufall'!BJ4-'em16zufall'!BH4&gt;4)),2,IF(OR(AND(BH4=BJ4,'em16zufall'!BH4='em16zufall'!BJ4),(BH4-BJ4)*('em16zufall'!BH4-'em16zufall'!BJ4)&gt;0),1,0))))+IF(BH4='em16zufall'!BH4,1,0)+IF(BJ4='em16zufall'!BJ4,1,0)</f>
        <v>5</v>
      </c>
      <c r="CY4" s="24" t="str">
        <f>IF('em16zufall'!BK4='em16zufall'!$B$63,'em16zufall'!BK4,"")</f>
        <v>ok</v>
      </c>
      <c r="DA4" s="167" t="s">
        <v>148</v>
      </c>
      <c r="DB4" s="162">
        <v>5</v>
      </c>
    </row>
    <row r="5" spans="1:106" ht="12.75">
      <c r="A5" s="2">
        <f>A3+12</f>
        <v>13</v>
      </c>
      <c r="B5" s="7">
        <f>'em16zufall'!B5</f>
        <v>42536.875</v>
      </c>
      <c r="C5" s="7" t="str">
        <f>'em16zufall'!C5</f>
        <v>Marseille</v>
      </c>
      <c r="D5" s="125" t="str">
        <f>IF('em16zufall'!D5="","",'em16zufall'!D5)</f>
        <v>Frankreich</v>
      </c>
      <c r="E5" s="125" t="str">
        <f>IF('em16zufall'!E5="","",'em16zufall'!E5)</f>
        <v>-</v>
      </c>
      <c r="F5" s="125" t="str">
        <f>IF('em16zufall'!F5="","",'em16zufall'!F5)</f>
        <v>Albanien</v>
      </c>
      <c r="G5" s="125">
        <f>IF('em16zufall'!G5="","",'em16zufall'!G5)</f>
      </c>
      <c r="H5" s="136">
        <f>IF('em16zufall'!H5="","",'em16zufall'!H5)</f>
        <v>1</v>
      </c>
      <c r="I5" s="160" t="str">
        <f>IF('em16zufall'!I5="","",'em16zufall'!I5)</f>
        <v>:</v>
      </c>
      <c r="J5" s="136">
        <f>IF('em16zufall'!J5="","",'em16zufall'!J5)</f>
        <v>0</v>
      </c>
      <c r="K5" s="1" t="str">
        <f>IF('em16zufall'!K5="","",'em16zufall'!K5)</f>
        <v>ok</v>
      </c>
      <c r="L5" s="1">
        <f>IF('em16zufall'!L5="","",'em16zufall'!L5)</f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33"/>
      <c r="AX5" s="24">
        <f>IF(OR('em16zufall'!H5="",'em16zufall'!J5=""),0,IF(H5-J5='em16zufall'!H5-'em16zufall'!J5,3,IF(OR(AND(H5-J5&gt;4,'em16zufall'!H5-'em16zufall'!J5&gt;4),AND(J5-H5&gt;4,'em16zufall'!J5-'em16zufall'!H5&gt;4)),2,IF(OR(AND(H5=J5,'em16zufall'!H5='em16zufall'!J5),(H5-J5)*('em16zufall'!H5-'em16zufall'!J5)&gt;0),1,0))))+IF(H5='em16zufall'!H5,1,0)+IF(J5='em16zufall'!J5,1,0)</f>
        <v>5</v>
      </c>
      <c r="AY5" s="24" t="str">
        <f>IF('em16zufall'!K5='em16zufall'!$B$63,'em16zufall'!K5,"")</f>
        <v>ok</v>
      </c>
      <c r="BA5" s="2">
        <f>BA3+12</f>
        <v>19</v>
      </c>
      <c r="BB5" s="7">
        <f>'em16zufall'!BB5</f>
        <v>42538.875</v>
      </c>
      <c r="BC5" s="7" t="str">
        <f>'em16zufall'!BC5</f>
        <v>Nizza</v>
      </c>
      <c r="BD5" s="125" t="str">
        <f>IF('em16zufall'!BD5="","",'em16zufall'!BD5)</f>
        <v>Spanien</v>
      </c>
      <c r="BE5" s="80" t="str">
        <f>IF('em16zufall'!BE5="","",'em16zufall'!BE5)</f>
        <v>-</v>
      </c>
      <c r="BF5" s="125" t="str">
        <f>IF('em16zufall'!BF5="","",'em16zufall'!BF5)</f>
        <v>Türkei</v>
      </c>
      <c r="BG5" s="124">
        <f>IF('em16zufall'!BG5="","",'em16zufall'!BG5)</f>
      </c>
      <c r="BH5" s="137">
        <f>IF('em16zufall'!BH5="","",'em16zufall'!BH5)</f>
        <v>1</v>
      </c>
      <c r="BI5" s="164" t="str">
        <f>IF('em16zufall'!BI5="","",'em16zufall'!BI5)</f>
        <v>:</v>
      </c>
      <c r="BJ5" s="136">
        <f>IF('em16zufall'!BJ5="","",'em16zufall'!BJ5)</f>
        <v>0</v>
      </c>
      <c r="BK5" s="1" t="str">
        <f>IF('em16zufall'!BK5="","",'em16zufall'!BK5)</f>
        <v>ok</v>
      </c>
      <c r="BL5" s="1">
        <f>IF('em16zufall'!BL5="","",'em16zufall'!BL5)</f>
      </c>
      <c r="BY5" s="2"/>
      <c r="CX5" s="24">
        <f>IF(OR('em16zufall'!BH5="",'em16zufall'!BJ5=""),0,IF(BH5-BJ5='em16zufall'!BH5-'em16zufall'!BJ5,3,IF(OR(AND(BH5-BJ5&gt;4,'em16zufall'!BH5-'em16zufall'!BJ5&gt;4),AND(BJ5-BH5&gt;4,'em16zufall'!BJ5-'em16zufall'!BH5&gt;4)),2,IF(OR(AND(BH5=BJ5,'em16zufall'!BH5='em16zufall'!BJ5),(BH5-BJ5)*('em16zufall'!BH5-'em16zufall'!BJ5)&gt;0),1,0))))+IF(BH5='em16zufall'!BH5,1,0)+IF(BJ5='em16zufall'!BJ5,1,0)</f>
        <v>5</v>
      </c>
      <c r="CY5" s="24" t="str">
        <f>IF('em16zufall'!BK5='em16zufall'!$B$63,'em16zufall'!BK5,"")</f>
        <v>ok</v>
      </c>
      <c r="DA5" s="167" t="s">
        <v>149</v>
      </c>
      <c r="DB5" s="162">
        <v>3</v>
      </c>
    </row>
    <row r="6" spans="1:106" ht="12.75">
      <c r="A6" s="2">
        <f>A4+12</f>
        <v>14</v>
      </c>
      <c r="B6" s="7">
        <f>'em16zufall'!B6</f>
        <v>42536.75</v>
      </c>
      <c r="C6" s="7" t="str">
        <f>'em16zufall'!C6</f>
        <v>Paris</v>
      </c>
      <c r="D6" s="125" t="str">
        <f>IF('em16zufall'!D6="","",'em16zufall'!D6)</f>
        <v>Rumänien</v>
      </c>
      <c r="E6" s="125" t="str">
        <f>IF('em16zufall'!E6="","",'em16zufall'!E6)</f>
        <v>-</v>
      </c>
      <c r="F6" s="125" t="str">
        <f>IF('em16zufall'!F6="","",'em16zufall'!F6)</f>
        <v>Schweiz</v>
      </c>
      <c r="G6" s="125">
        <f>IF('em16zufall'!G6="","",'em16zufall'!G6)</f>
      </c>
      <c r="H6" s="136">
        <f>IF('em16zufall'!H6="","",'em16zufall'!H6)</f>
        <v>1</v>
      </c>
      <c r="I6" s="160" t="str">
        <f>IF('em16zufall'!I6="","",'em16zufall'!I6)</f>
        <v>:</v>
      </c>
      <c r="J6" s="136">
        <f>IF('em16zufall'!J6="","",'em16zufall'!J6)</f>
        <v>0</v>
      </c>
      <c r="K6" s="1" t="str">
        <f>IF('em16zufall'!K6="","",'em16zufall'!K6)</f>
        <v>ok</v>
      </c>
      <c r="L6" s="1">
        <f>IF('em16zufall'!L6="","",'em16zufall'!L6)</f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33"/>
      <c r="AX6" s="24">
        <f>IF(OR('em16zufall'!H6="",'em16zufall'!J6=""),0,IF(H6-J6='em16zufall'!H6-'em16zufall'!J6,3,IF(OR(AND(H6-J6&gt;4,'em16zufall'!H6-'em16zufall'!J6&gt;4),AND(J6-H6&gt;4,'em16zufall'!J6-'em16zufall'!H6&gt;4)),2,IF(OR(AND(H6=J6,'em16zufall'!H6='em16zufall'!J6),(H6-J6)*('em16zufall'!H6-'em16zufall'!J6)&gt;0),1,0))))+IF(H6='em16zufall'!H6,1,0)+IF(J6='em16zufall'!J6,1,0)</f>
        <v>5</v>
      </c>
      <c r="AY6" s="24" t="str">
        <f>IF('em16zufall'!K6='em16zufall'!$B$63,'em16zufall'!K6,"")</f>
        <v>ok</v>
      </c>
      <c r="BA6" s="2">
        <f>BA4+12</f>
        <v>20</v>
      </c>
      <c r="BB6" s="7">
        <f>'em16zufall'!BB6</f>
        <v>42538.75</v>
      </c>
      <c r="BC6" s="7" t="str">
        <f>'em16zufall'!BC6</f>
        <v>St.Étienne</v>
      </c>
      <c r="BD6" s="125" t="str">
        <f>IF('em16zufall'!BD6="","",'em16zufall'!BD6)</f>
        <v>Tschechien</v>
      </c>
      <c r="BE6" s="80" t="str">
        <f>IF('em16zufall'!BE6="","",'em16zufall'!BE6)</f>
        <v>-</v>
      </c>
      <c r="BF6" s="125" t="str">
        <f>IF('em16zufall'!BF6="","",'em16zufall'!BF6)</f>
        <v>Kroatien</v>
      </c>
      <c r="BG6" s="124">
        <f>IF('em16zufall'!BG6="","",'em16zufall'!BG6)</f>
      </c>
      <c r="BH6" s="137">
        <f>IF('em16zufall'!BH6="","",'em16zufall'!BH6)</f>
        <v>1</v>
      </c>
      <c r="BI6" s="164" t="str">
        <f>IF('em16zufall'!BI6="","",'em16zufall'!BI6)</f>
        <v>:</v>
      </c>
      <c r="BJ6" s="136">
        <f>IF('em16zufall'!BJ6="","",'em16zufall'!BJ6)</f>
        <v>0</v>
      </c>
      <c r="BK6" s="1" t="str">
        <f>IF('em16zufall'!BK6="","",'em16zufall'!BK6)</f>
        <v>ok</v>
      </c>
      <c r="BL6" s="1">
        <f>IF('em16zufall'!BL6="","",'em16zufall'!BL6)</f>
      </c>
      <c r="BM6" s="11">
        <f>IF('em16zufall'!BM6="","",'em16zufall'!BM6)</f>
      </c>
      <c r="BY6" s="2"/>
      <c r="CX6" s="24">
        <f>IF(OR('em16zufall'!BH6="",'em16zufall'!BJ6=""),0,IF(BH6-BJ6='em16zufall'!BH6-'em16zufall'!BJ6,3,IF(OR(AND(BH6-BJ6&gt;4,'em16zufall'!BH6-'em16zufall'!BJ6&gt;4),AND(BJ6-BH6&gt;4,'em16zufall'!BJ6-'em16zufall'!BH6&gt;4)),2,IF(OR(AND(BH6=BJ6,'em16zufall'!BH6='em16zufall'!BJ6),(BH6-BJ6)*('em16zufall'!BH6-'em16zufall'!BJ6)&gt;0),1,0))))+IF(BH6='em16zufall'!BH6,1,0)+IF(BJ6='em16zufall'!BJ6,1,0)</f>
        <v>5</v>
      </c>
      <c r="CY6" s="24" t="str">
        <f>IF('em16zufall'!BK6='em16zufall'!$B$63,'em16zufall'!BK6,"")</f>
        <v>ok</v>
      </c>
      <c r="DA6" s="167" t="s">
        <v>150</v>
      </c>
      <c r="DB6" s="162">
        <v>1</v>
      </c>
    </row>
    <row r="7" spans="1:106" ht="12.75">
      <c r="A7" s="2">
        <f>A5+12</f>
        <v>25</v>
      </c>
      <c r="B7" s="7">
        <f>'em16zufall'!B7</f>
        <v>42540.875</v>
      </c>
      <c r="C7" s="7" t="str">
        <f>'em16zufall'!C7</f>
        <v>Lille</v>
      </c>
      <c r="D7" s="125" t="str">
        <f>IF('em16zufall'!D7="","",'em16zufall'!D7)</f>
        <v>Schweiz</v>
      </c>
      <c r="E7" s="125" t="str">
        <f>IF('em16zufall'!E7="","",'em16zufall'!E7)</f>
        <v>-</v>
      </c>
      <c r="F7" s="125" t="str">
        <f>IF('em16zufall'!F7="","",'em16zufall'!F7)</f>
        <v>Frankreich</v>
      </c>
      <c r="G7" s="125">
        <f>IF('em16zufall'!G7="","",'em16zufall'!G7)</f>
      </c>
      <c r="H7" s="136">
        <f>IF('em16zufall'!H7="","",'em16zufall'!H7)</f>
        <v>1</v>
      </c>
      <c r="I7" s="160" t="s">
        <v>22</v>
      </c>
      <c r="J7" s="136">
        <f>IF('em16zufall'!J7="","",'em16zufall'!J7)</f>
        <v>0</v>
      </c>
      <c r="K7" s="1" t="str">
        <f>IF('em16zufall'!K7="","",'em16zufall'!K7)</f>
        <v>ok</v>
      </c>
      <c r="L7" s="2">
        <f>IF('em16zufall'!L7="","",'em16zufall'!L7)</f>
      </c>
      <c r="M7" s="70" t="str">
        <f>IF('em16zufall'!M7="","",'em16zufall'!M7)</f>
        <v>Frankreich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133"/>
      <c r="AX7" s="24">
        <f>IF(OR('em16zufall'!H7="",'em16zufall'!J7=""),0,IF(H7-J7='em16zufall'!H7-'em16zufall'!J7,3,IF(OR(AND(H7-J7&gt;4,'em16zufall'!H7-'em16zufall'!J7&gt;4),AND(J7-H7&gt;4,'em16zufall'!J7-'em16zufall'!H7&gt;4)),2,IF(OR(AND(H7=J7,'em16zufall'!H7='em16zufall'!J7),(H7-J7)*('em16zufall'!H7-'em16zufall'!J7)&gt;0),1,0))))+IF(H7='em16zufall'!H7,1,0)+IF(J7='em16zufall'!J7,1,0)</f>
        <v>5</v>
      </c>
      <c r="AY7" s="24" t="str">
        <f>IF('em16zufall'!K8='em16zufall'!$B$63,'em16zufall'!K8,"")</f>
        <v>ok</v>
      </c>
      <c r="BA7" s="2">
        <f>BA5+12</f>
        <v>31</v>
      </c>
      <c r="BB7" s="7">
        <f>'em16zufall'!BB7</f>
        <v>42542.875</v>
      </c>
      <c r="BC7" s="7" t="str">
        <f>'em16zufall'!BC7</f>
        <v>Bordeaux</v>
      </c>
      <c r="BD7" s="125" t="str">
        <f>IF('em16zufall'!BD7="","",'em16zufall'!BD7)</f>
        <v>Kroatien</v>
      </c>
      <c r="BE7" s="80" t="str">
        <f>IF('em16zufall'!BE7="","",'em16zufall'!BE7)</f>
        <v>-</v>
      </c>
      <c r="BF7" s="125" t="str">
        <f>IF('em16zufall'!BF7="","",'em16zufall'!BF7)</f>
        <v>Spanien</v>
      </c>
      <c r="BG7" s="123">
        <f>IF('em16zufall'!BG7="","",'em16zufall'!BG7)</f>
      </c>
      <c r="BH7" s="136">
        <f>IF('em16zufall'!BH7="","",'em16zufall'!BH7)</f>
        <v>1</v>
      </c>
      <c r="BI7" s="126" t="str">
        <f>IF('em16zufall'!BI7="","",'em16zufall'!BI7)</f>
        <v>:</v>
      </c>
      <c r="BJ7" s="137">
        <f>IF('em16zufall'!BJ7="","",'em16zufall'!BJ7)</f>
        <v>0</v>
      </c>
      <c r="BK7" s="1" t="str">
        <f>IF('em16zufall'!BK8="","",'em16zufall'!BK8)</f>
        <v>ok</v>
      </c>
      <c r="BL7" s="2">
        <f>IF('em16zufall'!BL7="","",'em16zufall'!BL7)</f>
      </c>
      <c r="BM7" s="155" t="str">
        <f>IF('em16zufall'!BM7="","",'em16zufall'!BM7)</f>
        <v>Spanien</v>
      </c>
      <c r="BY7" s="2"/>
      <c r="CX7" s="24">
        <f>IF(OR('em16zufall'!BH7="",'em16zufall'!BJ7=""),0,IF(BH7-BJ7='em16zufall'!BH7-'em16zufall'!BJ7,3,IF(OR(AND(BH7-BJ7&gt;4,'em16zufall'!BH7-'em16zufall'!BJ7&gt;4),AND(BJ7-BH7&gt;4,'em16zufall'!BJ7-'em16zufall'!BH7&gt;4)),2,IF(OR(AND(BH7=BJ7,'em16zufall'!BH7='em16zufall'!BJ7),(BH7-BJ7)*('em16zufall'!BH7-'em16zufall'!BJ7)&gt;0),1,0))))+IF(BH7='em16zufall'!BH7,1,0)+IF(BJ7='em16zufall'!BJ7,1,0)</f>
        <v>5</v>
      </c>
      <c r="CY7" s="24" t="str">
        <f>IF('em16zufall'!BK8='em16zufall'!$B$63,'em16zufall'!BK8,"")</f>
        <v>ok</v>
      </c>
      <c r="DA7" s="168" t="s">
        <v>151</v>
      </c>
      <c r="DB7" s="169">
        <v>36</v>
      </c>
    </row>
    <row r="8" spans="1:106" ht="12.75">
      <c r="A8" s="2">
        <f>A6+12</f>
        <v>26</v>
      </c>
      <c r="B8" s="7">
        <f>'em16zufall'!B8</f>
        <v>42540.875</v>
      </c>
      <c r="C8" s="7" t="str">
        <f>'em16zufall'!C8</f>
        <v>Lyon</v>
      </c>
      <c r="D8" s="125" t="str">
        <f>IF('em16zufall'!D8="","",'em16zufall'!D8)</f>
        <v>Rumänien</v>
      </c>
      <c r="E8" s="125" t="str">
        <f>IF('em16zufall'!E8="","",'em16zufall'!E8)</f>
        <v>-</v>
      </c>
      <c r="F8" s="125" t="str">
        <f>IF('em16zufall'!F8="","",'em16zufall'!F8)</f>
        <v>Albanien</v>
      </c>
      <c r="G8" s="125">
        <f>IF('em16zufall'!G8="","",'em16zufall'!G8)</f>
      </c>
      <c r="H8" s="136">
        <f>IF('em16zufall'!H8="","",'em16zufall'!H8)</f>
        <v>1</v>
      </c>
      <c r="I8" s="160" t="str">
        <f>IF('em16zufall'!I8="","",'em16zufall'!I8)</f>
        <v>:</v>
      </c>
      <c r="J8" s="136">
        <f>IF('em16zufall'!J8="","",'em16zufall'!J8)</f>
        <v>0</v>
      </c>
      <c r="K8" s="1" t="str">
        <f>IF('em16zufall'!K8="","",'em16zufall'!K8)</f>
        <v>ok</v>
      </c>
      <c r="L8" s="2">
        <f>IF('em16zufall'!L8="","",'em16zufall'!L8)</f>
      </c>
      <c r="M8" s="70" t="str">
        <f>IF('em16zufall'!M8="","",'em16zufall'!M8)</f>
        <v>Rumänien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133"/>
      <c r="AX8" s="24">
        <f>IF(OR('em16zufall'!H8="",'em16zufall'!J8=""),0,IF(H8-J8='em16zufall'!H8-'em16zufall'!J8,3,IF(OR(AND(H8-J8&gt;4,'em16zufall'!H8-'em16zufall'!J8&gt;4),AND(J8-H8&gt;4,'em16zufall'!J8-'em16zufall'!H8&gt;4)),2,IF(OR(AND(H8=J8,'em16zufall'!H8='em16zufall'!J8),(H8-J8)*('em16zufall'!H8-'em16zufall'!J8)&gt;0),1,0))))+IF(H8='em16zufall'!H8,1,0)+IF(J8='em16zufall'!J8,1,0)</f>
        <v>5</v>
      </c>
      <c r="AY8" s="24" t="str">
        <f>IF('em16zufall'!K7='em16zufall'!$B$63,'em16zufall'!K7,"")</f>
        <v>ok</v>
      </c>
      <c r="BA8" s="2">
        <f>BA6+12</f>
        <v>32</v>
      </c>
      <c r="BB8" s="7">
        <f>'em16zufall'!BB8</f>
        <v>42542.875</v>
      </c>
      <c r="BC8" s="7" t="str">
        <f>'em16zufall'!BC8</f>
        <v>Lens</v>
      </c>
      <c r="BD8" s="125" t="str">
        <f>IF('em16zufall'!BD8="","",'em16zufall'!BD8)</f>
        <v>Tschechien</v>
      </c>
      <c r="BE8" s="80" t="str">
        <f>IF('em16zufall'!BE8="","",'em16zufall'!BE8)</f>
        <v>-</v>
      </c>
      <c r="BF8" s="125" t="str">
        <f>IF('em16zufall'!BF8="","",'em16zufall'!BF8)</f>
        <v>Türkei</v>
      </c>
      <c r="BG8" s="123">
        <f>IF('em16zufall'!BG8="","",'em16zufall'!BG8)</f>
      </c>
      <c r="BH8" s="137">
        <f>IF('em16zufall'!BH8="","",'em16zufall'!BH8)</f>
        <v>1</v>
      </c>
      <c r="BI8" s="164" t="str">
        <f>IF('em16zufall'!BI8="","",'em16zufall'!BI8)</f>
        <v>:</v>
      </c>
      <c r="BJ8" s="137">
        <f>IF('em16zufall'!BJ8="","",'em16zufall'!BJ8)</f>
        <v>0</v>
      </c>
      <c r="BK8" s="1" t="str">
        <f>IF('em16zufall'!BK7="","",'em16zufall'!BK7)</f>
        <v>ok</v>
      </c>
      <c r="BL8" s="2">
        <f>IF('em16zufall'!BL8="","",'em16zufall'!BL8)</f>
      </c>
      <c r="BM8" s="155" t="str">
        <f>IF('em16zufall'!BM8="","",'em16zufall'!BM8)</f>
        <v>Tschechien</v>
      </c>
      <c r="BY8" s="2"/>
      <c r="CX8" s="24">
        <f>IF(OR('em16zufall'!BH8="",'em16zufall'!BJ8=""),0,IF(BH8-BJ8='em16zufall'!BH8-'em16zufall'!BJ8,3,IF(OR(AND(BH8-BJ8&gt;4,'em16zufall'!BH8-'em16zufall'!BJ8&gt;4),AND(BJ8-BH8&gt;4,'em16zufall'!BJ8-'em16zufall'!BH8&gt;4)),2,IF(OR(AND(BH8=BJ8,'em16zufall'!BH8='em16zufall'!BJ8),(BH8-BJ8)*('em16zufall'!BH8-'em16zufall'!BJ8)&gt;0),1,0))))+IF(BH8='em16zufall'!BH8,1,0)+IF(BJ8='em16zufall'!BJ8,1,0)</f>
        <v>5</v>
      </c>
      <c r="CY8" s="24" t="str">
        <f>IF('em16zufall'!BK7='em16zufall'!$B$63,'em16zufall'!BK7,"")</f>
        <v>ok</v>
      </c>
      <c r="DA8" s="161"/>
      <c r="DB8" s="162"/>
    </row>
    <row r="9" spans="4:103" ht="12.75">
      <c r="D9" s="125"/>
      <c r="E9" s="125"/>
      <c r="F9" s="125"/>
      <c r="G9" s="125"/>
      <c r="H9" s="125"/>
      <c r="I9" s="125"/>
      <c r="J9" s="125"/>
      <c r="L9" s="2">
        <f>IF('em16zufall'!L9="","",'em16zufall'!L9)</f>
      </c>
      <c r="M9" s="70" t="str">
        <f>IF('em16zufall'!M9="","",'em16zufall'!M9)</f>
        <v>Albanien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33"/>
      <c r="AX9" s="50">
        <f>IF(OR($CX$62="",MOD(SUM($H$3:$J$59)+SUM($BH$3:$BJ$61),3)=0),IF(M9="",0,COUNTIF('em16zufall'!$D$48:'em16zufall'!$F$55,M9)),0)</f>
        <v>1</v>
      </c>
      <c r="AY9" s="24" t="str">
        <f>IF(COUNTIF('em16zufall'!K3:'em16zufall'!K8,'em16zufall'!$B$63)=6,"ok","")</f>
        <v>ok</v>
      </c>
      <c r="BD9" s="123">
        <f>IF('em16zufall'!BD9="","",'em16zufall'!BD9)</f>
      </c>
      <c r="BE9" s="123">
        <f>IF('em16zufall'!BE9="","",'em16zufall'!BE9)</f>
      </c>
      <c r="BF9" s="123">
        <f>IF('em16zufall'!BF9="","",'em16zufall'!BF9)</f>
      </c>
      <c r="BG9" s="123">
        <f>IF('em16zufall'!BG9="","",'em16zufall'!BG9)</f>
      </c>
      <c r="BL9" s="2">
        <f>IF('em16zufall'!BL9="","",'em16zufall'!BL9)</f>
      </c>
      <c r="BM9" s="155" t="str">
        <f>IF('em16zufall'!BM9="","",'em16zufall'!BM9)</f>
        <v>Türkei</v>
      </c>
      <c r="BY9" s="2"/>
      <c r="CX9" s="156">
        <f>IF(OR($CX$62="",MOD(SUM($H$3:$J$59)+SUM($BH$3:$BJ$61),3)=0),IF(BM9="",0,COUNTIF('em16zufall'!$D$48:'em16zufall'!$F$55,BM9)),0)</f>
        <v>1</v>
      </c>
      <c r="CY9" s="24" t="str">
        <f>IF(COUNTIF('em16zufall'!BK3:'em16zufall'!BK8,'em16zufall'!$B$63)=6,"ok","")</f>
        <v>ok</v>
      </c>
    </row>
    <row r="10" spans="4:77" ht="6" customHeight="1">
      <c r="D10" s="125"/>
      <c r="E10" s="125"/>
      <c r="F10" s="125"/>
      <c r="G10" s="125"/>
      <c r="H10" s="125"/>
      <c r="I10" s="125"/>
      <c r="J10" s="125"/>
      <c r="L10" s="2">
        <f>IF('em16zufall'!L10="","",'em16zufall'!L10)</f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133"/>
      <c r="AX10" s="24"/>
      <c r="BD10" s="123">
        <f>IF('em16zufall'!BD10="","",'em16zufall'!BD10)</f>
      </c>
      <c r="BE10" s="126">
        <f>IF('em16zufall'!BE10="","",'em16zufall'!BE10)</f>
      </c>
      <c r="BF10" s="128">
        <f>IF('em16zufall'!BF10="","",'em16zufall'!BF10)</f>
      </c>
      <c r="BG10" s="128">
        <f>IF('em16zufall'!BG10="","",'em16zufall'!BG10)</f>
      </c>
      <c r="BH10" s="123"/>
      <c r="BI10" s="123"/>
      <c r="BJ10" s="123"/>
      <c r="BL10" s="2">
        <f>IF('em16zufall'!BL10="","",'em16zufall'!BL10)</f>
      </c>
      <c r="BY10" s="2"/>
    </row>
    <row r="11" spans="2:106" s="12" customFormat="1" ht="12.75">
      <c r="B11" s="62" t="s">
        <v>0</v>
      </c>
      <c r="C11" s="63" t="s">
        <v>26</v>
      </c>
      <c r="D11" s="125"/>
      <c r="E11" s="125"/>
      <c r="F11" s="125"/>
      <c r="G11" s="125"/>
      <c r="H11" s="125"/>
      <c r="I11" s="125"/>
      <c r="J11" s="125"/>
      <c r="K11" s="1"/>
      <c r="L11" s="24">
        <f>IF('em16zufall'!L11="","",'em16zufall'!L11)</f>
      </c>
      <c r="M11" s="6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127"/>
      <c r="AX11" s="62">
        <f>IF(OR($CX$62="",MOD(SUM($H$3:$J$59)+SUM($BH$3:$BJ$61),3)=0),IF(M17="",0,COUNTIF('em16zufall'!$D$48:'em16zufall'!$F$55,M17)),0)</f>
        <v>1</v>
      </c>
      <c r="AY11" s="24" t="str">
        <f>IF(COUNTIF('em16zufall'!K13:'em16zufall'!K18,'em16zufall'!$B$63)=6,"ok","")</f>
        <v>ok</v>
      </c>
      <c r="AZ11" s="128"/>
      <c r="BB11" s="25" t="s">
        <v>0</v>
      </c>
      <c r="BC11" s="74" t="s">
        <v>35</v>
      </c>
      <c r="BD11" s="124" t="str">
        <f>IF('em16zufall'!BD11="","",'em16zufall'!BD11)</f>
        <v> </v>
      </c>
      <c r="BE11" s="142">
        <f>IF('em16zufall'!BE11="","",'em16zufall'!BE11)</f>
      </c>
      <c r="BF11" s="124">
        <f>IF('em16zufall'!BF11="","",'em16zufall'!BF11)</f>
      </c>
      <c r="BG11" s="124">
        <f>IF('em16zufall'!BG11="","",'em16zufall'!BG11)</f>
      </c>
      <c r="BH11" s="160"/>
      <c r="BI11" s="124"/>
      <c r="BJ11" s="160"/>
      <c r="BK11" s="1"/>
      <c r="BL11" s="24">
        <f>IF('em16zufall'!BL11="","",'em16zufall'!BL11)</f>
      </c>
      <c r="BM11" s="69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X11" s="25">
        <f>IF(OR($CX$62="",MOD(SUM($H$3:$J$59)+SUM($BH$3:$BJ$61),3)=0),IF(BM17="",0,COUNTIF('em16zufall'!$D$48:'em16zufall'!$F$55,BM17)),0)</f>
        <v>1</v>
      </c>
      <c r="CY11" s="24" t="str">
        <f>IF(COUNTIF('em16zufall'!BK13:'em16zufall'!BK18,'em16zufall'!$B$63)=6,"ok","")</f>
        <v>ok</v>
      </c>
      <c r="DA11" s="165" t="s">
        <v>152</v>
      </c>
      <c r="DB11" s="166">
        <f>DB13*DB12</f>
        <v>16</v>
      </c>
    </row>
    <row r="12" spans="2:106" ht="12.75">
      <c r="B12" s="3" t="s">
        <v>19</v>
      </c>
      <c r="C12" s="3" t="s">
        <v>20</v>
      </c>
      <c r="D12" s="125"/>
      <c r="E12" s="125"/>
      <c r="F12" s="125"/>
      <c r="G12" s="125"/>
      <c r="H12" s="125"/>
      <c r="I12" s="125"/>
      <c r="J12" s="125"/>
      <c r="L12" s="1">
        <f>IF('em16zufall'!L12="","",'em16zufall'!L12)</f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33"/>
      <c r="AX12" s="62">
        <f>IF(OR($CX$62="",MOD(SUM($H$3:$J$59)+SUM($BH$3:$BJ$61),3)=0),IF(M18="",0,COUNTIF('em16zufall'!$D$48:'em16zufall'!$F$55,M18)),0)</f>
        <v>1</v>
      </c>
      <c r="AY12" s="24" t="str">
        <f>IF(COUNTIF('em16zufall'!K13:'em16zufall'!K18,'em16zufall'!$B$63)=6,"ok","")</f>
        <v>ok</v>
      </c>
      <c r="BB12" s="3" t="s">
        <v>19</v>
      </c>
      <c r="BC12" s="3" t="s">
        <v>20</v>
      </c>
      <c r="BD12" s="123">
        <f>IF('em16zufall'!BD12="","",'em16zufall'!BD12)</f>
      </c>
      <c r="BE12" s="123">
        <f>IF('em16zufall'!BE12="","",'em16zufall'!BE12)</f>
      </c>
      <c r="BF12" s="123">
        <f>IF('em16zufall'!BF12="","",'em16zufall'!BF12)</f>
      </c>
      <c r="BG12" s="123">
        <f>IF('em16zufall'!BG12="","",'em16zufall'!BG12)</f>
      </c>
      <c r="BL12" s="1">
        <f>IF('em16zufall'!BL12="","",'em16zufall'!BL12)</f>
      </c>
      <c r="BY12" s="2"/>
      <c r="CX12" s="25">
        <f>IF(OR($CX$62="",MOD(SUM($H$3:$J$59)+SUM($BH$3:$BJ$61),3)=0),IF(BM18="",0,COUNTIF('em16zufall'!$D$48:'em16zufall'!$F$55,BM18)),0)</f>
        <v>1</v>
      </c>
      <c r="CY12" s="24" t="str">
        <f>IF(COUNTIF('em16zufall'!BK13:'em16zufall'!BK18,'em16zufall'!$B$63)=6,"ok","")</f>
        <v>ok</v>
      </c>
      <c r="DA12" s="161" t="s">
        <v>153</v>
      </c>
      <c r="DB12" s="162">
        <v>1</v>
      </c>
    </row>
    <row r="13" spans="1:106" ht="12.75">
      <c r="A13" s="2">
        <v>3</v>
      </c>
      <c r="B13" s="7">
        <f>'em16zufall'!B13</f>
        <v>42532.875</v>
      </c>
      <c r="C13" s="7" t="str">
        <f>'em16zufall'!C13</f>
        <v>Marseille</v>
      </c>
      <c r="D13" s="125" t="str">
        <f>IF('em16zufall'!D13="","",'em16zufall'!D13)</f>
        <v>England</v>
      </c>
      <c r="E13" s="125" t="str">
        <f>IF('em16zufall'!E13="","",'em16zufall'!E13)</f>
        <v>-</v>
      </c>
      <c r="F13" s="125" t="str">
        <f>IF('em16zufall'!F13="","",'em16zufall'!F13)</f>
        <v>Russland</v>
      </c>
      <c r="G13" s="125">
        <f>IF('em16zufall'!G13="","",'em16zufall'!G13)</f>
      </c>
      <c r="H13" s="136">
        <f>IF('em16zufall'!H13="","",'em16zufall'!H13)</f>
        <v>1</v>
      </c>
      <c r="I13" s="160" t="str">
        <f>IF('em16zufall'!I13="","",'em16zufall'!I13)</f>
        <v>:</v>
      </c>
      <c r="J13" s="136">
        <f>IF('em16zufall'!J13="","",'em16zufall'!J13)</f>
        <v>0</v>
      </c>
      <c r="K13" s="1" t="str">
        <f>IF('em16zufall'!K13="","",'em16zufall'!K13)</f>
        <v>ok</v>
      </c>
      <c r="L13" s="1">
        <f>IF('em16zufall'!L13="","",'em16zufall'!L13)</f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33"/>
      <c r="AX13" s="24">
        <f>IF(OR('em16zufall'!H13="",'em16zufall'!J13=""),0,IF(H13-J13='em16zufall'!H13-'em16zufall'!J13,3,IF(OR(AND(H13-J13&gt;4,'em16zufall'!H13-'em16zufall'!J13&gt;4),AND(J13-H13&gt;4,'em16zufall'!J13-'em16zufall'!H13&gt;4)),2,IF(OR(AND(H13=J13,'em16zufall'!H13='em16zufall'!J13),(H13-J13)*('em16zufall'!H13-'em16zufall'!J13)&gt;0),1,0))))+IF(H13='em16zufall'!H13,1,0)+IF(J13='em16zufall'!J13,1,0)</f>
        <v>5</v>
      </c>
      <c r="AY13" s="24" t="str">
        <f>IF('em16zufall'!K13='em16zufall'!$B$63,'em16zufall'!K13,"")</f>
        <v>ok</v>
      </c>
      <c r="BA13" s="2">
        <v>9</v>
      </c>
      <c r="BB13" s="7">
        <f>'em16zufall'!BB13</f>
        <v>42534.875</v>
      </c>
      <c r="BC13" s="7" t="str">
        <f>'em16zufall'!BC13</f>
        <v>Lyon</v>
      </c>
      <c r="BD13" s="125" t="str">
        <f>IF('em16zufall'!BD13="","",'em16zufall'!BD13)</f>
        <v>Belgien</v>
      </c>
      <c r="BE13" s="80" t="str">
        <f>IF('em16zufall'!BE13="","",'em16zufall'!BE13)</f>
        <v>-</v>
      </c>
      <c r="BF13" s="125" t="str">
        <f>IF('em16zufall'!BF13="","",'em16zufall'!BF13)</f>
        <v>Italien</v>
      </c>
      <c r="BG13" s="124">
        <f>IF('em16zufall'!BG13="","",'em16zufall'!BG13)</f>
      </c>
      <c r="BH13" s="136">
        <f>IF('em16zufall'!BH13="","",'em16zufall'!BH13)</f>
        <v>1</v>
      </c>
      <c r="BI13" s="164" t="str">
        <f>IF('em16zufall'!BI13="","",'em16zufall'!BI13)</f>
        <v>:</v>
      </c>
      <c r="BJ13" s="136">
        <f>IF('em16zufall'!BJ13="","",'em16zufall'!BJ13)</f>
        <v>0</v>
      </c>
      <c r="BK13" s="1" t="str">
        <f>IF('em16zufall'!BK13="","",'em16zufall'!BK13)</f>
        <v>ok</v>
      </c>
      <c r="BL13" s="1">
        <f>IF('em16zufall'!BL13="","",'em16zufall'!BL13)</f>
      </c>
      <c r="BY13" s="2"/>
      <c r="CX13" s="24">
        <f>IF(OR('em16zufall'!BH13="",'em16zufall'!BJ13=""),0,IF(BH13-BJ13='em16zufall'!BH13-'em16zufall'!BJ13,3,IF(OR(AND(BH13-BJ13&gt;4,'em16zufall'!BH13-'em16zufall'!BJ13&gt;4),AND(BJ13-BH13&gt;4,'em16zufall'!BJ13-'em16zufall'!BH13&gt;4)),2,IF(OR(AND(BH13=BJ13,'em16zufall'!BH13='em16zufall'!BJ13),(BH13-BJ13)*('em16zufall'!BH13-'em16zufall'!BJ13)&gt;0),1,0))))+IF(BH13='em16zufall'!BH13,1,0)+IF(BJ13='em16zufall'!BJ13,1,0)</f>
        <v>5</v>
      </c>
      <c r="CY13" s="24" t="str">
        <f>IF('em16zufall'!BK13='em16zufall'!$B$63,'em16zufall'!BK13,"")</f>
        <v>ok</v>
      </c>
      <c r="DA13" s="170" t="s">
        <v>154</v>
      </c>
      <c r="DB13" s="169">
        <v>16</v>
      </c>
    </row>
    <row r="14" spans="1:106" ht="12.75">
      <c r="A14" s="2">
        <v>4</v>
      </c>
      <c r="B14" s="7">
        <f>'em16zufall'!B14</f>
        <v>42532.75</v>
      </c>
      <c r="C14" s="7" t="str">
        <f>'em16zufall'!C14</f>
        <v>Bordeaux</v>
      </c>
      <c r="D14" s="125" t="str">
        <f>IF('em16zufall'!D14="","",'em16zufall'!D14)</f>
        <v>Wales</v>
      </c>
      <c r="E14" s="125" t="str">
        <f>IF('em16zufall'!E14="","",'em16zufall'!E14)</f>
        <v>-</v>
      </c>
      <c r="F14" s="125" t="str">
        <f>IF('em16zufall'!F14="","",'em16zufall'!F14)</f>
        <v>Slowakei</v>
      </c>
      <c r="G14" s="125">
        <f>IF('em16zufall'!G14="","",'em16zufall'!G14)</f>
      </c>
      <c r="H14" s="136">
        <f>IF('em16zufall'!H14="","",'em16zufall'!H14)</f>
        <v>1</v>
      </c>
      <c r="I14" s="160" t="str">
        <f>IF('em16zufall'!I14="","",'em16zufall'!I14)</f>
        <v>:</v>
      </c>
      <c r="J14" s="136">
        <f>IF('em16zufall'!J14="","",'em16zufall'!J14)</f>
        <v>0</v>
      </c>
      <c r="K14" s="1" t="str">
        <f>IF('em16zufall'!K14="","",'em16zufall'!K14)</f>
        <v>ok</v>
      </c>
      <c r="L14" s="1">
        <f>IF('em16zufall'!L14="","",'em16zufall'!L14)</f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33"/>
      <c r="AX14" s="24">
        <f>IF(OR('em16zufall'!H14="",'em16zufall'!J14=""),0,IF(H14-J14='em16zufall'!H14-'em16zufall'!J14,3,IF(OR(AND(H14-J14&gt;4,'em16zufall'!H14-'em16zufall'!J14&gt;4),AND(J14-H14&gt;4,'em16zufall'!J14-'em16zufall'!H14&gt;4)),2,IF(OR(AND(H14=J14,'em16zufall'!H14='em16zufall'!J14),(H14-J14)*('em16zufall'!H14-'em16zufall'!J14)&gt;0),1,0))))+IF(H14='em16zufall'!H14,1,0)+IF(J14='em16zufall'!J14,1,0)</f>
        <v>5</v>
      </c>
      <c r="AY14" s="24" t="str">
        <f>IF('em16zufall'!K14='em16zufall'!$B$63,'em16zufall'!K14,"")</f>
        <v>ok</v>
      </c>
      <c r="BA14" s="2">
        <v>10</v>
      </c>
      <c r="BB14" s="7">
        <f>'em16zufall'!BB14</f>
        <v>42534.75</v>
      </c>
      <c r="BC14" s="7" t="str">
        <f>'em16zufall'!BC14</f>
        <v>Paris St.Denis</v>
      </c>
      <c r="BD14" s="125" t="str">
        <f>IF('em16zufall'!BD14="","",'em16zufall'!BD14)</f>
        <v>Irland</v>
      </c>
      <c r="BE14" s="80" t="str">
        <f>IF('em16zufall'!BE14="","",'em16zufall'!BE14)</f>
        <v>-</v>
      </c>
      <c r="BF14" s="125" t="str">
        <f>IF('em16zufall'!BF14="","",'em16zufall'!BF14)</f>
        <v>Schweden</v>
      </c>
      <c r="BG14" s="124">
        <f>IF('em16zufall'!BG14="","",'em16zufall'!BG14)</f>
      </c>
      <c r="BH14" s="137">
        <f>IF('em16zufall'!BH14="","",'em16zufall'!BH14)</f>
        <v>1</v>
      </c>
      <c r="BI14" s="164" t="str">
        <f>IF('em16zufall'!BI14="","",'em16zufall'!BI14)</f>
        <v>:</v>
      </c>
      <c r="BJ14" s="136">
        <f>IF('em16zufall'!BJ14="","",'em16zufall'!BJ14)</f>
        <v>0</v>
      </c>
      <c r="BK14" s="1" t="str">
        <f>IF('em16zufall'!BK14="","",'em16zufall'!BK14)</f>
        <v>ok</v>
      </c>
      <c r="BL14" s="1">
        <f>IF('em16zufall'!BL14="","",'em16zufall'!BL14)</f>
      </c>
      <c r="BY14" s="2"/>
      <c r="CX14" s="24">
        <f>IF(OR('em16zufall'!BH14="",'em16zufall'!BJ14=""),0,IF(BH14-BJ14='em16zufall'!BH14-'em16zufall'!BJ14,3,IF(OR(AND(BH14-BJ14&gt;4,'em16zufall'!BH14-'em16zufall'!BJ14&gt;4),AND(BJ14-BH14&gt;4,'em16zufall'!BJ14-'em16zufall'!BH14&gt;4)),2,IF(OR(AND(BH14=BJ14,'em16zufall'!BH14='em16zufall'!BJ14),(BH14-BJ14)*('em16zufall'!BH14-'em16zufall'!BJ14)&gt;0),1,0))))+IF(BH14='em16zufall'!BH14,1,0)+IF(BJ14='em16zufall'!BJ14,1,0)</f>
        <v>5</v>
      </c>
      <c r="CY14" s="24" t="str">
        <f>IF('em16zufall'!BK14='em16zufall'!$B$63,'em16zufall'!BK14,"")</f>
        <v>ok</v>
      </c>
      <c r="DA14" s="161"/>
      <c r="DB14" s="162"/>
    </row>
    <row r="15" spans="1:106" ht="12.75">
      <c r="A15" s="2">
        <f>A13+12</f>
        <v>15</v>
      </c>
      <c r="B15" s="7">
        <f>'em16zufall'!B15</f>
        <v>42537.625</v>
      </c>
      <c r="C15" s="7" t="str">
        <f>'em16zufall'!C15</f>
        <v>Lens</v>
      </c>
      <c r="D15" s="125" t="str">
        <f>IF('em16zufall'!D15="","",'em16zufall'!D15)</f>
        <v>England</v>
      </c>
      <c r="E15" s="125" t="str">
        <f>IF('em16zufall'!E15="","",'em16zufall'!E15)</f>
        <v>-</v>
      </c>
      <c r="F15" s="125" t="str">
        <f>IF('em16zufall'!F15="","",'em16zufall'!F15)</f>
        <v>Wales</v>
      </c>
      <c r="G15" s="125">
        <f>IF('em16zufall'!G15="","",'em16zufall'!G15)</f>
      </c>
      <c r="H15" s="136">
        <f>IF('em16zufall'!H15="","",'em16zufall'!H15)</f>
        <v>1</v>
      </c>
      <c r="I15" s="160" t="str">
        <f>IF('em16zufall'!I15="","",'em16zufall'!I15)</f>
        <v>:</v>
      </c>
      <c r="J15" s="136">
        <f>IF('em16zufall'!J15="","",'em16zufall'!J15)</f>
        <v>0</v>
      </c>
      <c r="K15" s="1" t="str">
        <f>IF('em16zufall'!K15="","",'em16zufall'!K15)</f>
        <v>ok</v>
      </c>
      <c r="L15" s="1">
        <f>IF('em16zufall'!L15="","",'em16zufall'!L15)</f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33"/>
      <c r="AX15" s="24">
        <f>IF(OR('em16zufall'!H15="",'em16zufall'!J15=""),0,IF(H15-J15='em16zufall'!H15-'em16zufall'!J15,3,IF(OR(AND(H15-J15&gt;4,'em16zufall'!H15-'em16zufall'!J15&gt;4),AND(J15-H15&gt;4,'em16zufall'!J15-'em16zufall'!H15&gt;4)),2,IF(OR(AND(H15=J15,'em16zufall'!H15='em16zufall'!J15),(H15-J15)*('em16zufall'!H15-'em16zufall'!J15)&gt;0),1,0))))+IF(H15='em16zufall'!H15,1,0)+IF(J15='em16zufall'!J15,1,0)</f>
        <v>5</v>
      </c>
      <c r="AY15" s="24" t="str">
        <f>IF('em16zufall'!K15='em16zufall'!$B$63,'em16zufall'!K15,"")</f>
        <v>ok</v>
      </c>
      <c r="BA15" s="2">
        <f>BA13+12</f>
        <v>21</v>
      </c>
      <c r="BB15" s="7">
        <f>'em16zufall'!BB15</f>
        <v>42539.625</v>
      </c>
      <c r="BC15" s="7" t="str">
        <f>'em16zufall'!BC15</f>
        <v>Bordeaux</v>
      </c>
      <c r="BD15" s="125" t="str">
        <f>IF('em16zufall'!BD15="","",'em16zufall'!BD15)</f>
        <v>Belgien</v>
      </c>
      <c r="BE15" s="80" t="str">
        <f>IF('em16zufall'!BE15="","",'em16zufall'!BE15)</f>
        <v>-</v>
      </c>
      <c r="BF15" s="125" t="str">
        <f>IF('em16zufall'!BF15="","",'em16zufall'!BF15)</f>
        <v>Irland</v>
      </c>
      <c r="BG15" s="124">
        <f>IF('em16zufall'!BG15="","",'em16zufall'!BG15)</f>
      </c>
      <c r="BH15" s="137">
        <f>IF('em16zufall'!BH15="","",'em16zufall'!BH15)</f>
        <v>1</v>
      </c>
      <c r="BI15" s="164" t="str">
        <f>IF('em16zufall'!BI15="","",'em16zufall'!BI15)</f>
        <v>:</v>
      </c>
      <c r="BJ15" s="136">
        <f>IF('em16zufall'!BJ15="","",'em16zufall'!BJ15)</f>
        <v>0</v>
      </c>
      <c r="BK15" s="1" t="str">
        <f>IF('em16zufall'!BK15="","",'em16zufall'!BK15)</f>
        <v>ok</v>
      </c>
      <c r="BL15" s="1">
        <f>IF('em16zufall'!BL15="","",'em16zufall'!BL15)</f>
      </c>
      <c r="BY15" s="2"/>
      <c r="CX15" s="24">
        <f>IF(OR('em16zufall'!BH15="",'em16zufall'!BJ15=""),0,IF(BH15-BJ15='em16zufall'!BH15-'em16zufall'!BJ15,3,IF(OR(AND(BH15-BJ15&gt;4,'em16zufall'!BH15-'em16zufall'!BJ15&gt;4),AND(BJ15-BH15&gt;4,'em16zufall'!BJ15-'em16zufall'!BH15&gt;4)),2,IF(OR(AND(BH15=BJ15,'em16zufall'!BH15='em16zufall'!BJ15),(BH15-BJ15)*('em16zufall'!BH15-'em16zufall'!BJ15)&gt;0),1,0))))+IF(BH15='em16zufall'!BH15,1,0)+IF(BJ15='em16zufall'!BJ15,1,0)</f>
        <v>5</v>
      </c>
      <c r="CY15" s="24" t="str">
        <f>IF('em16zufall'!BK15='em16zufall'!$B$63,'em16zufall'!BK15,"")</f>
        <v>ok</v>
      </c>
      <c r="DA15" s="171" t="s">
        <v>155</v>
      </c>
      <c r="DB15" s="166">
        <f>DB18*(DB17+2*DB16)</f>
        <v>40</v>
      </c>
    </row>
    <row r="16" spans="1:106" ht="12.75">
      <c r="A16" s="2">
        <f>A14+12</f>
        <v>16</v>
      </c>
      <c r="B16" s="7">
        <f>'em16zufall'!B16</f>
        <v>42536.625</v>
      </c>
      <c r="C16" s="7" t="str">
        <f>'em16zufall'!C16</f>
        <v>Lille</v>
      </c>
      <c r="D16" s="125" t="str">
        <f>IF('em16zufall'!D16="","",'em16zufall'!D16)</f>
        <v>Russland</v>
      </c>
      <c r="E16" s="125" t="str">
        <f>IF('em16zufall'!E16="","",'em16zufall'!E16)</f>
        <v>-</v>
      </c>
      <c r="F16" s="125" t="str">
        <f>IF('em16zufall'!F16="","",'em16zufall'!F16)</f>
        <v>Slowakei</v>
      </c>
      <c r="G16" s="125">
        <f>IF('em16zufall'!G16="","",'em16zufall'!G16)</f>
      </c>
      <c r="H16" s="136">
        <f>IF('em16zufall'!H16="","",'em16zufall'!H16)</f>
        <v>1</v>
      </c>
      <c r="I16" s="160" t="str">
        <f>IF('em16zufall'!I16="","",'em16zufall'!I16)</f>
        <v>:</v>
      </c>
      <c r="J16" s="136">
        <f>IF('em16zufall'!J16="","",'em16zufall'!J16)</f>
        <v>0</v>
      </c>
      <c r="K16" s="1" t="str">
        <f>IF('em16zufall'!K16="","",'em16zufall'!K16)</f>
        <v>ok</v>
      </c>
      <c r="L16" s="1">
        <f>IF('em16zufall'!L16="","",'em16zufall'!L16)</f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3"/>
      <c r="AX16" s="24">
        <f>IF(OR('em16zufall'!H16="",'em16zufall'!J16=""),0,IF(H16-J16='em16zufall'!H16-'em16zufall'!J16,3,IF(OR(AND(H16-J16&gt;4,'em16zufall'!H16-'em16zufall'!J16&gt;4),AND(J16-H16&gt;4,'em16zufall'!J16-'em16zufall'!H16&gt;4)),2,IF(OR(AND(H16=J16,'em16zufall'!H16='em16zufall'!J16),(H16-J16)*('em16zufall'!H16-'em16zufall'!J16)&gt;0),1,0))))+IF(H16='em16zufall'!H16,1,0)+IF(J16='em16zufall'!J16,1,0)</f>
        <v>5</v>
      </c>
      <c r="AY16" s="24" t="str">
        <f>IF('em16zufall'!K16='em16zufall'!$B$63,'em16zufall'!K16,"")</f>
        <v>ok</v>
      </c>
      <c r="BA16" s="2">
        <f>BA14+12</f>
        <v>22</v>
      </c>
      <c r="BB16" s="7">
        <f>'em16zufall'!BB16</f>
        <v>42538.625</v>
      </c>
      <c r="BC16" s="7" t="str">
        <f>'em16zufall'!BC16</f>
        <v>Toulouse</v>
      </c>
      <c r="BD16" s="125" t="str">
        <f>IF('em16zufall'!BD16="","",'em16zufall'!BD16)</f>
        <v>Italien</v>
      </c>
      <c r="BE16" s="80" t="str">
        <f>IF('em16zufall'!BE16="","",'em16zufall'!BE16)</f>
        <v>-</v>
      </c>
      <c r="BF16" s="125" t="str">
        <f>IF('em16zufall'!BF16="","",'em16zufall'!BF16)</f>
        <v>Schweden</v>
      </c>
      <c r="BG16" s="124">
        <f>IF('em16zufall'!BG16="","",'em16zufall'!BG16)</f>
      </c>
      <c r="BH16" s="137">
        <f>IF('em16zufall'!BH16="","",'em16zufall'!BH16)</f>
        <v>1</v>
      </c>
      <c r="BI16" s="164" t="str">
        <f>IF('em16zufall'!BI16="","",'em16zufall'!BI16)</f>
        <v>:</v>
      </c>
      <c r="BJ16" s="136">
        <f>IF('em16zufall'!BJ16="","",'em16zufall'!BJ16)</f>
        <v>0</v>
      </c>
      <c r="BK16" s="1" t="str">
        <f>IF('em16zufall'!BK16="","",'em16zufall'!BK16)</f>
        <v>ok</v>
      </c>
      <c r="BL16" s="1">
        <f>IF('em16zufall'!BL16="","",'em16zufall'!BL16)</f>
      </c>
      <c r="BY16" s="2"/>
      <c r="CX16" s="24">
        <f>IF(OR('em16zufall'!BH16="",'em16zufall'!BJ16=""),0,IF(BH16-BJ16='em16zufall'!BH16-'em16zufall'!BJ16,3,IF(OR(AND(BH16-BJ16&gt;4,'em16zufall'!BH16-'em16zufall'!BJ16&gt;4),AND(BJ16-BH16&gt;4,'em16zufall'!BJ16-'em16zufall'!BH16&gt;4)),2,IF(OR(AND(BH16=BJ16,'em16zufall'!BH16='em16zufall'!BJ16),(BH16-BJ16)*('em16zufall'!BH16-'em16zufall'!BJ16)&gt;0),1,0))))+IF(BH16='em16zufall'!BH16,1,0)+IF(BJ16='em16zufall'!BJ16,1,0)</f>
        <v>5</v>
      </c>
      <c r="CY16" s="24" t="str">
        <f>IF('em16zufall'!BK16='em16zufall'!$B$63,'em16zufall'!BK16,"")</f>
        <v>ok</v>
      </c>
      <c r="DA16" s="172" t="s">
        <v>156</v>
      </c>
      <c r="DB16" s="162">
        <v>1</v>
      </c>
    </row>
    <row r="17" spans="1:106" ht="12.75">
      <c r="A17" s="2">
        <f>A15+12</f>
        <v>27</v>
      </c>
      <c r="B17" s="7">
        <f>'em16zufall'!B17</f>
        <v>42541.875</v>
      </c>
      <c r="C17" s="7" t="str">
        <f>'em16zufall'!C17</f>
        <v>St.Étienne</v>
      </c>
      <c r="D17" s="125" t="str">
        <f>IF('em16zufall'!D17="","",'em16zufall'!D17)</f>
        <v>Slowakei</v>
      </c>
      <c r="E17" s="125" t="str">
        <f>IF('em16zufall'!E17="","",'em16zufall'!E17)</f>
        <v>-</v>
      </c>
      <c r="F17" s="125" t="str">
        <f>IF('em16zufall'!F17="","",'em16zufall'!F17)</f>
        <v>England</v>
      </c>
      <c r="G17" s="125">
        <f>IF('em16zufall'!G17="","",'em16zufall'!G17)</f>
      </c>
      <c r="H17" s="136">
        <f>IF('em16zufall'!H17="","",'em16zufall'!H17)</f>
        <v>1</v>
      </c>
      <c r="I17" s="160" t="str">
        <f>IF('em16zufall'!I17="","",'em16zufall'!I17)</f>
        <v>:</v>
      </c>
      <c r="J17" s="136">
        <f>IF('em16zufall'!J17="","",'em16zufall'!J17)</f>
        <v>0</v>
      </c>
      <c r="K17" s="1" t="str">
        <f>IF('em16zufall'!K17="","",'em16zufall'!K17)</f>
        <v>ok</v>
      </c>
      <c r="L17" s="2">
        <f>IF('em16zufall'!L17="","",'em16zufall'!L17)</f>
      </c>
      <c r="M17" s="71" t="str">
        <f>IF('em16zufall'!M17="","",'em16zufall'!M17)</f>
        <v>England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33"/>
      <c r="AX17" s="24">
        <f>IF(OR('em16zufall'!H17="",'em16zufall'!J17=""),0,IF(H17-J17='em16zufall'!H17-'em16zufall'!J17,3,IF(OR(AND(H17-J17&gt;4,'em16zufall'!H17-'em16zufall'!J17&gt;4),AND(J17-H17&gt;4,'em16zufall'!J17-'em16zufall'!H17&gt;4)),2,IF(OR(AND(H17=J17,'em16zufall'!H17='em16zufall'!J17),(H17-J17)*('em16zufall'!H17-'em16zufall'!J17)&gt;0),1,0))))+IF(H17='em16zufall'!H17,1,0)+IF(J17='em16zufall'!J17,1,0)</f>
        <v>5</v>
      </c>
      <c r="AY17" s="24" t="str">
        <f>IF('em16zufall'!K18='em16zufall'!$B$63,'em16zufall'!K18,"")</f>
        <v>ok</v>
      </c>
      <c r="BA17" s="2">
        <f>BA15+12</f>
        <v>33</v>
      </c>
      <c r="BB17" s="7">
        <f>'em16zufall'!BB17</f>
        <v>42543.875</v>
      </c>
      <c r="BC17" s="7" t="str">
        <f>'em16zufall'!BC17</f>
        <v>Nizza</v>
      </c>
      <c r="BD17" s="125" t="str">
        <f>IF('em16zufall'!BD17="","",'em16zufall'!BD17)</f>
        <v>Schweden</v>
      </c>
      <c r="BE17" s="80" t="str">
        <f>IF('em16zufall'!BE17="","",'em16zufall'!BE17)</f>
        <v>-</v>
      </c>
      <c r="BF17" s="125" t="str">
        <f>IF('em16zufall'!BF17="","",'em16zufall'!BF17)</f>
        <v>Belgien</v>
      </c>
      <c r="BG17" s="123">
        <f>IF('em16zufall'!BG17="","",'em16zufall'!BG17)</f>
      </c>
      <c r="BH17" s="136">
        <f>IF('em16zufall'!BH17="","",'em16zufall'!BH17)</f>
        <v>1</v>
      </c>
      <c r="BI17" s="164" t="str">
        <f>IF('em16zufall'!BI17="","",'em16zufall'!BI17)</f>
        <v>:</v>
      </c>
      <c r="BJ17" s="137">
        <f>IF('em16zufall'!BJ17="","",'em16zufall'!BJ17)</f>
        <v>0</v>
      </c>
      <c r="BK17" s="1" t="str">
        <f>IF('em16zufall'!BK18="","",'em16zufall'!BK18)</f>
        <v>ok</v>
      </c>
      <c r="BL17" s="2">
        <f>IF('em16zufall'!BL17="","",'em16zufall'!BL17)</f>
      </c>
      <c r="BM17" s="74" t="str">
        <f>IF('em16zufall'!BM17="","",'em16zufall'!BM17)</f>
        <v>Belgien</v>
      </c>
      <c r="BY17" s="2"/>
      <c r="CX17" s="24">
        <f>IF(OR('em16zufall'!BH17="",'em16zufall'!BJ17=""),0,IF(BH17-BJ17='em16zufall'!BH17-'em16zufall'!BJ17,3,IF(OR(AND(BH17-BJ17&gt;4,'em16zufall'!BH17-'em16zufall'!BJ17&gt;4),AND(BJ17-BH17&gt;4,'em16zufall'!BJ17-'em16zufall'!BH17&gt;4)),2,IF(OR(AND(BH17=BJ17,'em16zufall'!BH17='em16zufall'!BJ17),(BH17-BJ17)*('em16zufall'!BH17-'em16zufall'!BJ17)&gt;0),1,0))))+IF(BH17='em16zufall'!BH17,1,0)+IF(BJ17='em16zufall'!BJ17,1,0)</f>
        <v>5</v>
      </c>
      <c r="CY17" s="24" t="str">
        <f>IF('em16zufall'!BK18='em16zufall'!$B$63,'em16zufall'!BK18,"")</f>
        <v>ok</v>
      </c>
      <c r="DA17" s="172" t="s">
        <v>157</v>
      </c>
      <c r="DB17" s="162">
        <v>3</v>
      </c>
    </row>
    <row r="18" spans="1:106" ht="12.75">
      <c r="A18" s="2">
        <f>A16+12</f>
        <v>28</v>
      </c>
      <c r="B18" s="7">
        <f>'em16zufall'!B18</f>
        <v>42541.875</v>
      </c>
      <c r="C18" s="7" t="str">
        <f>'em16zufall'!C18</f>
        <v>Toulouse</v>
      </c>
      <c r="D18" s="125" t="str">
        <f>IF('em16zufall'!D18="","",'em16zufall'!D18)</f>
        <v>Russland</v>
      </c>
      <c r="E18" s="125" t="str">
        <f>IF('em16zufall'!E18="","",'em16zufall'!E18)</f>
        <v>-</v>
      </c>
      <c r="F18" s="125" t="str">
        <f>IF('em16zufall'!F18="","",'em16zufall'!F18)</f>
        <v>Wales</v>
      </c>
      <c r="G18" s="125">
        <f>IF('em16zufall'!G18="","",'em16zufall'!G18)</f>
      </c>
      <c r="H18" s="136">
        <f>IF('em16zufall'!H18="","",'em16zufall'!H18)</f>
        <v>1</v>
      </c>
      <c r="I18" s="160" t="str">
        <f>IF('em16zufall'!I18="","",'em16zufall'!I18)</f>
        <v>:</v>
      </c>
      <c r="J18" s="136">
        <f>IF('em16zufall'!J18="","",'em16zufall'!J18)</f>
        <v>0</v>
      </c>
      <c r="K18" s="1" t="str">
        <f>IF('em16zufall'!K18="","",'em16zufall'!K18)</f>
        <v>ok</v>
      </c>
      <c r="L18" s="2">
        <f>IF('em16zufall'!L18="","",'em16zufall'!L18)</f>
      </c>
      <c r="M18" s="71" t="str">
        <f>IF('em16zufall'!M18="","",'em16zufall'!M18)</f>
        <v>Russland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133"/>
      <c r="AX18" s="24">
        <f>IF(OR('em16zufall'!H18="",'em16zufall'!J18=""),0,IF(H18-J18='em16zufall'!H18-'em16zufall'!J18,3,IF(OR(AND(H18-J18&gt;4,'em16zufall'!H18-'em16zufall'!J18&gt;4),AND(J18-H18&gt;4,'em16zufall'!J18-'em16zufall'!H18&gt;4)),2,IF(OR(AND(H18=J18,'em16zufall'!H18='em16zufall'!J18),(H18-J18)*('em16zufall'!H18-'em16zufall'!J18)&gt;0),1,0))))+IF(H18='em16zufall'!H18,1,0)+IF(J18='em16zufall'!J18,1,0)</f>
        <v>5</v>
      </c>
      <c r="AY18" s="24" t="str">
        <f>IF('em16zufall'!K17='em16zufall'!$B$63,'em16zufall'!K17,"")</f>
        <v>ok</v>
      </c>
      <c r="BA18" s="2">
        <f>BA16+12</f>
        <v>34</v>
      </c>
      <c r="BB18" s="7">
        <f>'em16zufall'!BB18</f>
        <v>42543.875</v>
      </c>
      <c r="BC18" s="7" t="str">
        <f>'em16zufall'!BC18</f>
        <v>Lille</v>
      </c>
      <c r="BD18" s="125" t="str">
        <f>IF('em16zufall'!BD18="","",'em16zufall'!BD18)</f>
        <v>Italien</v>
      </c>
      <c r="BE18" s="80" t="str">
        <f>IF('em16zufall'!BE18="","",'em16zufall'!BE18)</f>
        <v>-</v>
      </c>
      <c r="BF18" s="125" t="str">
        <f>IF('em16zufall'!BF18="","",'em16zufall'!BF18)</f>
        <v>Irland</v>
      </c>
      <c r="BG18" s="123">
        <f>IF('em16zufall'!BG18="","",'em16zufall'!BG18)</f>
      </c>
      <c r="BH18" s="137">
        <f>IF('em16zufall'!BH18="","",'em16zufall'!BH18)</f>
        <v>1</v>
      </c>
      <c r="BI18" s="164" t="str">
        <f>IF('em16zufall'!BI18="","",'em16zufall'!BI18)</f>
        <v>:</v>
      </c>
      <c r="BJ18" s="137">
        <f>IF('em16zufall'!BJ18="","",'em16zufall'!BJ18)</f>
        <v>0</v>
      </c>
      <c r="BK18" s="1" t="str">
        <f>IF('em16zufall'!BK17="","",'em16zufall'!BK17)</f>
        <v>ok</v>
      </c>
      <c r="BL18" s="2">
        <f>IF('em16zufall'!BL18="","",'em16zufall'!BL18)</f>
      </c>
      <c r="BM18" s="74" t="str">
        <f>IF('em16zufall'!BM18="","",'em16zufall'!BM18)</f>
        <v>Italien</v>
      </c>
      <c r="BY18" s="2"/>
      <c r="CX18" s="24">
        <f>IF(OR('em16zufall'!BH18="",'em16zufall'!BJ18=""),0,IF(BH18-BJ18='em16zufall'!BH18-'em16zufall'!BJ18,3,IF(OR(AND(BH18-BJ18&gt;4,'em16zufall'!BH18-'em16zufall'!BJ18&gt;4),AND(BJ18-BH18&gt;4,'em16zufall'!BJ18-'em16zufall'!BH18&gt;4)),2,IF(OR(AND(BH18=BJ18,'em16zufall'!BH18='em16zufall'!BJ18),(BH18-BJ18)*('em16zufall'!BH18-'em16zufall'!BJ18)&gt;0),1,0))))+IF(BH18='em16zufall'!BH18,1,0)+IF(BJ18='em16zufall'!BJ18,1,0)</f>
        <v>5</v>
      </c>
      <c r="CY18" s="24" t="str">
        <f>IF('em16zufall'!BK17='em16zufall'!$B$63,'em16zufall'!BK17,"")</f>
        <v>ok</v>
      </c>
      <c r="DA18" s="170" t="s">
        <v>151</v>
      </c>
      <c r="DB18" s="162">
        <v>8</v>
      </c>
    </row>
    <row r="19" spans="4:106" ht="12.75">
      <c r="D19" s="125"/>
      <c r="E19" s="125"/>
      <c r="F19" s="125"/>
      <c r="G19" s="125"/>
      <c r="H19" s="125"/>
      <c r="I19" s="125"/>
      <c r="J19" s="125"/>
      <c r="L19" s="2">
        <f>IF('em16zufall'!L19="","",'em16zufall'!L19)</f>
      </c>
      <c r="M19" s="71" t="str">
        <f>IF('em16zufall'!M19="","",'em16zufall'!M19)</f>
        <v>Wales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133"/>
      <c r="AX19" s="62">
        <f>IF(OR($CX$62="",MOD(SUM($H$3:$J$59)+SUM($BH$3:$BJ$61),3)=0),IF(M19="",0,COUNTIF('em16zufall'!$D$48:'em16zufall'!$F$55,M19)),0)</f>
        <v>1</v>
      </c>
      <c r="AY19" s="24" t="str">
        <f>IF(COUNTIF('em16zufall'!K13:'em16zufall'!K18,'em16zufall'!$B$63)=6,"ok","")</f>
        <v>ok</v>
      </c>
      <c r="BB19" s="2" t="s">
        <v>2</v>
      </c>
      <c r="BD19" s="123">
        <f>IF('em16zufall'!BD19="","",'em16zufall'!BD19)</f>
      </c>
      <c r="BE19" s="123">
        <f>IF('em16zufall'!BE19="","",'em16zufall'!BE19)</f>
      </c>
      <c r="BF19" s="123">
        <f>IF('em16zufall'!BF19="","",'em16zufall'!BF19)</f>
      </c>
      <c r="BG19" s="123">
        <f>IF('em16zufall'!BG19="","",'em16zufall'!BG19)</f>
      </c>
      <c r="BL19" s="2">
        <f>IF('em16zufall'!BL19="","",'em16zufall'!BL19)</f>
      </c>
      <c r="BM19" s="74" t="str">
        <f>IF('em16zufall'!BM19="","",'em16zufall'!BM19)</f>
        <v>Irland</v>
      </c>
      <c r="BY19" s="2"/>
      <c r="CX19" s="25">
        <f>IF(OR($CX$62="",MOD(SUM($H$3:$J$59)+SUM($BH$3:$BJ$61),3)=0),IF(BM19="",0,COUNTIF('em16zufall'!$D$48:'em16zufall'!$F$55,BM19)),0)</f>
        <v>0</v>
      </c>
      <c r="CY19" s="24" t="str">
        <f>IF(COUNTIF('em16zufall'!BK13:'em16zufall'!BK18,'em16zufall'!$B$63)=6,"ok","")</f>
        <v>ok</v>
      </c>
      <c r="DA19" s="161"/>
      <c r="DB19" s="169"/>
    </row>
    <row r="20" spans="4:77" ht="6" customHeight="1">
      <c r="D20" s="125"/>
      <c r="E20" s="125"/>
      <c r="F20" s="125"/>
      <c r="G20" s="125"/>
      <c r="H20" s="125"/>
      <c r="I20" s="125"/>
      <c r="J20" s="125"/>
      <c r="L20" s="2">
        <f>IF('em16zufall'!L20="","",'em16zufall'!L20)</f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133"/>
      <c r="AX20" s="24"/>
      <c r="BD20" s="123">
        <f>IF('em16zufall'!BD20="","",'em16zufall'!BD20)</f>
      </c>
      <c r="BE20" s="126">
        <f>IF('em16zufall'!BE20="","",'em16zufall'!BE20)</f>
      </c>
      <c r="BF20" s="128">
        <f>IF('em16zufall'!BF20="","",'em16zufall'!BF20)</f>
      </c>
      <c r="BG20" s="128">
        <f>IF('em16zufall'!BG20="","",'em16zufall'!BG20)</f>
      </c>
      <c r="BH20" s="123"/>
      <c r="BI20" s="123"/>
      <c r="BJ20" s="123"/>
      <c r="BL20" s="2">
        <f>IF('em16zufall'!BL20="","",'em16zufall'!BL20)</f>
      </c>
      <c r="BY20" s="2"/>
    </row>
    <row r="21" spans="2:103" s="12" customFormat="1" ht="12.75">
      <c r="B21" s="49" t="s">
        <v>0</v>
      </c>
      <c r="C21" s="40" t="s">
        <v>29</v>
      </c>
      <c r="D21" s="125"/>
      <c r="E21" s="125"/>
      <c r="F21" s="125"/>
      <c r="G21" s="125"/>
      <c r="H21" s="125"/>
      <c r="I21" s="125"/>
      <c r="J21" s="125"/>
      <c r="K21" s="1"/>
      <c r="L21" s="24">
        <f>IF('em16zufall'!L21="","",'em16zufall'!L21)</f>
      </c>
      <c r="M21" s="6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127"/>
      <c r="AX21" s="49">
        <f>IF(OR($CX$62="",MOD(SUM($H$3:$J$59)+SUM($BH$3:$BJ$61),3)=0),IF(M27="",0,COUNTIF('em16zufall'!$D$48:'em16zufall'!$F$55,M27)),0)</f>
        <v>1</v>
      </c>
      <c r="AY21" s="24" t="str">
        <f>IF(COUNTIF('em16zufall'!K23:'em16zufall'!K28,'em16zufall'!$B$63)=6,"ok","")</f>
        <v>ok</v>
      </c>
      <c r="AZ21" s="128"/>
      <c r="BB21" s="64" t="s">
        <v>0</v>
      </c>
      <c r="BC21" s="75" t="s">
        <v>38</v>
      </c>
      <c r="BD21" s="124" t="str">
        <f>IF('em16zufall'!BD21="","",'em16zufall'!BD21)</f>
        <v> </v>
      </c>
      <c r="BE21" s="142">
        <f>IF('em16zufall'!BE21="","",'em16zufall'!BE21)</f>
      </c>
      <c r="BF21" s="124">
        <f>IF('em16zufall'!BF21="","",'em16zufall'!BF21)</f>
      </c>
      <c r="BG21" s="124">
        <f>IF('em16zufall'!BG21="","",'em16zufall'!BG21)</f>
      </c>
      <c r="BH21" s="160"/>
      <c r="BI21" s="124"/>
      <c r="BJ21" s="160"/>
      <c r="BK21" s="1"/>
      <c r="BL21" s="24">
        <f>IF('em16zufall'!BL21="","",'em16zufall'!BL21)</f>
      </c>
      <c r="BM21" s="69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X21" s="64">
        <f>IF(OR($CX$62="",MOD(SUM($H$3:$J$59)+SUM($BH$3:$BJ$61),3)=0),IF(BM27="",0,COUNTIF('em16zufall'!$D$48:'em16zufall'!$F$55,BM27)),0)</f>
        <v>1</v>
      </c>
      <c r="CY21" s="24" t="str">
        <f>IF(COUNTIF('em16zufall'!BK23:'em16zufall'!BK28,'em16zufall'!$B$63)=6,"ok","")</f>
        <v>ok</v>
      </c>
    </row>
    <row r="22" spans="2:106" ht="12.75">
      <c r="B22" s="3" t="s">
        <v>19</v>
      </c>
      <c r="C22" s="3" t="s">
        <v>20</v>
      </c>
      <c r="D22" s="125"/>
      <c r="E22" s="125"/>
      <c r="F22" s="125"/>
      <c r="G22" s="125"/>
      <c r="H22" s="125"/>
      <c r="I22" s="125"/>
      <c r="J22" s="125"/>
      <c r="L22" s="1">
        <f>IF('em16zufall'!L22="","",'em16zufall'!L22)</f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133"/>
      <c r="AX22" s="49">
        <f>IF(OR($CX$62="",MOD(SUM($H$3:$J$59)+SUM($BH$3:$BJ$61),3)=0),IF(M28="",0,COUNTIF('em16zufall'!$D$48:'em16zufall'!$F$55,M28)),0)</f>
        <v>1</v>
      </c>
      <c r="AY22" s="24" t="str">
        <f>IF(COUNTIF('em16zufall'!K23:'em16zufall'!K28,'em16zufall'!$B$63)=6,"ok","")</f>
        <v>ok</v>
      </c>
      <c r="BB22" s="3" t="s">
        <v>19</v>
      </c>
      <c r="BC22" s="3" t="s">
        <v>20</v>
      </c>
      <c r="BD22" s="123">
        <f>IF('em16zufall'!BD22="","",'em16zufall'!BD22)</f>
      </c>
      <c r="BE22" s="123">
        <f>IF('em16zufall'!BE22="","",'em16zufall'!BE22)</f>
      </c>
      <c r="BF22" s="123">
        <f>IF('em16zufall'!BF22="","",'em16zufall'!BF22)</f>
      </c>
      <c r="BG22" s="123">
        <f>IF('em16zufall'!BG22="","",'em16zufall'!BG22)</f>
      </c>
      <c r="BL22" s="1">
        <f>IF('em16zufall'!BL22="","",'em16zufall'!BL22)</f>
      </c>
      <c r="BY22" s="2"/>
      <c r="CX22" s="64">
        <f>IF(OR($CX$62="",MOD(SUM($H$3:$J$59)+SUM($BH$3:$BJ$61),3)=0),IF(BM28="",0,COUNTIF('em16zufall'!$D$48:'em16zufall'!$F$55,BM28)),0)</f>
        <v>1</v>
      </c>
      <c r="CY22" s="24" t="str">
        <f>IF(COUNTIF('em16zufall'!BK23:'em16zufall'!BK28,'em16zufall'!$B$63)=6,"ok","")</f>
        <v>ok</v>
      </c>
      <c r="DA22" s="171" t="s">
        <v>158</v>
      </c>
      <c r="DB22" s="166">
        <f>DB26*(DB25+2*DB23)</f>
        <v>32</v>
      </c>
    </row>
    <row r="23" spans="1:106" ht="12.75">
      <c r="A23" s="2">
        <v>5</v>
      </c>
      <c r="B23" s="7">
        <f>'em16zufall'!B23</f>
        <v>42533.875</v>
      </c>
      <c r="C23" s="7" t="str">
        <f>'em16zufall'!C23</f>
        <v>Lille</v>
      </c>
      <c r="D23" s="125" t="str">
        <f>IF('em16zufall'!D23="","",'em16zufall'!D23)</f>
        <v>Deutschland</v>
      </c>
      <c r="E23" s="125" t="str">
        <f>IF('em16zufall'!E23="","",'em16zufall'!E23)</f>
        <v>-</v>
      </c>
      <c r="F23" s="125" t="str">
        <f>IF('em16zufall'!F23="","",'em16zufall'!F23)</f>
        <v>Ukraine</v>
      </c>
      <c r="G23" s="125">
        <f>IF('em16zufall'!G23="","",'em16zufall'!G23)</f>
      </c>
      <c r="H23" s="136">
        <f>IF('em16zufall'!H23="","",'em16zufall'!H23)</f>
        <v>1</v>
      </c>
      <c r="I23" s="160" t="str">
        <f>IF('em16zufall'!I23="","",'em16zufall'!I23)</f>
        <v>:</v>
      </c>
      <c r="J23" s="136">
        <f>IF('em16zufall'!J23="","",'em16zufall'!J23)</f>
        <v>0</v>
      </c>
      <c r="K23" s="1" t="str">
        <f>IF('em16zufall'!K23="","",'em16zufall'!K23)</f>
        <v>ok</v>
      </c>
      <c r="L23" s="1">
        <f>IF('em16zufall'!L23="","",'em16zufall'!L23)</f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33"/>
      <c r="AX23" s="24">
        <f>IF(OR('em16zufall'!H23="",'em16zufall'!J23=""),0,IF(H23-J23='em16zufall'!H23-'em16zufall'!J23,3,IF(OR(AND(H23-J23&gt;4,'em16zufall'!H23-'em16zufall'!J23&gt;4),AND(J23-H23&gt;4,'em16zufall'!J23-'em16zufall'!H23&gt;4)),2,IF(OR(AND(H23=J23,'em16zufall'!H23='em16zufall'!J23),(H23-J23)*('em16zufall'!H23-'em16zufall'!J23)&gt;0),1,0))))+IF(H23='em16zufall'!H23,1,0)+IF(J23='em16zufall'!J23,1,0)</f>
        <v>5</v>
      </c>
      <c r="AY23" s="24" t="str">
        <f>IF('em16zufall'!K23='em16zufall'!$B$63,'em16zufall'!K23,"")</f>
        <v>ok</v>
      </c>
      <c r="BA23" s="2">
        <v>11</v>
      </c>
      <c r="BB23" s="7">
        <f>'em16zufall'!BB23</f>
        <v>42535.875</v>
      </c>
      <c r="BC23" s="7" t="str">
        <f>'em16zufall'!BC23</f>
        <v>St.Étienne</v>
      </c>
      <c r="BD23" s="125" t="str">
        <f>IF('em16zufall'!BD23="","",'em16zufall'!BD23)</f>
        <v>Portugal</v>
      </c>
      <c r="BE23" s="80" t="str">
        <f>IF('em16zufall'!BE23="","",'em16zufall'!BE23)</f>
        <v>-</v>
      </c>
      <c r="BF23" s="125" t="str">
        <f>IF('em16zufall'!BF23="","",'em16zufall'!BF23)</f>
        <v>Island</v>
      </c>
      <c r="BG23" s="124">
        <f>IF('em16zufall'!BG23="","",'em16zufall'!BG23)</f>
      </c>
      <c r="BH23" s="136">
        <f>IF('em16zufall'!BH23="","",'em16zufall'!BH23)</f>
        <v>1</v>
      </c>
      <c r="BI23" s="164" t="str">
        <f>IF('em16zufall'!BI23="","",'em16zufall'!BI23)</f>
        <v>:</v>
      </c>
      <c r="BJ23" s="136">
        <f>IF('em16zufall'!BJ23="","",'em16zufall'!BJ23)</f>
        <v>0</v>
      </c>
      <c r="BK23" s="1" t="str">
        <f>IF('em16zufall'!BK23="","",'em16zufall'!BK23)</f>
        <v>ok</v>
      </c>
      <c r="BL23" s="1">
        <f>IF('em16zufall'!BL23="","",'em16zufall'!BL23)</f>
      </c>
      <c r="BY23" s="2"/>
      <c r="CX23" s="24">
        <f>IF(OR('em16zufall'!BH23="",'em16zufall'!BJ23=""),0,IF(BH23-BJ23='em16zufall'!BH23-'em16zufall'!BJ23,3,IF(OR(AND(BH23-BJ23&gt;4,'em16zufall'!BH23-'em16zufall'!BJ23&gt;4),AND(BJ23-BH23&gt;4,'em16zufall'!BJ23-'em16zufall'!BH23&gt;4)),2,IF(OR(AND(BH23=BJ23,'em16zufall'!BH23='em16zufall'!BJ23),(BH23-BJ23)*('em16zufall'!BH23-'em16zufall'!BJ23)&gt;0),1,0))))+IF(BH23='em16zufall'!BH23,1,0)+IF(BJ23='em16zufall'!BJ23,1,0)</f>
        <v>5</v>
      </c>
      <c r="CY23" s="24" t="str">
        <f>IF('em16zufall'!BK23='em16zufall'!$B$63,'em16zufall'!BK23,"")</f>
        <v>ok</v>
      </c>
      <c r="DA23" s="167" t="s">
        <v>159</v>
      </c>
      <c r="DB23" s="162">
        <v>2</v>
      </c>
    </row>
    <row r="24" spans="1:106" ht="12.75">
      <c r="A24" s="2">
        <v>6</v>
      </c>
      <c r="B24" s="7">
        <f>'em16zufall'!B24</f>
        <v>42533.75</v>
      </c>
      <c r="C24" s="7" t="str">
        <f>'em16zufall'!C24</f>
        <v>Nizza</v>
      </c>
      <c r="D24" s="125" t="str">
        <f>IF('em16zufall'!D24="","",'em16zufall'!D24)</f>
        <v>Polen</v>
      </c>
      <c r="E24" s="125" t="str">
        <f>IF('em16zufall'!E24="","",'em16zufall'!E24)</f>
        <v>-</v>
      </c>
      <c r="F24" s="125" t="str">
        <f>IF('em16zufall'!F24="","",'em16zufall'!F24)</f>
        <v>Nordirland</v>
      </c>
      <c r="G24" s="125">
        <f>IF('em16zufall'!G24="","",'em16zufall'!G24)</f>
      </c>
      <c r="H24" s="136">
        <f>IF('em16zufall'!H24="","",'em16zufall'!H24)</f>
        <v>1</v>
      </c>
      <c r="I24" s="160" t="str">
        <f>IF('em16zufall'!I24="","",'em16zufall'!I24)</f>
        <v>:</v>
      </c>
      <c r="J24" s="136">
        <f>IF('em16zufall'!J24="","",'em16zufall'!J24)</f>
        <v>0</v>
      </c>
      <c r="K24" s="1" t="str">
        <f>IF('em16zufall'!K24="","",'em16zufall'!K24)</f>
        <v>ok</v>
      </c>
      <c r="L24" s="1">
        <f>IF('em16zufall'!L24="","",'em16zufall'!L24)</f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133"/>
      <c r="AX24" s="24">
        <f>IF(OR('em16zufall'!H24="",'em16zufall'!J24=""),0,IF(H24-J24='em16zufall'!H24-'em16zufall'!J24,3,IF(OR(AND(H24-J24&gt;4,'em16zufall'!H24-'em16zufall'!J24&gt;4),AND(J24-H24&gt;4,'em16zufall'!J24-'em16zufall'!H24&gt;4)),2,IF(OR(AND(H24=J24,'em16zufall'!H24='em16zufall'!J24),(H24-J24)*('em16zufall'!H24-'em16zufall'!J24)&gt;0),1,0))))+IF(H24='em16zufall'!H24,1,0)+IF(J24='em16zufall'!J24,1,0)</f>
        <v>5</v>
      </c>
      <c r="AY24" s="24" t="str">
        <f>IF('em16zufall'!K24='em16zufall'!$B$63,'em16zufall'!K24,"")</f>
        <v>ok</v>
      </c>
      <c r="BA24" s="2">
        <v>12</v>
      </c>
      <c r="BB24" s="7">
        <f>'em16zufall'!BB24</f>
        <v>42535.75</v>
      </c>
      <c r="BC24" s="7" t="str">
        <f>'em16zufall'!BC24</f>
        <v>Bordeaux</v>
      </c>
      <c r="BD24" s="125" t="str">
        <f>IF('em16zufall'!BD24="","",'em16zufall'!BD24)</f>
        <v>Österreich</v>
      </c>
      <c r="BE24" s="80" t="str">
        <f>IF('em16zufall'!BE24="","",'em16zufall'!BE24)</f>
        <v>-</v>
      </c>
      <c r="BF24" s="125" t="str">
        <f>IF('em16zufall'!BF24="","",'em16zufall'!BF24)</f>
        <v>Ungarn</v>
      </c>
      <c r="BG24" s="124">
        <f>IF('em16zufall'!BG24="","",'em16zufall'!BG24)</f>
      </c>
      <c r="BH24" s="137">
        <f>IF('em16zufall'!BH24="","",'em16zufall'!BH24)</f>
        <v>1</v>
      </c>
      <c r="BI24" s="164" t="str">
        <f>IF('em16zufall'!BI24="","",'em16zufall'!BI24)</f>
        <v>:</v>
      </c>
      <c r="BJ24" s="136">
        <f>IF('em16zufall'!BJ24="","",'em16zufall'!BJ24)</f>
        <v>0</v>
      </c>
      <c r="BK24" s="1" t="str">
        <f>IF('em16zufall'!BK24="","",'em16zufall'!BK24)</f>
        <v>ok</v>
      </c>
      <c r="BL24" s="1">
        <f>IF('em16zufall'!BL24="","",'em16zufall'!BL24)</f>
      </c>
      <c r="BY24" s="2"/>
      <c r="CX24" s="24">
        <f>IF(OR('em16zufall'!BH24="",'em16zufall'!BJ24=""),0,IF(BH24-BJ24='em16zufall'!BH24-'em16zufall'!BJ24,3,IF(OR(AND(BH24-BJ24&gt;4,'em16zufall'!BH24-'em16zufall'!BJ24&gt;4),AND(BJ24-BH24&gt;4,'em16zufall'!BJ24-'em16zufall'!BH24&gt;4)),2,IF(OR(AND(BH24=BJ24,'em16zufall'!BH24='em16zufall'!BJ24),(BH24-BJ24)*('em16zufall'!BH24-'em16zufall'!BJ24)&gt;0),1,0))))+IF(BH24='em16zufall'!BH24,1,0)+IF(BJ24='em16zufall'!BJ24,1,0)</f>
        <v>5</v>
      </c>
      <c r="CY24" s="24" t="str">
        <f>IF('em16zufall'!BK24='em16zufall'!$B$63,'em16zufall'!BK24,"")</f>
        <v>ok</v>
      </c>
      <c r="DA24" s="172" t="s">
        <v>160</v>
      </c>
      <c r="DB24" s="162">
        <v>1</v>
      </c>
    </row>
    <row r="25" spans="1:106" ht="12.75">
      <c r="A25" s="2">
        <f>A23+12</f>
        <v>17</v>
      </c>
      <c r="B25" s="7">
        <f>'em16zufall'!B25</f>
        <v>42537.875</v>
      </c>
      <c r="C25" s="7" t="str">
        <f>'em16zufall'!C25</f>
        <v>Paris St.Denis</v>
      </c>
      <c r="D25" s="125" t="str">
        <f>IF('em16zufall'!D25="","",'em16zufall'!D25)</f>
        <v>Deutschland</v>
      </c>
      <c r="E25" s="125" t="str">
        <f>IF('em16zufall'!E25="","",'em16zufall'!E25)</f>
        <v>-</v>
      </c>
      <c r="F25" s="125" t="str">
        <f>IF('em16zufall'!F25="","",'em16zufall'!F25)</f>
        <v>Polen</v>
      </c>
      <c r="G25" s="125">
        <f>IF('em16zufall'!G25="","",'em16zufall'!G25)</f>
      </c>
      <c r="H25" s="136">
        <f>IF('em16zufall'!H25="","",'em16zufall'!H25)</f>
        <v>1</v>
      </c>
      <c r="I25" s="160" t="str">
        <f>IF('em16zufall'!I25="","",'em16zufall'!I25)</f>
        <v>:</v>
      </c>
      <c r="J25" s="136">
        <f>IF('em16zufall'!J25="","",'em16zufall'!J25)</f>
        <v>0</v>
      </c>
      <c r="K25" s="1" t="str">
        <f>IF('em16zufall'!K25="","",'em16zufall'!K25)</f>
        <v>ok</v>
      </c>
      <c r="L25" s="1">
        <f>IF('em16zufall'!L25="","",'em16zufall'!L25)</f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133"/>
      <c r="AX25" s="24">
        <f>IF(OR('em16zufall'!H25="",'em16zufall'!J25=""),0,IF(H25-J25='em16zufall'!H25-'em16zufall'!J25,3,IF(OR(AND(H25-J25&gt;4,'em16zufall'!H25-'em16zufall'!J25&gt;4),AND(J25-H25&gt;4,'em16zufall'!J25-'em16zufall'!H25&gt;4)),2,IF(OR(AND(H25=J25,'em16zufall'!H25='em16zufall'!J25),(H25-J25)*('em16zufall'!H25-'em16zufall'!J25)&gt;0),1,0))))+IF(H25='em16zufall'!H25,1,0)+IF(J25='em16zufall'!J25,1,0)</f>
        <v>5</v>
      </c>
      <c r="AY25" s="24" t="str">
        <f>IF('em16zufall'!K25='em16zufall'!$B$63,'em16zufall'!K25,"")</f>
        <v>ok</v>
      </c>
      <c r="BA25" s="2">
        <f>BA23+12</f>
        <v>23</v>
      </c>
      <c r="BB25" s="7">
        <f>'em16zufall'!BB25</f>
        <v>42539.875</v>
      </c>
      <c r="BC25" s="7" t="str">
        <f>'em16zufall'!BC25</f>
        <v>Paris</v>
      </c>
      <c r="BD25" s="125" t="str">
        <f>IF('em16zufall'!BD25="","",'em16zufall'!BD25)</f>
        <v>Portugal</v>
      </c>
      <c r="BE25" s="80" t="str">
        <f>IF('em16zufall'!BE25="","",'em16zufall'!BE25)</f>
        <v>-</v>
      </c>
      <c r="BF25" s="125" t="str">
        <f>IF('em16zufall'!BF25="","",'em16zufall'!BF25)</f>
        <v>Österreich</v>
      </c>
      <c r="BG25" s="124">
        <f>IF('em16zufall'!BG25="","",'em16zufall'!BG25)</f>
      </c>
      <c r="BH25" s="137">
        <f>IF('em16zufall'!BH25="","",'em16zufall'!BH25)</f>
        <v>1</v>
      </c>
      <c r="BI25" s="164" t="str">
        <f>IF('em16zufall'!BI25="","",'em16zufall'!BI25)</f>
        <v>:</v>
      </c>
      <c r="BJ25" s="136">
        <f>IF('em16zufall'!BJ25="","",'em16zufall'!BJ25)</f>
        <v>0</v>
      </c>
      <c r="BK25" s="1" t="str">
        <f>IF('em16zufall'!BK25="","",'em16zufall'!BK25)</f>
        <v>ok</v>
      </c>
      <c r="BL25" s="1">
        <f>IF('em16zufall'!BL25="","",'em16zufall'!BL25)</f>
      </c>
      <c r="BY25" s="2"/>
      <c r="CX25" s="24">
        <f>IF(OR('em16zufall'!BH25="",'em16zufall'!BJ25=""),0,IF(BH25-BJ25='em16zufall'!BH25-'em16zufall'!BJ25,3,IF(OR(AND(BH25-BJ25&gt;4,'em16zufall'!BH25-'em16zufall'!BJ25&gt;4),AND(BJ25-BH25&gt;4,'em16zufall'!BJ25-'em16zufall'!BH25&gt;4)),2,IF(OR(AND(BH25=BJ25,'em16zufall'!BH25='em16zufall'!BJ25),(BH25-BJ25)*('em16zufall'!BH25-'em16zufall'!BJ25)&gt;0),1,0))))+IF(BH25='em16zufall'!BH25,1,0)+IF(BJ25='em16zufall'!BJ25,1,0)</f>
        <v>5</v>
      </c>
      <c r="CY25" s="24" t="str">
        <f>IF('em16zufall'!BK25='em16zufall'!$B$63,'em16zufall'!BK25,"")</f>
        <v>ok</v>
      </c>
      <c r="DA25" s="172" t="s">
        <v>157</v>
      </c>
      <c r="DB25" s="162">
        <v>4</v>
      </c>
    </row>
    <row r="26" spans="1:106" ht="12.75">
      <c r="A26" s="2">
        <f>A24+12</f>
        <v>18</v>
      </c>
      <c r="B26" s="7">
        <f>'em16zufall'!B26</f>
        <v>42537.75</v>
      </c>
      <c r="C26" s="7" t="str">
        <f>'em16zufall'!C26</f>
        <v>Lyon</v>
      </c>
      <c r="D26" s="125" t="str">
        <f>IF('em16zufall'!D26="","",'em16zufall'!D26)</f>
        <v>Ukraine</v>
      </c>
      <c r="E26" s="125" t="str">
        <f>IF('em16zufall'!E26="","",'em16zufall'!E26)</f>
        <v>-</v>
      </c>
      <c r="F26" s="125" t="str">
        <f>IF('em16zufall'!F26="","",'em16zufall'!F26)</f>
        <v>Nordirland</v>
      </c>
      <c r="G26" s="125">
        <f>IF('em16zufall'!G26="","",'em16zufall'!G26)</f>
      </c>
      <c r="H26" s="136">
        <f>IF('em16zufall'!H26="","",'em16zufall'!H26)</f>
        <v>1</v>
      </c>
      <c r="I26" s="160" t="str">
        <f>IF('em16zufall'!I26="","",'em16zufall'!I26)</f>
        <v>:</v>
      </c>
      <c r="J26" s="136">
        <f>IF('em16zufall'!J26="","",'em16zufall'!J26)</f>
        <v>0</v>
      </c>
      <c r="K26" s="1" t="str">
        <f>IF('em16zufall'!K26="","",'em16zufall'!K26)</f>
        <v>ok</v>
      </c>
      <c r="L26" s="1">
        <f>IF('em16zufall'!L26="","",'em16zufall'!L26)</f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133"/>
      <c r="AX26" s="24">
        <f>IF(OR('em16zufall'!H26="",'em16zufall'!J26=""),0,IF(H26-J26='em16zufall'!H26-'em16zufall'!J26,3,IF(OR(AND(H26-J26&gt;4,'em16zufall'!H26-'em16zufall'!J26&gt;4),AND(J26-H26&gt;4,'em16zufall'!J26-'em16zufall'!H26&gt;4)),2,IF(OR(AND(H26=J26,'em16zufall'!H26='em16zufall'!J26),(H26-J26)*('em16zufall'!H26-'em16zufall'!J26)&gt;0),1,0))))+IF(H26='em16zufall'!H26,1,0)+IF(J26='em16zufall'!J26,1,0)</f>
        <v>5</v>
      </c>
      <c r="AY26" s="24" t="str">
        <f>IF('em16zufall'!K26='em16zufall'!$B$63,'em16zufall'!K26,"")</f>
        <v>ok</v>
      </c>
      <c r="BA26" s="2">
        <f>BA24+12</f>
        <v>24</v>
      </c>
      <c r="BB26" s="7">
        <f>'em16zufall'!BB26</f>
        <v>42539.75</v>
      </c>
      <c r="BC26" s="7" t="str">
        <f>'em16zufall'!BC26</f>
        <v>Marseille</v>
      </c>
      <c r="BD26" s="125" t="str">
        <f>IF('em16zufall'!BD26="","",'em16zufall'!BD26)</f>
        <v>Island</v>
      </c>
      <c r="BE26" s="80" t="str">
        <f>IF('em16zufall'!BE26="","",'em16zufall'!BE26)</f>
        <v>-</v>
      </c>
      <c r="BF26" s="125" t="str">
        <f>IF('em16zufall'!BF26="","",'em16zufall'!BF26)</f>
        <v>Ungarn</v>
      </c>
      <c r="BG26" s="124">
        <f>IF('em16zufall'!BG26="","",'em16zufall'!BG26)</f>
      </c>
      <c r="BH26" s="137">
        <f>IF('em16zufall'!BH26="","",'em16zufall'!BH26)</f>
        <v>1</v>
      </c>
      <c r="BI26" s="164" t="str">
        <f>IF('em16zufall'!BI26="","",'em16zufall'!BI26)</f>
        <v>:</v>
      </c>
      <c r="BJ26" s="136">
        <f>IF('em16zufall'!BJ26="","",'em16zufall'!BJ26)</f>
        <v>0</v>
      </c>
      <c r="BK26" s="1" t="str">
        <f>IF('em16zufall'!BK26="","",'em16zufall'!BK26)</f>
        <v>ok</v>
      </c>
      <c r="BL26" s="1">
        <f>IF('em16zufall'!BL26="","",'em16zufall'!BL26)</f>
      </c>
      <c r="BY26" s="2"/>
      <c r="CX26" s="24">
        <f>IF(OR('em16zufall'!BH26="",'em16zufall'!BJ26=""),0,IF(BH26-BJ26='em16zufall'!BH26-'em16zufall'!BJ26,3,IF(OR(AND(BH26-BJ26&gt;4,'em16zufall'!BH26-'em16zufall'!BJ26&gt;4),AND(BJ26-BH26&gt;4,'em16zufall'!BJ26-'em16zufall'!BH26&gt;4)),2,IF(OR(AND(BH26=BJ26,'em16zufall'!BH26='em16zufall'!BJ26),(BH26-BJ26)*('em16zufall'!BH26-'em16zufall'!BJ26)&gt;0),1,0))))+IF(BH26='em16zufall'!BH26,1,0)+IF(BJ26='em16zufall'!BJ26,1,0)</f>
        <v>5</v>
      </c>
      <c r="CY26" s="24" t="str">
        <f>IF('em16zufall'!BK26='em16zufall'!$B$63,'em16zufall'!BK26,"")</f>
        <v>ok</v>
      </c>
      <c r="DA26" s="170" t="s">
        <v>151</v>
      </c>
      <c r="DB26" s="169">
        <v>4</v>
      </c>
    </row>
    <row r="27" spans="1:106" ht="12.75">
      <c r="A27" s="2">
        <f>A25+12</f>
        <v>29</v>
      </c>
      <c r="B27" s="7">
        <f>'em16zufall'!B27</f>
        <v>42542.75</v>
      </c>
      <c r="C27" s="7" t="str">
        <f>'em16zufall'!C27</f>
        <v>Paris</v>
      </c>
      <c r="D27" s="125" t="str">
        <f>IF('em16zufall'!D27="","",'em16zufall'!D27)</f>
        <v>Nordirland</v>
      </c>
      <c r="E27" s="125" t="str">
        <f>IF('em16zufall'!E27="","",'em16zufall'!E27)</f>
        <v>-</v>
      </c>
      <c r="F27" s="125" t="str">
        <f>IF('em16zufall'!F27="","",'em16zufall'!F27)</f>
        <v>Deutschland</v>
      </c>
      <c r="G27" s="125">
        <f>IF('em16zufall'!G27="","",'em16zufall'!G27)</f>
      </c>
      <c r="H27" s="136">
        <f>IF('em16zufall'!H27="","",'em16zufall'!H27)</f>
        <v>1</v>
      </c>
      <c r="I27" s="160" t="str">
        <f>IF('em16zufall'!I27="","",'em16zufall'!I27)</f>
        <v>:</v>
      </c>
      <c r="J27" s="136">
        <f>IF('em16zufall'!J27="","",'em16zufall'!J27)</f>
        <v>0</v>
      </c>
      <c r="K27" s="1" t="str">
        <f>IF('em16zufall'!K27="","",'em16zufall'!K27)</f>
        <v>ok</v>
      </c>
      <c r="L27" s="2">
        <f>IF('em16zufall'!L27="","",'em16zufall'!L27)</f>
      </c>
      <c r="M27" s="72" t="str">
        <f>IF('em16zufall'!M27="","",'em16zufall'!M27)</f>
        <v>Deutschland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133"/>
      <c r="AX27" s="24">
        <f>IF(OR('em16zufall'!H27="",'em16zufall'!J27=""),0,IF(H27-J27='em16zufall'!H27-'em16zufall'!J27,3,IF(OR(AND(H27-J27&gt;4,'em16zufall'!H27-'em16zufall'!J27&gt;4),AND(J27-H27&gt;4,'em16zufall'!J27-'em16zufall'!H27&gt;4)),2,IF(OR(AND(H27=J27,'em16zufall'!H27='em16zufall'!J27),(H27-J27)*('em16zufall'!H27-'em16zufall'!J27)&gt;0),1,0))))+IF(H27='em16zufall'!H27,1,0)+IF(J27='em16zufall'!J27,1,0)</f>
        <v>5</v>
      </c>
      <c r="AY27" s="24" t="str">
        <f>IF('em16zufall'!K28='em16zufall'!$B$63,'em16zufall'!K28,"")</f>
        <v>ok</v>
      </c>
      <c r="BA27" s="2">
        <f>BA25+12</f>
        <v>35</v>
      </c>
      <c r="BB27" s="7">
        <f>'em16zufall'!BB27</f>
        <v>42543.75</v>
      </c>
      <c r="BC27" s="7" t="str">
        <f>'em16zufall'!BC27</f>
        <v>Lyon</v>
      </c>
      <c r="BD27" s="125" t="str">
        <f>IF('em16zufall'!BD27="","",'em16zufall'!BD27)</f>
        <v>Ungarn</v>
      </c>
      <c r="BE27" s="80" t="str">
        <f>IF('em16zufall'!BE27="","",'em16zufall'!BE27)</f>
        <v>-</v>
      </c>
      <c r="BF27" s="125" t="str">
        <f>IF('em16zufall'!BF27="","",'em16zufall'!BF27)</f>
        <v>Portugal</v>
      </c>
      <c r="BG27" s="123">
        <f>IF('em16zufall'!BG27="","",'em16zufall'!BG27)</f>
      </c>
      <c r="BH27" s="136">
        <f>IF('em16zufall'!BH27="","",'em16zufall'!BH27)</f>
        <v>1</v>
      </c>
      <c r="BI27" s="164" t="str">
        <f>IF('em16zufall'!BI27="","",'em16zufall'!BI27)</f>
        <v>:</v>
      </c>
      <c r="BJ27" s="137">
        <f>IF('em16zufall'!BJ27="","",'em16zufall'!BJ27)</f>
        <v>0</v>
      </c>
      <c r="BK27" s="1" t="str">
        <f>IF('em16zufall'!BK28="","",'em16zufall'!BK28)</f>
        <v>ok</v>
      </c>
      <c r="BL27" s="2">
        <f>IF('em16zufall'!BL27="","",'em16zufall'!BL27)</f>
      </c>
      <c r="BM27" s="75" t="str">
        <f>IF('em16zufall'!BM27="","",'em16zufall'!BM27)</f>
        <v>Portugal</v>
      </c>
      <c r="BY27" s="2"/>
      <c r="CX27" s="24">
        <f>IF(OR('em16zufall'!BH27="",'em16zufall'!BJ27=""),0,IF(BH27-BJ27='em16zufall'!BH27-'em16zufall'!BJ27,3,IF(OR(AND(BH27-BJ27&gt;4,'em16zufall'!BH27-'em16zufall'!BJ27&gt;4),AND(BJ27-BH27&gt;4,'em16zufall'!BJ27-'em16zufall'!BH27&gt;4)),2,IF(OR(AND(BH27=BJ27,'em16zufall'!BH27='em16zufall'!BJ27),(BH27-BJ27)*('em16zufall'!BH27-'em16zufall'!BJ27)&gt;0),1,0))))+IF(BH27='em16zufall'!BH27,1,0)+IF(BJ27='em16zufall'!BJ27,1,0)</f>
        <v>5</v>
      </c>
      <c r="CY27" s="24" t="str">
        <f>IF('em16zufall'!BK28='em16zufall'!$B$63,'em16zufall'!BK28,"")</f>
        <v>ok</v>
      </c>
      <c r="DA27" s="161"/>
      <c r="DB27" s="162"/>
    </row>
    <row r="28" spans="1:103" ht="12.75">
      <c r="A28" s="2">
        <f>A26+12</f>
        <v>30</v>
      </c>
      <c r="B28" s="7">
        <f>'em16zufall'!B28</f>
        <v>42542.75</v>
      </c>
      <c r="C28" s="7" t="str">
        <f>'em16zufall'!C28</f>
        <v>Marseille</v>
      </c>
      <c r="D28" s="125" t="str">
        <f>IF('em16zufall'!D28="","",'em16zufall'!D28)</f>
        <v>Ukraine</v>
      </c>
      <c r="E28" s="125" t="str">
        <f>IF('em16zufall'!E28="","",'em16zufall'!E28)</f>
        <v>-</v>
      </c>
      <c r="F28" s="125" t="str">
        <f>IF('em16zufall'!F28="","",'em16zufall'!F28)</f>
        <v>Polen</v>
      </c>
      <c r="G28" s="125">
        <f>IF('em16zufall'!G28="","",'em16zufall'!G28)</f>
      </c>
      <c r="H28" s="136">
        <f>IF('em16zufall'!H28="","",'em16zufall'!H28)</f>
        <v>1</v>
      </c>
      <c r="I28" s="160" t="str">
        <f>IF('em16zufall'!I28="","",'em16zufall'!I28)</f>
        <v>:</v>
      </c>
      <c r="J28" s="136">
        <f>IF('em16zufall'!J28="","",'em16zufall'!J28)</f>
        <v>0</v>
      </c>
      <c r="K28" s="1" t="str">
        <f>IF('em16zufall'!K28="","",'em16zufall'!K28)</f>
        <v>ok</v>
      </c>
      <c r="L28" s="2">
        <f>IF('em16zufall'!L28="","",'em16zufall'!L28)</f>
      </c>
      <c r="M28" s="72" t="str">
        <f>IF('em16zufall'!M28="","",'em16zufall'!M28)</f>
        <v>Ukraine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133"/>
      <c r="AX28" s="24">
        <f>IF(OR('em16zufall'!H28="",'em16zufall'!J28=""),0,IF(H28-J28='em16zufall'!H28-'em16zufall'!J28,3,IF(OR(AND(H28-J28&gt;4,'em16zufall'!H28-'em16zufall'!J28&gt;4),AND(J28-H28&gt;4,'em16zufall'!J28-'em16zufall'!H28&gt;4)),2,IF(OR(AND(H28=J28,'em16zufall'!H28='em16zufall'!J28),(H28-J28)*('em16zufall'!H28-'em16zufall'!J28)&gt;0),1,0))))+IF(H28='em16zufall'!H28,1,0)+IF(J28='em16zufall'!J28,1,0)</f>
        <v>5</v>
      </c>
      <c r="AY28" s="24" t="str">
        <f>IF('em16zufall'!K27='em16zufall'!$B$63,'em16zufall'!K27,"")</f>
        <v>ok</v>
      </c>
      <c r="BA28" s="2">
        <f>BA26+12</f>
        <v>36</v>
      </c>
      <c r="BB28" s="7">
        <f>'em16zufall'!BB28</f>
        <v>42543.75</v>
      </c>
      <c r="BC28" s="7" t="str">
        <f>'em16zufall'!BC28</f>
        <v>Paris St.Denis</v>
      </c>
      <c r="BD28" s="125" t="str">
        <f>IF('em16zufall'!BD28="","",'em16zufall'!BD28)</f>
        <v>Island</v>
      </c>
      <c r="BE28" s="80" t="str">
        <f>IF('em16zufall'!BE28="","",'em16zufall'!BE28)</f>
        <v>-</v>
      </c>
      <c r="BF28" s="125" t="str">
        <f>IF('em16zufall'!BF28="","",'em16zufall'!BF28)</f>
        <v>Österreich</v>
      </c>
      <c r="BG28" s="123">
        <f>IF('em16zufall'!BG28="","",'em16zufall'!BG28)</f>
      </c>
      <c r="BH28" s="137">
        <f>IF('em16zufall'!BH28="","",'em16zufall'!BH28)</f>
        <v>1</v>
      </c>
      <c r="BI28" s="164" t="str">
        <f>IF('em16zufall'!BI28="","",'em16zufall'!BI28)</f>
        <v>:</v>
      </c>
      <c r="BJ28" s="137">
        <f>IF('em16zufall'!BJ28="","",'em16zufall'!BJ28)</f>
        <v>0</v>
      </c>
      <c r="BK28" s="1" t="str">
        <f>IF('em16zufall'!BK27="","",'em16zufall'!BK27)</f>
        <v>ok</v>
      </c>
      <c r="BL28" s="2">
        <f>IF('em16zufall'!BL28="","",'em16zufall'!BL28)</f>
      </c>
      <c r="BM28" s="75" t="str">
        <f>IF('em16zufall'!BM28="","",'em16zufall'!BM28)</f>
        <v>Island</v>
      </c>
      <c r="BY28" s="2"/>
      <c r="CX28" s="24">
        <f>IF(OR('em16zufall'!BH28="",'em16zufall'!BJ28=""),0,IF(BH28-BJ28='em16zufall'!BH28-'em16zufall'!BJ28,3,IF(OR(AND(BH28-BJ28&gt;4,'em16zufall'!BH28-'em16zufall'!BJ28&gt;4),AND(BJ28-BH28&gt;4,'em16zufall'!BJ28-'em16zufall'!BH28&gt;4)),2,IF(OR(AND(BH28=BJ28,'em16zufall'!BH28='em16zufall'!BJ28),(BH28-BJ28)*('em16zufall'!BH28-'em16zufall'!BJ28)&gt;0),1,0))))+IF(BH28='em16zufall'!BH28,1,0)+IF(BJ28='em16zufall'!BJ28,1,0)</f>
        <v>5</v>
      </c>
      <c r="CY28" s="24" t="str">
        <f>IF('em16zufall'!BK27='em16zufall'!$B$63,'em16zufall'!BK27,"")</f>
        <v>ok</v>
      </c>
    </row>
    <row r="29" spans="4:103" ht="12.75">
      <c r="D29" s="123"/>
      <c r="E29" s="123"/>
      <c r="F29" s="123"/>
      <c r="G29" s="123"/>
      <c r="L29" s="2">
        <f>IF('em16zufall'!L29="","",'em16zufall'!L29)</f>
      </c>
      <c r="M29" s="72" t="str">
        <f>IF('em16zufall'!M29="","",'em16zufall'!M29)</f>
        <v>Polen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133"/>
      <c r="AX29" s="49">
        <f>IF(OR($CX$62="",MOD(SUM($H$3:$J$59)+SUM($BH$3:$BJ$61),3)=0),IF(M29="",0,COUNTIF('em16zufall'!$D$48:'em16zufall'!$F$55,M29)),0)</f>
        <v>1</v>
      </c>
      <c r="AY29" s="24" t="str">
        <f>IF(COUNTIF('em16zufall'!K23:'em16zufall'!K28,'em16zufall'!$B$63)=6,"ok","")</f>
        <v>ok</v>
      </c>
      <c r="BD29" s="123"/>
      <c r="BE29" s="123"/>
      <c r="BF29" s="123"/>
      <c r="BG29" s="123"/>
      <c r="BM29" s="75" t="str">
        <f>IF('em16zufall'!BM29="","",'em16zufall'!BM29)</f>
        <v>Österreich</v>
      </c>
      <c r="BY29" s="2"/>
      <c r="CX29" s="64">
        <f>IF(OR($CX$62="",MOD(SUM($H$3:$J$59)+SUM($BH$3:$BJ$61),3)=0),IF(BM29="",0,COUNTIF('em16zufall'!$D$48:'em16zufall'!$F$55,BM29)),0)</f>
        <v>0</v>
      </c>
      <c r="CY29" s="24" t="str">
        <f>IF(COUNTIF('em16zufall'!BK23:'em16zufall'!BK28,'em16zufall'!$B$63)=6,"ok","")</f>
        <v>ok</v>
      </c>
    </row>
    <row r="30" spans="4:77" ht="6" customHeight="1">
      <c r="D30" s="123"/>
      <c r="E30" s="126"/>
      <c r="F30" s="128"/>
      <c r="G30" s="128"/>
      <c r="H30" s="123"/>
      <c r="I30" s="123"/>
      <c r="J30" s="123"/>
      <c r="L30" s="2">
        <f>IF('em16zufall'!L30="","",'em16zufall'!L30)</f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33"/>
      <c r="AX30" s="24"/>
      <c r="BD30" s="123"/>
      <c r="BE30" s="126"/>
      <c r="BF30" s="128"/>
      <c r="BG30" s="128"/>
      <c r="BH30" s="123"/>
      <c r="BI30" s="123"/>
      <c r="BJ30" s="123"/>
      <c r="BY30" s="2"/>
    </row>
    <row r="31" spans="2:103" ht="12.75" hidden="1">
      <c r="B31" s="67" t="s">
        <v>118</v>
      </c>
      <c r="C31" s="122" t="str">
        <f>IF('em16zufall'!C31="","",'em16zufall'!C31)</f>
        <v>ABCD</v>
      </c>
      <c r="L31" s="2">
        <f>IF('em16zufall'!L31="","",'em16zufall'!L31)</f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133"/>
      <c r="AX31" s="24"/>
      <c r="AY31" s="24"/>
      <c r="BJ31" s="2"/>
      <c r="BM31" s="2"/>
      <c r="BY31" s="2"/>
      <c r="CY31" s="24"/>
    </row>
    <row r="32" spans="13:103" ht="12.75" hidden="1">
      <c r="M32" s="6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133"/>
      <c r="AX32" s="24"/>
      <c r="AY32" s="24"/>
      <c r="BJ32" s="2"/>
      <c r="BM32" s="2"/>
      <c r="BY32" s="2"/>
      <c r="CY32" s="24"/>
    </row>
    <row r="33" spans="4:103" ht="12.75" hidden="1">
      <c r="D33" s="128"/>
      <c r="F33" s="128"/>
      <c r="M33" s="6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133"/>
      <c r="AX33" s="24"/>
      <c r="AY33" s="24"/>
      <c r="BJ33" s="2"/>
      <c r="BM33" s="2"/>
      <c r="BY33" s="2"/>
      <c r="CY33" s="24"/>
    </row>
    <row r="34" spans="1:103" s="12" customFormat="1" ht="12.75" hidden="1">
      <c r="A34" s="32"/>
      <c r="D34" s="24"/>
      <c r="F34" s="24"/>
      <c r="K34" s="1"/>
      <c r="L34" s="24"/>
      <c r="M34" s="6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128"/>
      <c r="AX34" s="24"/>
      <c r="AY34" s="24"/>
      <c r="BJ34" s="2"/>
      <c r="BK34" s="1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X34" s="24"/>
      <c r="CY34" s="24"/>
    </row>
    <row r="35" spans="1:103" ht="12.75" hidden="1">
      <c r="A35" s="33"/>
      <c r="B35" s="67" t="str">
        <f>IF('em16zufall'!B35="","",'em16zufall'!B35)</f>
        <v>3A</v>
      </c>
      <c r="C35" s="68" t="str">
        <f>IF('em16zufall'!C35="","",'em16zufall'!C35)</f>
        <v>Albanien</v>
      </c>
      <c r="D35" s="1"/>
      <c r="F35" s="1"/>
      <c r="I35" s="2"/>
      <c r="L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X35" s="24"/>
      <c r="AY35" s="24"/>
      <c r="BJ35" s="2"/>
      <c r="BM35" s="2"/>
      <c r="BY35" s="2"/>
      <c r="CY35" s="24"/>
    </row>
    <row r="36" spans="1:103" ht="12.75" hidden="1">
      <c r="A36" s="33"/>
      <c r="B36" s="67" t="str">
        <f>IF('em16zufall'!B36="","",'em16zufall'!B36)</f>
        <v>3B</v>
      </c>
      <c r="C36" s="68" t="str">
        <f>IF('em16zufall'!C36="","",'em16zufall'!C36)</f>
        <v>Wales</v>
      </c>
      <c r="D36" s="1"/>
      <c r="F36" s="1"/>
      <c r="I36" s="2"/>
      <c r="L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X36" s="24"/>
      <c r="AY36" s="24"/>
      <c r="BJ36" s="2"/>
      <c r="BM36" s="2"/>
      <c r="BY36" s="2"/>
      <c r="CY36" s="24"/>
    </row>
    <row r="37" spans="1:103" ht="12.75" hidden="1">
      <c r="A37" s="33"/>
      <c r="B37" s="67" t="str">
        <f>IF('em16zufall'!B37="","",'em16zufall'!B37)</f>
        <v>3C</v>
      </c>
      <c r="C37" s="68" t="str">
        <f>IF('em16zufall'!C37="","",'em16zufall'!C37)</f>
        <v>Polen</v>
      </c>
      <c r="D37" s="1"/>
      <c r="F37" s="1"/>
      <c r="I37" s="2"/>
      <c r="L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X37" s="24"/>
      <c r="AY37" s="24"/>
      <c r="BJ37" s="2"/>
      <c r="BM37" s="2"/>
      <c r="BY37" s="2"/>
      <c r="CY37" s="24"/>
    </row>
    <row r="38" spans="1:103" ht="12.75" hidden="1">
      <c r="A38" s="33"/>
      <c r="B38" s="67" t="str">
        <f>IF('em16zufall'!B38="","",'em16zufall'!B38)</f>
        <v>3D</v>
      </c>
      <c r="C38" s="68" t="str">
        <f>IF('em16zufall'!C38="","",'em16zufall'!C38)</f>
        <v>Türkei</v>
      </c>
      <c r="D38" s="1"/>
      <c r="F38" s="1"/>
      <c r="I38" s="2"/>
      <c r="L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X38" s="24"/>
      <c r="AY38" s="24"/>
      <c r="BJ38" s="2"/>
      <c r="BM38" s="2"/>
      <c r="BY38" s="2"/>
      <c r="CY38" s="24"/>
    </row>
    <row r="39" spans="1:77" ht="12.75" hidden="1">
      <c r="A39" s="33"/>
      <c r="H39" s="2"/>
      <c r="I39" s="2"/>
      <c r="L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BJ39" s="2"/>
      <c r="BM39" s="2"/>
      <c r="BY39" s="2"/>
    </row>
    <row r="40" spans="1:77" ht="12.75" hidden="1">
      <c r="A40" s="33"/>
      <c r="G40" s="2">
        <f>IF('em16zufall'!G40="","",'em16zufall'!G40)</f>
      </c>
      <c r="H40" s="2"/>
      <c r="I40" s="2"/>
      <c r="L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BJ40" s="2"/>
      <c r="BM40" s="2"/>
      <c r="BY40" s="2"/>
    </row>
    <row r="41" spans="1:103" ht="12.75" hidden="1">
      <c r="A41" s="33"/>
      <c r="G41" s="2">
        <f>IF('em16zufall'!G41="","",'em16zufall'!G41)</f>
      </c>
      <c r="H41" s="2">
        <f>IF('em16zufall'!H41="","",'em16zufall'!H41)</f>
      </c>
      <c r="I41" s="2">
        <f>IF('em16zufall'!I41="","",'em16zufall'!I41)</f>
      </c>
      <c r="J41" s="1">
        <f>IF('em16zufall'!J41="","",'em16zufall'!J41)</f>
      </c>
      <c r="L41" s="2">
        <f>IF('em16zufall'!L41="","",'em16zufall'!L41)</f>
      </c>
      <c r="M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X41" s="24"/>
      <c r="AY41" s="24"/>
      <c r="BJ41" s="2"/>
      <c r="BM41" s="2"/>
      <c r="BY41" s="2"/>
      <c r="CY41" s="24"/>
    </row>
    <row r="42" spans="1:77" ht="12.75" hidden="1">
      <c r="A42" s="33"/>
      <c r="G42" s="2">
        <f>IF('em16zufall'!G42="","",'em16zufall'!G42)</f>
      </c>
      <c r="H42" s="2">
        <f>IF('em16zufall'!H42="","",'em16zufall'!H42)</f>
      </c>
      <c r="I42" s="2">
        <f>IF('em16zufall'!I42="","",'em16zufall'!I42)</f>
      </c>
      <c r="J42" s="1">
        <f>IF('em16zufall'!J42="","",'em16zufall'!J42)</f>
      </c>
      <c r="L42" s="2">
        <f>IF('em16zufall'!L42="","",'em16zufall'!L42)</f>
      </c>
      <c r="M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Y42" s="24"/>
      <c r="BJ42" s="2"/>
      <c r="BM42" s="2"/>
      <c r="BY42" s="2"/>
    </row>
    <row r="43" spans="1:77" ht="12.75" customHeight="1" hidden="1">
      <c r="A43" s="33"/>
      <c r="G43" s="2">
        <f>IF('em16zufall'!G43="","",'em16zufall'!G43)</f>
      </c>
      <c r="H43" s="2">
        <f>IF('em16zufall'!H43="","",'em16zufall'!H43)</f>
      </c>
      <c r="I43" s="2">
        <f>IF('em16zufall'!I43="","",'em16zufall'!I43)</f>
      </c>
      <c r="J43" s="1">
        <f>IF('em16zufall'!J43="","",'em16zufall'!J43)</f>
      </c>
      <c r="L43" s="2">
        <f>IF('em16zufall'!L43="","",'em16zufall'!L43)</f>
      </c>
      <c r="M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Y43" s="24"/>
      <c r="BH43" s="2"/>
      <c r="BI43" s="2"/>
      <c r="BJ43" s="2"/>
      <c r="BM43" s="2"/>
      <c r="BY43" s="2"/>
    </row>
    <row r="44" spans="3:77" ht="3.75" customHeight="1">
      <c r="C44" s="3"/>
      <c r="E44" s="3"/>
      <c r="F44" s="3"/>
      <c r="H44" s="164"/>
      <c r="I44" s="142"/>
      <c r="J44" s="164"/>
      <c r="L44" s="2">
        <f>IF('em16zufall'!L44="","",'em16zufall'!L44)</f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BH44" s="2"/>
      <c r="BI44" s="2"/>
      <c r="BJ44" s="2"/>
      <c r="BM44" s="2"/>
      <c r="BY44" s="2"/>
    </row>
    <row r="45" spans="3:77" ht="3.75" customHeight="1">
      <c r="C45" s="3"/>
      <c r="E45" s="3"/>
      <c r="F45" s="3"/>
      <c r="H45" s="164"/>
      <c r="I45" s="142"/>
      <c r="J45" s="164"/>
      <c r="L45" s="2">
        <f>IF('em16zufall'!L45="","",'em16zufall'!L45)</f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BH45" s="2"/>
      <c r="BI45" s="2"/>
      <c r="BJ45" s="2"/>
      <c r="BM45" s="2"/>
      <c r="BY45" s="2"/>
    </row>
    <row r="46" spans="3:77" ht="3.75" customHeight="1">
      <c r="C46" s="3"/>
      <c r="E46" s="3"/>
      <c r="F46" s="3"/>
      <c r="H46" s="164"/>
      <c r="I46" s="142"/>
      <c r="J46" s="164"/>
      <c r="L46" s="2">
        <f>IF('em16zufall'!L46="","",'em16zufall'!L46)</f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BH46" s="2"/>
      <c r="BI46" s="2"/>
      <c r="BJ46" s="2"/>
      <c r="BM46" s="2"/>
      <c r="BY46" s="2"/>
    </row>
    <row r="47" spans="1:106" s="12" customFormat="1" ht="12.75">
      <c r="A47" s="2"/>
      <c r="B47" s="24" t="s">
        <v>41</v>
      </c>
      <c r="C47" s="3"/>
      <c r="D47" s="24"/>
      <c r="E47" s="21"/>
      <c r="F47" s="24"/>
      <c r="G47" s="24"/>
      <c r="H47" s="160"/>
      <c r="I47" s="164"/>
      <c r="J47" s="160"/>
      <c r="K47" s="1"/>
      <c r="L47" s="1">
        <f>IF('em16zufall'!L47="","",'em16zufall'!L47)</f>
      </c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123"/>
      <c r="AY47" s="1"/>
      <c r="AZ47" s="123"/>
      <c r="BA47" s="2"/>
      <c r="BB47" s="79" t="s">
        <v>50</v>
      </c>
      <c r="BC47" s="3"/>
      <c r="BD47" s="24">
        <f>IF('em16zufall'!BD47="","",'em16zufall'!BD47)</f>
      </c>
      <c r="BE47" s="21">
        <f>IF('em16zufall'!BE47="","",'em16zufall'!BE47)</f>
      </c>
      <c r="BF47" s="24">
        <f>IF('em16zufall'!BF47="","",'em16zufall'!BF47)</f>
      </c>
      <c r="BG47" s="24">
        <f>IF('em16zufall'!BG47="","",'em16zufall'!BG47)</f>
      </c>
      <c r="BH47" s="160"/>
      <c r="BI47" s="164"/>
      <c r="BJ47" s="173"/>
      <c r="BK47" s="1"/>
      <c r="BL47" s="1">
        <f>IF('em16zufall'!BL47="","",'em16zufall'!BL47)</f>
      </c>
      <c r="BM47" s="3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123"/>
      <c r="CY47" s="1"/>
      <c r="CZ47" s="123"/>
      <c r="DA47" s="171" t="s">
        <v>161</v>
      </c>
      <c r="DB47" s="166">
        <f>DB51*(DB50+2*DB48)</f>
        <v>22</v>
      </c>
    </row>
    <row r="48" spans="1:106" ht="12.75">
      <c r="A48" s="2">
        <v>37</v>
      </c>
      <c r="B48" s="7">
        <f>'em16zufall'!B48</f>
        <v>42546.625</v>
      </c>
      <c r="C48" s="7" t="str">
        <f>'em16zufall'!C48</f>
        <v>St.Étienne</v>
      </c>
      <c r="D48" s="43" t="str">
        <f>IF('em16zufall'!D48="","",'em16zufall'!D48)</f>
        <v>Rumänien</v>
      </c>
      <c r="E48" s="22" t="str">
        <f>IF('em16zufall'!E48="","",'em16zufall'!E48)</f>
        <v>-</v>
      </c>
      <c r="F48" s="72" t="str">
        <f>IF('em16zufall'!F48="","",'em16zufall'!F48)</f>
        <v>Ukraine</v>
      </c>
      <c r="G48" s="24">
        <f>IF('em16zufall'!G48="","",'em16zufall'!G48)</f>
      </c>
      <c r="H48" s="136">
        <f>IF('em16zufall'!H48="","",'em16zufall'!H48)</f>
        <v>1</v>
      </c>
      <c r="I48" s="160" t="str">
        <f>IF('em16zufall'!I48="","",'em16zufall'!I48)</f>
        <v>:</v>
      </c>
      <c r="J48" s="136">
        <f>IF('em16zufall'!J48="","",'em16zufall'!J48)</f>
        <v>0</v>
      </c>
      <c r="K48" s="1" t="str">
        <f>IF('em16zufall'!K48="","",'em16zufall'!K48)</f>
        <v>ok</v>
      </c>
      <c r="L48" s="1">
        <f>IF('em16zufall'!L48="","",'em16zufall'!L48)</f>
      </c>
      <c r="M48" s="103" t="str">
        <f>IF('em16zufall'!M48="","",'em16zufall'!M48)</f>
        <v>Rumänien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X48" s="24">
        <f>IF(OR($CX$62="",MOD(SUM($H$3:$J$59)+SUM($BH$3:$BJ$61),5)=0),IF(D48='em16zufall'!D48,1,0)+IF(F48='em16zufall'!F48,1,0),0)+IF(OR(AND(H48&gt;J48,'em16zufall'!H48&gt;'em16zufall'!J48),AND(H48&lt;J48,'em16zufall'!H48&lt;'em16zufall'!J48),AND(H48=J48,'em16zufall'!H48='em16zufall'!J48)),3,0)+IF(H48='em16zufall'!H48,1,0)+IF(J48='em16zufall'!J48,1,0)</f>
        <v>7</v>
      </c>
      <c r="AY48" s="24" t="str">
        <f>IF('em16zufall'!K48='em16zufall'!$B$63,'em16zufall'!K48,"")</f>
        <v>ok</v>
      </c>
      <c r="BA48" s="2">
        <f>A55+1</f>
        <v>45</v>
      </c>
      <c r="BB48" s="7">
        <f>'em16zufall'!BB48</f>
        <v>42551.875</v>
      </c>
      <c r="BC48" s="7" t="str">
        <f>'em16zufall'!BC48</f>
        <v>Marseille</v>
      </c>
      <c r="BD48" s="104" t="str">
        <f>IF('em16zufall'!BD48="","",'em16zufall'!BD48)</f>
        <v>Rumänien</v>
      </c>
      <c r="BE48" s="22" t="str">
        <f>IF('em16zufall'!BE48="","",'em16zufall'!BE48)</f>
        <v>-</v>
      </c>
      <c r="BF48" s="104" t="str">
        <f>IF('em16zufall'!BF48="","",'em16zufall'!BF48)</f>
        <v>Spanien</v>
      </c>
      <c r="BG48" s="24">
        <f>IF('em16zufall'!BG48="","",'em16zufall'!BG48)</f>
      </c>
      <c r="BH48" s="136">
        <f>IF('em16zufall'!BH48="","",'em16zufall'!BH48)</f>
        <v>1</v>
      </c>
      <c r="BI48" s="160" t="str">
        <f>IF('em16zufall'!BI48="","",'em16zufall'!BI48)</f>
        <v>:</v>
      </c>
      <c r="BJ48" s="137">
        <f>IF('em16zufall'!BJ48="","",'em16zufall'!BJ48)</f>
        <v>0</v>
      </c>
      <c r="BK48" s="1" t="str">
        <f>IF('em16zufall'!BK48="","",'em16zufall'!BK48)</f>
        <v>ok</v>
      </c>
      <c r="BL48" s="1">
        <f>IF('em16zufall'!BL48="","",'em16zufall'!BL48)</f>
      </c>
      <c r="BM48" s="105" t="str">
        <f>IF('em16zufall'!BM48="","",'em16zufall'!BM48)</f>
        <v>Rumänien</v>
      </c>
      <c r="BY48" s="2"/>
      <c r="CW48" s="123"/>
      <c r="CX48" s="24">
        <f>IF(OR($CX$62="",MOD(SUM($H$3:$J$59)+SUM($BH$3:$BJ$61),5)=0),IF(BD48='em16zufall'!BD48,1,0)+IF(BF48='em16zufall'!BF48,1,0)+IF(BD48="",0,COUNTIF('em16zufall'!$BD$48:'em16zufall'!$BF$51,BD48))+IF(BF48="",0,COUNTIF('em16zufall'!$BD$48:'em16zufall'!$BF$51,BF48))+IF(OR(AND(BH48&gt;BJ48,'em16zufall'!BH48&gt;'em16zufall'!BJ48),AND(BH48&lt;BJ48,'em16zufall'!BH48&lt;'em16zufall'!BJ48),AND(BH48=BJ48,'em16zufall'!BH48='em16zufall'!BJ48)),4,0)+IF(BH48='em16zufall'!BH48,1,0)+IF(BJ48='em16zufall'!BJ48,1,0),0)</f>
        <v>10</v>
      </c>
      <c r="CY48" s="24" t="str">
        <f>IF('em16zufall'!BK48='em16zufall'!$B$63,'em16zufall'!BK48,"")</f>
        <v>ok</v>
      </c>
      <c r="CZ48" s="123"/>
      <c r="DA48" s="167" t="s">
        <v>162</v>
      </c>
      <c r="DB48" s="162">
        <v>3</v>
      </c>
    </row>
    <row r="49" spans="1:106" ht="12.75">
      <c r="A49" s="2">
        <f>A48+1</f>
        <v>38</v>
      </c>
      <c r="B49" s="7">
        <f>'em16zufall'!B49</f>
        <v>42546.875</v>
      </c>
      <c r="C49" s="7" t="str">
        <f>'em16zufall'!C49</f>
        <v>Lens</v>
      </c>
      <c r="D49" s="155" t="str">
        <f>IF('em16zufall'!D49="","",'em16zufall'!D49)</f>
        <v>Spanien</v>
      </c>
      <c r="E49" s="22" t="str">
        <f>IF('em16zufall'!E49="","",'em16zufall'!E49)</f>
        <v>-</v>
      </c>
      <c r="F49" s="68" t="str">
        <f>IF('em16zufall'!F49="","",'em16zufall'!F49)</f>
        <v>Wales</v>
      </c>
      <c r="G49" s="24">
        <f>IF('em16zufall'!G49="","",'em16zufall'!G49)</f>
      </c>
      <c r="H49" s="137">
        <f>IF('em16zufall'!H49="","",'em16zufall'!H49)</f>
        <v>1</v>
      </c>
      <c r="I49" s="160" t="str">
        <f>IF('em16zufall'!I49="","",'em16zufall'!I49)</f>
        <v>:</v>
      </c>
      <c r="J49" s="137">
        <f>IF('em16zufall'!J49="","",'em16zufall'!J49)</f>
        <v>0</v>
      </c>
      <c r="K49" s="1" t="str">
        <f>IF('em16zufall'!K49="","",'em16zufall'!K49)</f>
        <v>ok</v>
      </c>
      <c r="L49" s="1">
        <f>IF('em16zufall'!L49="","",'em16zufall'!L49)</f>
      </c>
      <c r="M49" s="103" t="str">
        <f>IF('em16zufall'!M49="","",'em16zufall'!M49)</f>
        <v>Spanien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X49" s="24">
        <f>IF(OR($CX$62="",MOD(SUM($H$3:$J$59)+SUM($BH$3:$BJ$61),5)=0),IF(D49='em16zufall'!D49,1,0)+IF(F49='em16zufall'!F49,1,0),0)+IF(OR(AND(H49&gt;J49,'em16zufall'!H49&gt;'em16zufall'!J49),AND(H49&lt;J49,'em16zufall'!H49&lt;'em16zufall'!J49),AND(H49=J49,'em16zufall'!H49='em16zufall'!J49)),3,0)+IF(H49='em16zufall'!H49,1,0)+IF(J49='em16zufall'!J49,1,0)</f>
        <v>7</v>
      </c>
      <c r="AY49" s="24" t="str">
        <f>IF('em16zufall'!K49='em16zufall'!$B$63,'em16zufall'!K49,"")</f>
        <v>ok</v>
      </c>
      <c r="BA49" s="2">
        <f>BA48+1</f>
        <v>46</v>
      </c>
      <c r="BB49" s="7">
        <f>'em16zufall'!BB49</f>
        <v>42552.875</v>
      </c>
      <c r="BC49" s="7" t="str">
        <f>'em16zufall'!BC49</f>
        <v>Lille</v>
      </c>
      <c r="BD49" s="81" t="str">
        <f>IF('em16zufall'!BD49="","",'em16zufall'!BD49)</f>
        <v>England</v>
      </c>
      <c r="BE49" s="80" t="str">
        <f>IF('em16zufall'!BE49="","",'em16zufall'!BE49)</f>
        <v>-</v>
      </c>
      <c r="BF49" s="81" t="str">
        <f>IF('em16zufall'!BF49="","",'em16zufall'!BF49)</f>
        <v>Portugal</v>
      </c>
      <c r="BG49" s="24">
        <f>IF('em16zufall'!BG49="","",'em16zufall'!BG49)</f>
      </c>
      <c r="BH49" s="136">
        <f>IF('em16zufall'!BH49="","",'em16zufall'!BH49)</f>
        <v>1</v>
      </c>
      <c r="BI49" s="160" t="str">
        <f>IF('em16zufall'!BI49="","",'em16zufall'!BI49)</f>
        <v>:</v>
      </c>
      <c r="BJ49" s="136">
        <f>IF('em16zufall'!BJ49="","",'em16zufall'!BJ49)</f>
        <v>0</v>
      </c>
      <c r="BK49" s="1" t="str">
        <f>IF('em16zufall'!BK49="","",'em16zufall'!BK49)</f>
        <v>ok</v>
      </c>
      <c r="BL49" s="1">
        <f>IF('em16zufall'!BL49="","",'em16zufall'!BL49)</f>
      </c>
      <c r="BM49" s="82" t="str">
        <f>IF('em16zufall'!BM49="","",'em16zufall'!BM49)</f>
        <v>England</v>
      </c>
      <c r="BY49" s="2"/>
      <c r="CW49" s="123"/>
      <c r="CX49" s="24">
        <f>IF(OR($CX$62="",MOD(SUM($H$3:$J$59)+SUM($BH$3:$BJ$61),5)=0),IF(BD49='em16zufall'!BD49,1,0)+IF(BF49='em16zufall'!BF49,1,0)+IF(BD49="",0,COUNTIF('em16zufall'!$BD$48:'em16zufall'!$BF$51,BD49))+IF(BF49="",0,COUNTIF('em16zufall'!$BD$48:'em16zufall'!$BF$51,BF49))+IF(OR(AND(BH49&gt;BJ49,'em16zufall'!BH49&gt;'em16zufall'!BJ49),AND(BH49&lt;BJ49,'em16zufall'!BH49&lt;'em16zufall'!BJ49),AND(BH49=BJ49,'em16zufall'!BH49='em16zufall'!BJ49)),4,0)+IF(BH49='em16zufall'!BH49,1,0)+IF(BJ49='em16zufall'!BJ49,1,0),0)</f>
        <v>10</v>
      </c>
      <c r="CY49" s="24" t="str">
        <f>IF('em16zufall'!BK49='em16zufall'!$B$63,'em16zufall'!BK49,"")</f>
        <v>ok</v>
      </c>
      <c r="CZ49" s="123"/>
      <c r="DA49" s="172" t="s">
        <v>163</v>
      </c>
      <c r="DB49" s="162">
        <v>2</v>
      </c>
    </row>
    <row r="50" spans="1:106" ht="12.75">
      <c r="A50" s="2">
        <f aca="true" t="shared" si="0" ref="A50:A55">A49+1</f>
        <v>39</v>
      </c>
      <c r="B50" s="7">
        <f>'em16zufall'!B50</f>
        <v>42546.75</v>
      </c>
      <c r="C50" s="7" t="str">
        <f>'em16zufall'!C50</f>
        <v>Paris</v>
      </c>
      <c r="D50" s="71" t="str">
        <f>IF('em16zufall'!D50="","",'em16zufall'!D50)</f>
        <v>England</v>
      </c>
      <c r="E50" s="22" t="str">
        <f>IF('em16zufall'!E50="","",'em16zufall'!E50)</f>
        <v>-</v>
      </c>
      <c r="F50" s="68" t="str">
        <f>IF('em16zufall'!F50="","",'em16zufall'!F50)</f>
        <v>Türkei</v>
      </c>
      <c r="G50" s="24">
        <f>IF('em16zufall'!G50="","",'em16zufall'!G50)</f>
      </c>
      <c r="H50" s="137">
        <f>IF('em16zufall'!H50="","",'em16zufall'!H50)</f>
        <v>1</v>
      </c>
      <c r="I50" s="160" t="str">
        <f>IF('em16zufall'!I50="","",'em16zufall'!I50)</f>
        <v>:</v>
      </c>
      <c r="J50" s="137">
        <f>IF('em16zufall'!J50="","",'em16zufall'!J50)</f>
        <v>0</v>
      </c>
      <c r="K50" s="1" t="str">
        <f>IF('em16zufall'!K50="","",'em16zufall'!K50)</f>
        <v>ok</v>
      </c>
      <c r="L50" s="1">
        <f>IF('em16zufall'!L50="","",'em16zufall'!L50)</f>
      </c>
      <c r="M50" s="83" t="str">
        <f>IF('em16zufall'!M50="","",'em16zufall'!M50)</f>
        <v>England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X50" s="24">
        <f>IF(OR($CX$62="",MOD(SUM($H$3:$J$59)+SUM($BH$3:$BJ$61),5)=0),IF(D50='em16zufall'!D50,1,0)+IF(F50='em16zufall'!F50,1,0),0)+IF(OR(AND(H50&gt;J50,'em16zufall'!H50&gt;'em16zufall'!J50),AND(H50&lt;J50,'em16zufall'!H50&lt;'em16zufall'!J50),AND(H50=J50,'em16zufall'!H50='em16zufall'!J50)),3,0)+IF(H50='em16zufall'!H50,1,0)+IF(J50='em16zufall'!J50,1,0)</f>
        <v>7</v>
      </c>
      <c r="AY50" s="24" t="str">
        <f>IF('em16zufall'!K50='em16zufall'!$B$63,'em16zufall'!K50,"")</f>
        <v>ok</v>
      </c>
      <c r="BA50" s="2">
        <f>BA49+1</f>
        <v>47</v>
      </c>
      <c r="BB50" s="7">
        <f>'em16zufall'!BB50</f>
        <v>42553.875</v>
      </c>
      <c r="BC50" s="7" t="str">
        <f>'em16zufall'!BC50</f>
        <v>Bordeaux</v>
      </c>
      <c r="BD50" s="84" t="str">
        <f>IF('em16zufall'!BD50="","",'em16zufall'!BD50)</f>
        <v>Belgien</v>
      </c>
      <c r="BE50" s="80" t="str">
        <f>IF('em16zufall'!BE50="","",'em16zufall'!BE50)</f>
        <v>-</v>
      </c>
      <c r="BF50" s="84" t="str">
        <f>IF('em16zufall'!BF50="","",'em16zufall'!BF50)</f>
        <v>Deutschland</v>
      </c>
      <c r="BG50" s="24">
        <f>IF('em16zufall'!BG50="","",'em16zufall'!BG50)</f>
      </c>
      <c r="BH50" s="136">
        <f>IF('em16zufall'!BH50="","",'em16zufall'!BH50)</f>
        <v>1</v>
      </c>
      <c r="BI50" s="160" t="str">
        <f>IF('em16zufall'!BI50="","",'em16zufall'!BI50)</f>
        <v>:</v>
      </c>
      <c r="BJ50" s="137">
        <f>IF('em16zufall'!BJ50="","",'em16zufall'!BJ50)</f>
        <v>0</v>
      </c>
      <c r="BK50" s="1" t="str">
        <f>IF('em16zufall'!BK50="","",'em16zufall'!BK50)</f>
        <v>ok</v>
      </c>
      <c r="BL50" s="1">
        <f>IF('em16zufall'!BL50="","",'em16zufall'!BL50)</f>
      </c>
      <c r="BM50" s="85" t="str">
        <f>IF('em16zufall'!BM50="","",'em16zufall'!BM50)</f>
        <v>Belgien</v>
      </c>
      <c r="BY50" s="2"/>
      <c r="CW50" s="123"/>
      <c r="CX50" s="24">
        <f>IF(OR($CX$62="",MOD(SUM($H$3:$J$59)+SUM($BH$3:$BJ$61),5)=0),IF(BD50='em16zufall'!BD50,1,0)+IF(BF50='em16zufall'!BF50,1,0)+IF(BD50="",0,COUNTIF('em16zufall'!$BD$48:'em16zufall'!$BF$51,BD50))+IF(BF50="",0,COUNTIF('em16zufall'!$BD$48:'em16zufall'!$BF$51,BF50))+IF(OR(AND(BH50&gt;BJ50,'em16zufall'!BH50&gt;'em16zufall'!BJ50),AND(BH50&lt;BJ50,'em16zufall'!BH50&lt;'em16zufall'!BJ50),AND(BH50=BJ50,'em16zufall'!BH50='em16zufall'!BJ50)),4,0)+IF(BH50='em16zufall'!BH50,1,0)+IF(BJ50='em16zufall'!BJ50,1,0),0)</f>
        <v>10</v>
      </c>
      <c r="CY50" s="24" t="str">
        <f>IF('em16zufall'!BK50='em16zufall'!$B$63,'em16zufall'!BK50,"")</f>
        <v>ok</v>
      </c>
      <c r="CZ50" s="123"/>
      <c r="DA50" s="172" t="s">
        <v>157</v>
      </c>
      <c r="DB50" s="162">
        <v>5</v>
      </c>
    </row>
    <row r="51" spans="1:106" ht="12.75">
      <c r="A51" s="2">
        <f t="shared" si="0"/>
        <v>40</v>
      </c>
      <c r="B51" s="7">
        <f>'em16zufall'!B51</f>
        <v>42547.875</v>
      </c>
      <c r="C51" s="7" t="str">
        <f>'em16zufall'!C51</f>
        <v>Toulouse</v>
      </c>
      <c r="D51" s="75" t="str">
        <f>IF('em16zufall'!D51="","",'em16zufall'!D51)</f>
        <v>Portugal</v>
      </c>
      <c r="E51" s="22" t="str">
        <f>IF('em16zufall'!E51="","",'em16zufall'!E51)</f>
        <v>-</v>
      </c>
      <c r="F51" s="74" t="str">
        <f>IF('em16zufall'!F51="","",'em16zufall'!F51)</f>
        <v>Italien</v>
      </c>
      <c r="G51" s="24">
        <f>IF('em16zufall'!G51="","",'em16zufall'!G51)</f>
      </c>
      <c r="H51" s="137">
        <f>IF('em16zufall'!H51="","",'em16zufall'!H51)</f>
        <v>1</v>
      </c>
      <c r="I51" s="160" t="str">
        <f>IF('em16zufall'!I51="","",'em16zufall'!I51)</f>
        <v>:</v>
      </c>
      <c r="J51" s="136">
        <f>IF('em16zufall'!J51="","",'em16zufall'!J51)</f>
        <v>0</v>
      </c>
      <c r="K51" s="1" t="str">
        <f>IF('em16zufall'!K51="","",'em16zufall'!K51)</f>
        <v>ok</v>
      </c>
      <c r="L51" s="1">
        <f>IF('em16zufall'!L51="","",'em16zufall'!L51)</f>
      </c>
      <c r="M51" s="83" t="str">
        <f>IF('em16zufall'!M51="","",'em16zufall'!M51)</f>
        <v>Portugal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X51" s="24">
        <f>IF(OR($CX$62="",MOD(SUM($H$3:$J$59)+SUM($BH$3:$BJ$61),5)=0),IF(D51='em16zufall'!D51,1,0)+IF(F51='em16zufall'!F51,1,0),0)+IF(OR(AND(H51&gt;J51,'em16zufall'!H51&gt;'em16zufall'!J51),AND(H51&lt;J51,'em16zufall'!H51&lt;'em16zufall'!J51),AND(H51=J51,'em16zufall'!H51='em16zufall'!J51)),3,0)+IF(H51='em16zufall'!H51,1,0)+IF(J51='em16zufall'!J51,1,0)</f>
        <v>7</v>
      </c>
      <c r="AY51" s="24" t="str">
        <f>IF('em16zufall'!K51='em16zufall'!$B$63,'em16zufall'!K51,"")</f>
        <v>ok</v>
      </c>
      <c r="BA51" s="2">
        <f>BA50+1</f>
        <v>48</v>
      </c>
      <c r="BB51" s="7">
        <f>'em16zufall'!BB51</f>
        <v>42554.875</v>
      </c>
      <c r="BC51" s="7" t="str">
        <f>'em16zufall'!BC51</f>
        <v>Paris St.Denis</v>
      </c>
      <c r="BD51" s="86" t="str">
        <f>IF('em16zufall'!BD51="","",'em16zufall'!BD51)</f>
        <v>Russland</v>
      </c>
      <c r="BE51" s="22" t="str">
        <f>IF('em16zufall'!BE51="","",'em16zufall'!BE51)</f>
        <v>-</v>
      </c>
      <c r="BF51" s="86" t="str">
        <f>IF('em16zufall'!BF51="","",'em16zufall'!BF51)</f>
        <v>Frankreich</v>
      </c>
      <c r="BG51" s="24">
        <f>IF('em16zufall'!BG51="","",'em16zufall'!BG51)</f>
      </c>
      <c r="BH51" s="136">
        <f>IF('em16zufall'!BH51="","",'em16zufall'!BH51)</f>
        <v>1</v>
      </c>
      <c r="BI51" s="160" t="str">
        <f>IF('em16zufall'!BI51="","",'em16zufall'!BI51)</f>
        <v>:</v>
      </c>
      <c r="BJ51" s="137">
        <f>IF('em16zufall'!BJ51="","",'em16zufall'!BJ51)</f>
        <v>0</v>
      </c>
      <c r="BK51" s="1" t="str">
        <f>IF('em16zufall'!BK51="","",'em16zufall'!BK51)</f>
        <v>ok</v>
      </c>
      <c r="BL51" s="1">
        <f>IF('em16zufall'!BL51="","",'em16zufall'!BL51)</f>
      </c>
      <c r="BM51" s="87" t="str">
        <f>IF('em16zufall'!BM51="","",'em16zufall'!BM51)</f>
        <v>Russland</v>
      </c>
      <c r="BY51" s="2"/>
      <c r="CW51" s="123"/>
      <c r="CX51" s="24">
        <f>IF(OR($CX$62="",MOD(SUM($H$3:$J$59)+SUM($BH$3:$BJ$61),5)=0),IF(BD51='em16zufall'!BD51,1,0)+IF(BF51='em16zufall'!BF51,1,0)+IF(BD51="",0,COUNTIF('em16zufall'!$BD$48:'em16zufall'!$BF$51,BD51))+IF(BF51="",0,COUNTIF('em16zufall'!$BD$48:'em16zufall'!$BF$51,BF51))+IF(OR(AND(BH51&gt;BJ51,'em16zufall'!BH51&gt;'em16zufall'!BJ51),AND(BH51&lt;BJ51,'em16zufall'!BH51&lt;'em16zufall'!BJ51),AND(BH51=BJ51,'em16zufall'!BH51='em16zufall'!BJ51)),4,0)+IF(BH51='em16zufall'!BH51,1,0)+IF(BJ51='em16zufall'!BJ51,1,0),0)</f>
        <v>10</v>
      </c>
      <c r="CY51" s="24" t="str">
        <f>IF('em16zufall'!BK51='em16zufall'!$B$63,'em16zufall'!BK51,"")</f>
        <v>ok</v>
      </c>
      <c r="CZ51" s="123"/>
      <c r="DA51" s="170" t="s">
        <v>151</v>
      </c>
      <c r="DB51" s="169">
        <v>2</v>
      </c>
    </row>
    <row r="52" spans="1:106" ht="12.75">
      <c r="A52" s="2">
        <f t="shared" si="0"/>
        <v>41</v>
      </c>
      <c r="B52" s="7">
        <f>'em16zufall'!B52</f>
        <v>42548.75</v>
      </c>
      <c r="C52" s="7" t="str">
        <f>'em16zufall'!C52</f>
        <v>Paris St.Denis</v>
      </c>
      <c r="D52" s="74" t="str">
        <f>IF('em16zufall'!D52="","",'em16zufall'!D52)</f>
        <v>Belgien</v>
      </c>
      <c r="E52" s="22" t="str">
        <f>IF('em16zufall'!E52="","",'em16zufall'!E52)</f>
        <v>-</v>
      </c>
      <c r="F52" s="155" t="str">
        <f>IF('em16zufall'!F52="","",'em16zufall'!F52)</f>
        <v>Tschechien</v>
      </c>
      <c r="G52" s="24">
        <f>IF('em16zufall'!G52="","",'em16zufall'!G52)</f>
      </c>
      <c r="H52" s="137">
        <f>IF('em16zufall'!H52="","",'em16zufall'!H52)</f>
        <v>1</v>
      </c>
      <c r="I52" s="160" t="str">
        <f>IF('em16zufall'!I52="","",'em16zufall'!I52)</f>
        <v>:</v>
      </c>
      <c r="J52" s="137">
        <f>IF('em16zufall'!J52="","",'em16zufall'!J52)</f>
        <v>0</v>
      </c>
      <c r="K52" s="1" t="str">
        <f>IF('em16zufall'!K52="","",'em16zufall'!K52)</f>
        <v>ok</v>
      </c>
      <c r="L52" s="1">
        <f>IF('em16zufall'!L52="","",'em16zufall'!L52)</f>
      </c>
      <c r="M52" s="88" t="str">
        <f>IF('em16zufall'!M52="","",'em16zufall'!M52)</f>
        <v>Belgien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X52" s="24">
        <f>IF(OR($CX$62="",MOD(SUM($H$3:$J$59)+SUM($BH$3:$BJ$61),5)=0),IF(D52='em16zufall'!D52,1,0)+IF(F52='em16zufall'!F52,1,0),0)+IF(OR(AND(H52&gt;J52,'em16zufall'!H52&gt;'em16zufall'!J52),AND(H52&lt;J52,'em16zufall'!H52&lt;'em16zufall'!J52),AND(H52=J52,'em16zufall'!H52='em16zufall'!J52)),3,0)+IF(H52='em16zufall'!H52,1,0)+IF(J52='em16zufall'!J52,1,0)</f>
        <v>7</v>
      </c>
      <c r="AY52" s="24" t="str">
        <f>IF('em16zufall'!K52='em16zufall'!$B$63,'em16zufall'!K52,"")</f>
        <v>ok</v>
      </c>
      <c r="BY52" s="2"/>
      <c r="CW52" s="123"/>
      <c r="CY52" s="24"/>
      <c r="CZ52" s="123"/>
      <c r="DA52" s="161"/>
      <c r="DB52" s="162"/>
    </row>
    <row r="53" spans="1:104" ht="12.75">
      <c r="A53" s="2">
        <f t="shared" si="0"/>
        <v>42</v>
      </c>
      <c r="B53" s="7">
        <f>'em16zufall'!B53</f>
        <v>42547.75</v>
      </c>
      <c r="C53" s="7" t="str">
        <f>'em16zufall'!C53</f>
        <v>Lille</v>
      </c>
      <c r="D53" s="72" t="str">
        <f>IF('em16zufall'!D53="","",'em16zufall'!D53)</f>
        <v>Deutschland</v>
      </c>
      <c r="E53" s="22" t="str">
        <f>IF('em16zufall'!E53="","",'em16zufall'!E53)</f>
        <v>-</v>
      </c>
      <c r="F53" s="68" t="str">
        <f>IF('em16zufall'!F53="","",'em16zufall'!F53)</f>
        <v>Albanien</v>
      </c>
      <c r="G53" s="24">
        <f>IF('em16zufall'!G53="","",'em16zufall'!G53)</f>
      </c>
      <c r="H53" s="137">
        <f>IF('em16zufall'!H53="","",'em16zufall'!H53)</f>
        <v>1</v>
      </c>
      <c r="I53" s="160" t="str">
        <f>IF('em16zufall'!I53="","",'em16zufall'!I53)</f>
        <v>:</v>
      </c>
      <c r="J53" s="137">
        <f>IF('em16zufall'!J53="","",'em16zufall'!J53)</f>
        <v>0</v>
      </c>
      <c r="K53" s="1" t="str">
        <f>IF('em16zufall'!K53="","",'em16zufall'!K53)</f>
        <v>ok</v>
      </c>
      <c r="L53" s="1">
        <f>IF('em16zufall'!L53="","",'em16zufall'!L53)</f>
      </c>
      <c r="M53" s="88" t="str">
        <f>IF('em16zufall'!M53="","",'em16zufall'!M53)</f>
        <v>Deutschland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X53" s="24">
        <f>IF(OR($CX$62="",MOD(SUM($H$3:$J$59)+SUM($BH$3:$BJ$61),5)=0),IF(D53='em16zufall'!D53,1,0)+IF(F53='em16zufall'!F53,1,0),0)+IF(OR(AND(H53&gt;J53,'em16zufall'!H53&gt;'em16zufall'!J53),AND(H53&lt;J53,'em16zufall'!H53&lt;'em16zufall'!J53),AND(H53=J53,'em16zufall'!H53='em16zufall'!J53)),3,0)+IF(H53='em16zufall'!H53,1,0)+IF(J53='em16zufall'!J53,1,0)</f>
        <v>7</v>
      </c>
      <c r="AY53" s="24" t="str">
        <f>IF('em16zufall'!K53='em16zufall'!$B$63,'em16zufall'!K53,"")</f>
        <v>ok</v>
      </c>
      <c r="BC53" s="30"/>
      <c r="BD53" s="24"/>
      <c r="BE53" s="21"/>
      <c r="BF53" s="24"/>
      <c r="BG53" s="24"/>
      <c r="BH53" s="160"/>
      <c r="BI53" s="124"/>
      <c r="BJ53" s="160"/>
      <c r="BL53" s="24"/>
      <c r="BM53" s="30"/>
      <c r="BY53" s="2"/>
      <c r="CW53" s="123"/>
      <c r="CY53" s="24"/>
      <c r="CZ53" s="123"/>
    </row>
    <row r="54" spans="1:104" ht="12.75">
      <c r="A54" s="2">
        <f t="shared" si="0"/>
        <v>43</v>
      </c>
      <c r="B54" s="7">
        <f>'em16zufall'!B54</f>
        <v>42548.875</v>
      </c>
      <c r="C54" s="7" t="str">
        <f>'em16zufall'!C54</f>
        <v>Nizza</v>
      </c>
      <c r="D54" s="71" t="str">
        <f>IF('em16zufall'!D54="","",'em16zufall'!D54)</f>
        <v>Russland</v>
      </c>
      <c r="E54" s="22" t="str">
        <f>IF('em16zufall'!E54="","",'em16zufall'!E54)</f>
        <v>-</v>
      </c>
      <c r="F54" s="75" t="str">
        <f>IF('em16zufall'!F54="","",'em16zufall'!F54)</f>
        <v>Island</v>
      </c>
      <c r="G54" s="24">
        <f>IF('em16zufall'!G54="","",'em16zufall'!G54)</f>
      </c>
      <c r="H54" s="137">
        <f>IF('em16zufall'!H54="","",'em16zufall'!H54)</f>
        <v>1</v>
      </c>
      <c r="I54" s="160" t="str">
        <f>IF('em16zufall'!I54="","",'em16zufall'!I54)</f>
        <v>:</v>
      </c>
      <c r="J54" s="137">
        <f>IF('em16zufall'!J54="","",'em16zufall'!J54)</f>
        <v>0</v>
      </c>
      <c r="K54" s="1" t="str">
        <f>IF('em16zufall'!K54="","",'em16zufall'!K54)</f>
        <v>ok</v>
      </c>
      <c r="L54" s="1">
        <f>IF('em16zufall'!L54="","",'em16zufall'!L54)</f>
      </c>
      <c r="M54" s="90" t="str">
        <f>IF('em16zufall'!M54="","",'em16zufall'!M54)</f>
        <v>Russland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X54" s="24">
        <f>IF(OR($CX$62="",MOD(SUM($H$3:$J$59)+SUM($BH$3:$BJ$61),5)=0),IF(D54='em16zufall'!D54,1,0)+IF(F54='em16zufall'!F54,1,0),0)+IF(OR(AND(H54&gt;J54,'em16zufall'!H54&gt;'em16zufall'!J54),AND(H54&lt;J54,'em16zufall'!H54&lt;'em16zufall'!J54),AND(H54=J54,'em16zufall'!H54='em16zufall'!J54)),3,0)+IF(H54='em16zufall'!H54,1,0)+IF(J54='em16zufall'!J54,1,0)</f>
        <v>7</v>
      </c>
      <c r="AY54" s="24" t="str">
        <f>IF('em16zufall'!K54='em16zufall'!$B$63,'em16zufall'!K54,"")</f>
        <v>ok</v>
      </c>
      <c r="BB54" s="89" t="s">
        <v>55</v>
      </c>
      <c r="BC54" s="3"/>
      <c r="BD54" s="24">
        <f>IF('em16zufall'!BD54="","",'em16zufall'!BD54)</f>
      </c>
      <c r="BE54" s="21">
        <f>IF('em16zufall'!BE54="","",'em16zufall'!BE54)</f>
      </c>
      <c r="BF54" s="24">
        <f>IF('em16zufall'!BF54="","",'em16zufall'!BF54)</f>
      </c>
      <c r="BG54" s="24">
        <f>IF('em16zufall'!BG54="","",'em16zufall'!BG54)</f>
      </c>
      <c r="BH54" s="160"/>
      <c r="BI54" s="164"/>
      <c r="BJ54" s="160"/>
      <c r="BL54" s="1">
        <f>IF('em16zufall'!BL54="","",'em16zufall'!BL54)</f>
      </c>
      <c r="BM54" s="3"/>
      <c r="BY54" s="2"/>
      <c r="CW54" s="123"/>
      <c r="CY54" s="24"/>
      <c r="CZ54" s="123"/>
    </row>
    <row r="55" spans="1:106" ht="12.75">
      <c r="A55" s="2">
        <f t="shared" si="0"/>
        <v>44</v>
      </c>
      <c r="B55" s="7">
        <f>'em16zufall'!B55</f>
        <v>42547.625</v>
      </c>
      <c r="C55" s="7" t="str">
        <f>'em16zufall'!C55</f>
        <v>Lyon</v>
      </c>
      <c r="D55" s="70" t="str">
        <f>IF('em16zufall'!D55="","",'em16zufall'!D55)</f>
        <v>Frankreich</v>
      </c>
      <c r="E55" s="22" t="str">
        <f>IF('em16zufall'!E55="","",'em16zufall'!E55)</f>
        <v>-</v>
      </c>
      <c r="F55" s="68" t="str">
        <f>IF('em16zufall'!F55="","",'em16zufall'!F55)</f>
        <v>Polen</v>
      </c>
      <c r="G55" s="24">
        <f>IF('em16zufall'!G55="","",'em16zufall'!G55)</f>
      </c>
      <c r="H55" s="137">
        <f>IF('em16zufall'!H55="","",'em16zufall'!H55)</f>
        <v>1</v>
      </c>
      <c r="I55" s="160" t="str">
        <f>IF('em16zufall'!I55="","",'em16zufall'!I55)</f>
        <v>:</v>
      </c>
      <c r="J55" s="137">
        <f>IF('em16zufall'!J55="","",'em16zufall'!J55)</f>
        <v>0</v>
      </c>
      <c r="K55" s="1" t="str">
        <f>IF('em16zufall'!K55="","",'em16zufall'!K55)</f>
        <v>ok</v>
      </c>
      <c r="L55" s="1">
        <f>IF('em16zufall'!L55="","",'em16zufall'!L55)</f>
      </c>
      <c r="M55" s="90" t="str">
        <f>IF('em16zufall'!M55="","",'em16zufall'!M55)</f>
        <v>Frankreich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X55" s="24">
        <f>IF(OR($CX$62="",MOD(SUM($H$3:$J$59)+SUM($BH$3:$BJ$61),5)=0),IF(D55='em16zufall'!D55,1,0)+IF(F55='em16zufall'!F55,1,0),0)+IF(OR(AND(H55&gt;J55,'em16zufall'!H55&gt;'em16zufall'!J55),AND(H55&lt;J55,'em16zufall'!H55&lt;'em16zufall'!J55),AND(H55=J55,'em16zufall'!H55='em16zufall'!J55)),3,0)+IF(H55='em16zufall'!H55,1,0)+IF(J55='em16zufall'!J55,1,0)</f>
        <v>7</v>
      </c>
      <c r="AY55" s="24" t="str">
        <f>IF('em16zufall'!K55='em16zufall'!$B$63,'em16zufall'!K55,"")</f>
        <v>ok</v>
      </c>
      <c r="BA55" s="2">
        <f>BA51+1</f>
        <v>49</v>
      </c>
      <c r="BB55" s="7">
        <f>'em16zufall'!BB55</f>
        <v>42557.875</v>
      </c>
      <c r="BC55" s="7" t="str">
        <f>'em16zufall'!BC55</f>
        <v>Lyon</v>
      </c>
      <c r="BD55" s="106" t="str">
        <f>IF('em16zufall'!BD55="","",'em16zufall'!BD55)</f>
        <v>Rumänien</v>
      </c>
      <c r="BE55" s="30" t="str">
        <f>IF('em16zufall'!BE55="","",'em16zufall'!BE55)</f>
        <v>-</v>
      </c>
      <c r="BF55" s="26" t="str">
        <f>IF('em16zufall'!BF55="","",'em16zufall'!BF55)</f>
        <v>England</v>
      </c>
      <c r="BG55" s="24">
        <f>IF('em16zufall'!BG55="","",'em16zufall'!BG55)</f>
      </c>
      <c r="BH55" s="136">
        <f>IF('em16zufall'!BH55="","",'em16zufall'!BH55)</f>
        <v>1</v>
      </c>
      <c r="BI55" s="160" t="str">
        <f>IF('em16zufall'!BI55="","",'em16zufall'!BI55)</f>
        <v>:</v>
      </c>
      <c r="BJ55" s="136">
        <f>IF('em16zufall'!BJ55="","",'em16zufall'!BJ55)</f>
        <v>0</v>
      </c>
      <c r="BK55" s="1" t="str">
        <f>IF('em16zufall'!BK55="","",'em16zufall'!BK55)</f>
        <v>ok</v>
      </c>
      <c r="BL55" s="1">
        <f>IF('em16zufall'!BL55="","",'em16zufall'!BL55)</f>
      </c>
      <c r="BM55" s="107" t="str">
        <f>IF('em16zufall'!BM55="","",'em16zufall'!BM55)</f>
        <v>Rumänien</v>
      </c>
      <c r="BY55" s="2"/>
      <c r="CW55" s="123"/>
      <c r="CX55" s="24">
        <f>IF(OR($CX$62="",MOD(SUM($H$3:$J$59)+SUM($BH$3:$BJ$61),5)=0),IF(BD55='em16zufall'!BD55,3,0)+IF(BF55='em16zufall'!BF55,3,0)+IF(OR(BD55='em16zufall'!BF55,BD55='em16zufall'!BD56,BD55='em16zufall'!BF56),2,0)+IF(OR(BF55='em16zufall'!BD55,BF55='em16zufall'!BD56,BF55='em16zufall'!BF56),2,0),0)+IF(OR(AND(BH55&gt;BJ55,'em16zufall'!BH55&gt;'em16zufall'!BJ55),AND(BH55&lt;BJ55,'em16zufall'!BH55&lt;'em16zufall'!BJ55),AND(BH55=BJ55,'em16zufall'!BH55='em16zufall'!BJ55)),5,0)+IF(BH55='em16zufall'!BH55,1,0)+IF(BJ55='em16zufall'!BJ55,1,0)</f>
        <v>13</v>
      </c>
      <c r="CY55" s="24" t="str">
        <f>IF('em16zufall'!BK55='em16zufall'!$B$63,'em16zufall'!BK55,"")</f>
        <v>ok</v>
      </c>
      <c r="CZ55" s="123"/>
      <c r="DA55" s="165" t="s">
        <v>164</v>
      </c>
      <c r="DB55" s="174">
        <f>DB58*(DB57+2*DB56)</f>
        <v>15</v>
      </c>
    </row>
    <row r="56" spans="11:106" ht="12.75">
      <c r="K56" s="1">
        <f>IF('em16zufall'!K56="","",'em16zufall'!K56)</f>
      </c>
      <c r="BA56" s="2">
        <f>BA55+1</f>
        <v>50</v>
      </c>
      <c r="BB56" s="7">
        <f>'em16zufall'!BB56</f>
        <v>42558.875</v>
      </c>
      <c r="BC56" s="7" t="str">
        <f>'em16zufall'!BC56</f>
        <v>Marseille</v>
      </c>
      <c r="BD56" s="91" t="str">
        <f>IF('em16zufall'!BD56="","",'em16zufall'!BD56)</f>
        <v>Belgien</v>
      </c>
      <c r="BE56" s="30" t="str">
        <f>IF('em16zufall'!BE56="","",'em16zufall'!BE56)</f>
        <v>-</v>
      </c>
      <c r="BF56" s="92" t="str">
        <f>IF('em16zufall'!BF56="","",'em16zufall'!BF56)</f>
        <v>Russland</v>
      </c>
      <c r="BG56" s="24">
        <f>IF('em16zufall'!BG56="","",'em16zufall'!BG56)</f>
      </c>
      <c r="BH56" s="136">
        <f>IF('em16zufall'!BH56="","",'em16zufall'!BH56)</f>
        <v>1</v>
      </c>
      <c r="BI56" s="160" t="str">
        <f>IF('em16zufall'!BI56="","",'em16zufall'!BI56)</f>
        <v>:</v>
      </c>
      <c r="BJ56" s="136">
        <f>IF('em16zufall'!BJ56="","",'em16zufall'!BJ56)</f>
        <v>0</v>
      </c>
      <c r="BK56" s="1" t="str">
        <f>IF('em16zufall'!BK56="","",'em16zufall'!BK56)</f>
        <v>ok</v>
      </c>
      <c r="BL56" s="1">
        <f>IF('em16zufall'!BL56="","",'em16zufall'!BL56)</f>
      </c>
      <c r="BM56" s="107" t="str">
        <f>IF('em16zufall'!BM56="","",'em16zufall'!BM56)</f>
        <v>Belgien</v>
      </c>
      <c r="BY56" s="2"/>
      <c r="CW56" s="123"/>
      <c r="CX56" s="24">
        <f>IF(OR($CX$62="",MOD(SUM($H$3:$J$59)+SUM($BH$3:$BJ$61),5)=0),IF(BD56='em16zufall'!BD56,3,0)+IF(BF56='em16zufall'!BF56,3,0)+IF(OR(BD56='em16zufall'!BF56,BD56='em16zufall'!BD55,BD56='em16zufall'!BF55),2,0)+IF(OR(BF56='em16zufall'!BD56,BF56='em16zufall'!BD55,BF56='em16zufall'!BF55),2,0),0)+IF(OR(AND(BH56&gt;BJ56,'em16zufall'!BH56&gt;'em16zufall'!BJ56),AND(BH56&lt;BJ56,'em16zufall'!BH56&lt;'em16zufall'!BJ56),AND(BH56=BJ56,'em16zufall'!BH56='em16zufall'!BJ56)),5,0)+IF(BH56='em16zufall'!BH56,1,0)+IF(BJ56='em16zufall'!BJ56,1,0)</f>
        <v>13</v>
      </c>
      <c r="CY56" s="24" t="str">
        <f>IF('em16zufall'!BK56='em16zufall'!$B$63,'em16zufall'!BK56,"")</f>
        <v>ok</v>
      </c>
      <c r="CZ56" s="123"/>
      <c r="DA56" s="167" t="s">
        <v>165</v>
      </c>
      <c r="DB56" s="162">
        <v>4</v>
      </c>
    </row>
    <row r="57" spans="2:106" ht="12.75">
      <c r="B57" s="1"/>
      <c r="C57" s="3"/>
      <c r="D57" s="24"/>
      <c r="E57" s="21"/>
      <c r="F57" s="24"/>
      <c r="G57" s="24"/>
      <c r="H57" s="160"/>
      <c r="I57" s="164"/>
      <c r="J57" s="160"/>
      <c r="K57" s="1">
        <f>IF('em16zufall'!K57="","",'em16zufall'!K57)</f>
      </c>
      <c r="L57" s="1">
        <f>IF('em16zufall'!L56="","",'em16zufall'!L56)</f>
      </c>
      <c r="M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Y57" s="24">
        <f>IF('em16zufall'!K56='em16zufall'!$B$63,'em16zufall'!K56,"")</f>
      </c>
      <c r="BB57" s="1"/>
      <c r="BC57" s="3"/>
      <c r="BD57" s="24"/>
      <c r="BE57" s="21"/>
      <c r="BF57" s="24"/>
      <c r="BG57" s="24"/>
      <c r="BH57" s="160"/>
      <c r="BI57" s="164"/>
      <c r="BJ57" s="160"/>
      <c r="BK57" s="21"/>
      <c r="BL57" s="1"/>
      <c r="BM57" s="93" t="str">
        <f>IF('em16zufall'!BM57="","",'em16zufall'!BM57)</f>
        <v>England</v>
      </c>
      <c r="BY57" s="2"/>
      <c r="CW57" s="123"/>
      <c r="CY57" s="24"/>
      <c r="CZ57" s="123"/>
      <c r="DA57" s="172" t="s">
        <v>157</v>
      </c>
      <c r="DB57" s="162">
        <v>7</v>
      </c>
    </row>
    <row r="58" spans="2:106" ht="12.75">
      <c r="B58" s="94" t="s">
        <v>60</v>
      </c>
      <c r="C58" s="3"/>
      <c r="D58" s="12"/>
      <c r="E58" s="23"/>
      <c r="F58" s="12"/>
      <c r="G58" s="12"/>
      <c r="H58" s="176"/>
      <c r="J58" s="176"/>
      <c r="K58" s="1">
        <f>IF('em16zufall'!K58="","",'em16zufall'!K58)</f>
      </c>
      <c r="L58" s="2">
        <f>IF('em16zufall'!L58="","",'em16zufall'!L58)</f>
      </c>
      <c r="M58" s="2" t="s">
        <v>174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X58" s="24">
        <f>IF(M59='em16zufall'!M59,20,0)</f>
        <v>20</v>
      </c>
      <c r="AY58" s="24" t="str">
        <f>IF('em16zufall'!K59='em16zufall'!$B$63,'em16zufall'!K59,"")</f>
        <v>ok</v>
      </c>
      <c r="AZ58" s="2"/>
      <c r="BH58" s="2"/>
      <c r="BI58" s="2"/>
      <c r="BJ58" s="2"/>
      <c r="BK58" s="2"/>
      <c r="BM58" s="93" t="str">
        <f>IF('em16zufall'!BM58="","",'em16zufall'!BM58)</f>
        <v>Russland</v>
      </c>
      <c r="BY58" s="2"/>
      <c r="CW58" s="123"/>
      <c r="CY58" s="24"/>
      <c r="CZ58" s="123"/>
      <c r="DA58" s="170" t="s">
        <v>151</v>
      </c>
      <c r="DB58" s="174">
        <v>1</v>
      </c>
    </row>
    <row r="59" spans="1:106" ht="12.75">
      <c r="A59" s="2">
        <f>BA56+1</f>
        <v>51</v>
      </c>
      <c r="B59" s="7">
        <f>'em16zufall'!B59</f>
        <v>42561.875</v>
      </c>
      <c r="C59" s="7" t="str">
        <f>'em16zufall'!C59</f>
        <v>Paris St.Denis</v>
      </c>
      <c r="D59" s="66" t="str">
        <f>IF('em16zufall'!D59="","",'em16zufall'!D59)</f>
        <v>Rumänien</v>
      </c>
      <c r="E59" s="30" t="str">
        <f>IF('em16zufall'!E59="","",'em16zufall'!E59)</f>
        <v>-</v>
      </c>
      <c r="F59" s="66" t="str">
        <f>IF('em16zufall'!F59="","",'em16zufall'!F59)</f>
        <v>Belgien</v>
      </c>
      <c r="G59" s="24">
        <f>IF('em16zufall'!G59="","",'em16zufall'!G59)</f>
      </c>
      <c r="H59" s="137">
        <f>IF('em16zufall'!H59="","",'em16zufall'!H59)</f>
        <v>1</v>
      </c>
      <c r="I59" s="160" t="str">
        <f>IF('em16zufall'!I59="","",'em16zufall'!I59)</f>
        <v>:</v>
      </c>
      <c r="J59" s="137">
        <f>IF('em16zufall'!J59="","",'em16zufall'!J59)</f>
        <v>0</v>
      </c>
      <c r="K59" s="1" t="str">
        <f>IF('em16zufall'!K59="","",'em16zufall'!K59)</f>
        <v>ok</v>
      </c>
      <c r="L59" s="1">
        <f>IF('em16zufall'!L59="","",'em16zufall'!L59)</f>
      </c>
      <c r="M59" s="95" t="str">
        <f>IF('em16zufall'!M59="","",'em16zufall'!M59)</f>
        <v>Rumänien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X59" s="24">
        <f>IF(OR($CX$62="",MOD(SUM($H$3:$J$59)+SUM($BH$3:$BJ$61),5)=0),IF(OR(D59='em16zufall'!D59,D59='em16zufall'!F59),4,0)+IF(OR(F59='em16zufall'!F59,F59='em16zufall'!D59),4,0),0)+IF(OR(AND(H59&gt;J59,'em16zufall'!H59&gt;'em16zufall'!J59),AND(H59&lt;J59,'em16zufall'!H59&lt;'em16zufall'!J59),AND(H59=J59,'em16zufall'!H59='em16zufall'!J59)),7,0)+IF(H59='em16zufall'!H59,1,0)+IF(J59='em16zufall'!J59,1,0)</f>
        <v>17</v>
      </c>
      <c r="AY59" s="24" t="str">
        <f>IF('em16zufall'!K59='em16zufall'!$B$63,'em16zufall'!K59,"")</f>
        <v>ok</v>
      </c>
      <c r="BH59" s="2"/>
      <c r="BI59" s="2"/>
      <c r="BJ59" s="2"/>
      <c r="BK59" s="2"/>
      <c r="BM59" s="2"/>
      <c r="BY59" s="2"/>
      <c r="CW59" s="123"/>
      <c r="CX59" s="177">
        <v>15</v>
      </c>
      <c r="CY59" s="24" t="str">
        <f>IF(AND('em16zufall'!BK55='em16zufall'!$B$63,'em16zufall'!BK56='em16zufall'!$B$63),'em16zufall'!$B$63,"")</f>
        <v>ok</v>
      </c>
      <c r="CZ59" s="123"/>
      <c r="DA59" s="175" t="s">
        <v>166</v>
      </c>
      <c r="DB59" s="174">
        <f>DB55</f>
        <v>15</v>
      </c>
    </row>
    <row r="60" spans="60:106" ht="12.75">
      <c r="BH60" s="2"/>
      <c r="BI60" s="2"/>
      <c r="BJ60" s="2"/>
      <c r="BK60" s="2"/>
      <c r="BM60" s="3"/>
      <c r="BY60" s="2"/>
      <c r="CW60" s="123"/>
      <c r="CZ60" s="123"/>
      <c r="DA60" s="161"/>
      <c r="DB60" s="162"/>
    </row>
    <row r="61" spans="8:104" ht="16.5" thickBot="1">
      <c r="H61" s="2"/>
      <c r="I61" s="2"/>
      <c r="J61" s="2"/>
      <c r="K61" s="2"/>
      <c r="M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178">
        <f>SUMIF(AY1:AY59,'em16zufall'!$B$63,AX1:AX59)</f>
        <v>192</v>
      </c>
      <c r="CX61" s="178">
        <f>SUMIF(CY1:CY59,'em16zufall'!$B$63,CX1:CX59)</f>
        <v>178</v>
      </c>
      <c r="CZ61" s="123"/>
    </row>
    <row r="62" spans="8:106" ht="17.25" thickBot="1" thickTop="1">
      <c r="H62" s="115"/>
      <c r="I62" s="2"/>
      <c r="J62" s="2"/>
      <c r="K62" s="2"/>
      <c r="M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179">
        <f>AX61+CX61</f>
        <v>370</v>
      </c>
      <c r="AY62" s="1" t="s">
        <v>167</v>
      </c>
      <c r="AZ62" s="2"/>
      <c r="BD62" s="12">
        <f>IF('em16zufall'!BD62="","",'em16zufall'!BD62)</f>
      </c>
      <c r="BE62" s="23">
        <f>IF('em16zufall'!BE62="","",'em16zufall'!BE62)</f>
      </c>
      <c r="BF62" s="12">
        <f>IF('em16zufall'!BF62="","",'em16zufall'!BF62)</f>
      </c>
      <c r="BG62" s="12">
        <f>IF('em16zufall'!BG62="","",'em16zufall'!BG62)</f>
      </c>
      <c r="BH62" s="128">
        <f>IF('em16zufall'!BH62="","",'em16zufall'!BH62)</f>
      </c>
      <c r="BI62" s="126">
        <f>IF('em16zufall'!BI62="","",'em16zufall'!BI62)</f>
      </c>
      <c r="BJ62" s="128">
        <f>IF('em16zufall'!BJ62="","",'em16zufall'!BJ62)</f>
      </c>
      <c r="BK62" s="21">
        <f>IF('em16zufall'!BK62="","",'em16zufall'!BK62)</f>
      </c>
      <c r="BL62" s="2">
        <f>IF('em16zufall'!BL62="","",'em16zufall'!BL62)</f>
      </c>
      <c r="BM62" s="2"/>
      <c r="BY62" s="2"/>
      <c r="CW62" s="123"/>
      <c r="CY62" s="1" t="s">
        <v>168</v>
      </c>
      <c r="CZ62" s="123"/>
      <c r="DA62" s="165" t="s">
        <v>174</v>
      </c>
      <c r="DB62" s="166">
        <v>20</v>
      </c>
    </row>
    <row r="63" spans="52:106" ht="13.5" thickTop="1">
      <c r="AZ63" s="2"/>
      <c r="BD63" s="2">
        <f>IF('em16zufall'!BD63="","",'em16zufall'!BD63)</f>
      </c>
      <c r="BE63" s="2">
        <f>IF('em16zufall'!BE63="","",'em16zufall'!BE63)</f>
      </c>
      <c r="BF63" s="2">
        <f>IF('em16zufall'!BF63="","",'em16zufall'!BF63)</f>
      </c>
      <c r="BG63" s="2">
        <f>IF('em16zufall'!BG63="","",'em16zufall'!BG63)</f>
      </c>
      <c r="BH63" s="2">
        <f>IF('em16zufall'!BH63="","",'em16zufall'!BH63)</f>
      </c>
      <c r="BI63" s="2">
        <f>IF('em16zufall'!BI63="","",'em16zufall'!BI63)</f>
      </c>
      <c r="BJ63" s="2">
        <f>IF('em16zufall'!BJ63="","",'em16zufall'!BJ63)</f>
      </c>
      <c r="BK63" s="2">
        <f>IF('em16zufall'!BK63="","",'em16zufall'!BK63)</f>
      </c>
      <c r="BL63" s="2">
        <f>IF('em16zufall'!BL63="","",'em16zufall'!BL63)</f>
      </c>
      <c r="BM63" s="2"/>
      <c r="BY63" s="2"/>
      <c r="DA63" s="165"/>
      <c r="DB63" s="166"/>
    </row>
    <row r="64" spans="9:106" ht="12.75">
      <c r="I64" s="2"/>
      <c r="J64" s="2"/>
      <c r="K64" s="2"/>
      <c r="M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Z64" s="2"/>
      <c r="BH64" s="2"/>
      <c r="BI64" s="2"/>
      <c r="BJ64" s="2"/>
      <c r="BK64" s="2"/>
      <c r="BM64" s="2"/>
      <c r="BY64" s="2"/>
      <c r="DA64" s="165" t="s">
        <v>169</v>
      </c>
      <c r="DB64" s="166">
        <f>DB66*(2*DB65)</f>
        <v>30</v>
      </c>
    </row>
    <row r="65" spans="4:106" ht="12.75">
      <c r="D65" s="3"/>
      <c r="E65" s="3"/>
      <c r="F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BH65" s="2"/>
      <c r="BI65" s="2"/>
      <c r="BJ65" s="2"/>
      <c r="BK65" s="2"/>
      <c r="BY65" s="2"/>
      <c r="DA65" s="167" t="s">
        <v>170</v>
      </c>
      <c r="DB65" s="162">
        <v>1</v>
      </c>
    </row>
    <row r="66" spans="5:106" ht="12.75">
      <c r="E66" s="3"/>
      <c r="F66" s="3"/>
      <c r="AD66" s="132"/>
      <c r="BH66" s="2"/>
      <c r="BI66" s="2"/>
      <c r="BJ66" s="2"/>
      <c r="BK66" s="2"/>
      <c r="BY66" s="2"/>
      <c r="DA66" s="170" t="s">
        <v>171</v>
      </c>
      <c r="DB66" s="174">
        <v>15</v>
      </c>
    </row>
    <row r="67" spans="5:106" ht="12.75">
      <c r="E67" s="3"/>
      <c r="F67" s="3"/>
      <c r="AD67" s="132"/>
      <c r="BH67" s="2"/>
      <c r="BI67" s="2"/>
      <c r="BJ67" s="2"/>
      <c r="BK67" s="2"/>
      <c r="BY67" s="2"/>
      <c r="DA67" s="161"/>
      <c r="DB67" s="162"/>
    </row>
    <row r="68" spans="77:106" ht="12.75">
      <c r="BY68" s="2"/>
      <c r="DA68" s="165" t="s">
        <v>172</v>
      </c>
      <c r="DB68" s="166">
        <f>DB3+DB11+DB15+DB22+DB47+DB55+DB62+DB64+DB59</f>
        <v>370</v>
      </c>
    </row>
    <row r="69" ht="12.75">
      <c r="BY69" s="2"/>
    </row>
    <row r="70" ht="12.75">
      <c r="BY70" s="2"/>
    </row>
    <row r="71" ht="12.75">
      <c r="BY71" s="2"/>
    </row>
    <row r="72" ht="12.75">
      <c r="BY72" s="2"/>
    </row>
    <row r="73" ht="12.75">
      <c r="BY73" s="2"/>
    </row>
    <row r="74" ht="12.75">
      <c r="BY74" s="2"/>
    </row>
    <row r="75" ht="12.75">
      <c r="BY75" s="2"/>
    </row>
    <row r="76" ht="12.75">
      <c r="BY76" s="2"/>
    </row>
    <row r="77" ht="12.75">
      <c r="BY77" s="2"/>
    </row>
    <row r="78" ht="12.75">
      <c r="BY78" s="2"/>
    </row>
    <row r="79" ht="12.75">
      <c r="BY79" s="2"/>
    </row>
    <row r="80" ht="12.75">
      <c r="BY80" s="2"/>
    </row>
    <row r="81" spans="50:103" ht="12.75">
      <c r="AX81" s="18"/>
      <c r="AY81" s="18"/>
      <c r="BY81" s="2"/>
      <c r="CY81" s="18"/>
    </row>
    <row r="82" ht="12.75">
      <c r="BY82" s="2"/>
    </row>
    <row r="83" ht="12.75">
      <c r="BY83" s="2"/>
    </row>
    <row r="84" ht="12.75">
      <c r="BY84" s="2"/>
    </row>
    <row r="85" ht="12.75">
      <c r="BY85" s="2"/>
    </row>
    <row r="86" ht="12.75">
      <c r="BY86" s="2"/>
    </row>
    <row r="87" ht="12.75">
      <c r="BY87" s="2"/>
    </row>
    <row r="88" ht="12.75">
      <c r="BY88" s="2"/>
    </row>
    <row r="89" ht="12.75">
      <c r="BY89" s="2"/>
    </row>
    <row r="90" ht="12.75">
      <c r="BY90" s="2"/>
    </row>
    <row r="91" ht="12.75">
      <c r="BY91" s="2"/>
    </row>
    <row r="92" spans="50:103" ht="12.75">
      <c r="AX92" s="18"/>
      <c r="AY92" s="18"/>
      <c r="BY92" s="2"/>
      <c r="CY92" s="18"/>
    </row>
    <row r="98" spans="50:103" ht="12.75">
      <c r="AX98" s="18"/>
      <c r="AY98" s="18"/>
      <c r="CY98" s="18"/>
    </row>
    <row r="104" spans="50:103" ht="12.75">
      <c r="AX104" s="18"/>
      <c r="AY104" s="18"/>
      <c r="CY104" s="1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2015-12-20T16:10:57Z</dcterms:modified>
  <cp:category/>
  <cp:version/>
  <cp:contentType/>
  <cp:contentStatus/>
</cp:coreProperties>
</file>