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96" windowWidth="15330" windowHeight="15990" tabRatio="597" firstSheet="2" activeTab="6"/>
  </bookViews>
  <sheets>
    <sheet name="Gruppendritte-FIFA" sheetId="1" r:id="rId1"/>
    <sheet name="Gruppendritte-UEFA" sheetId="2" r:id="rId2"/>
    <sheet name="Gruppendritte-Bernd" sheetId="3" r:id="rId3"/>
    <sheet name="EM2020-Plan" sheetId="4" r:id="rId4"/>
    <sheet name="EM2020-Platz3" sheetId="5" r:id="rId5"/>
    <sheet name="EM2021-Plan" sheetId="6" r:id="rId6"/>
    <sheet name="EM2021-Platz3" sheetId="7" r:id="rId7"/>
  </sheets>
  <definedNames/>
  <calcPr fullCalcOnLoad="1"/>
</workbook>
</file>

<file path=xl/sharedStrings.xml><?xml version="1.0" encoding="utf-8"?>
<sst xmlns="http://schemas.openxmlformats.org/spreadsheetml/2006/main" count="3006" uniqueCount="169">
  <si>
    <t>Vorrunde</t>
  </si>
  <si>
    <t>Gruppe A</t>
  </si>
  <si>
    <t xml:space="preserve"> </t>
  </si>
  <si>
    <t>Tabelle</t>
  </si>
  <si>
    <t>P</t>
  </si>
  <si>
    <t>T+</t>
  </si>
  <si>
    <t>T-</t>
  </si>
  <si>
    <t>T+/-</t>
  </si>
  <si>
    <t>G</t>
  </si>
  <si>
    <t>Berechnungen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</si>
  <si>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</si>
  <si>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</si>
  <si>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</si>
  <si>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</si>
  <si>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</si>
  <si>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</si>
  <si>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</si>
  <si>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</si>
  <si>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</si>
  <si>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Datum/Zeit</t>
  </si>
  <si>
    <t>Spielort</t>
  </si>
  <si>
    <t>-</t>
  </si>
  <si>
    <t>:</t>
  </si>
  <si>
    <t>ok</t>
  </si>
  <si>
    <t>1A</t>
  </si>
  <si>
    <t>2A</t>
  </si>
  <si>
    <t>Gruppe B</t>
  </si>
  <si>
    <t>1B</t>
  </si>
  <si>
    <t>2B</t>
  </si>
  <si>
    <t>Gruppe C</t>
  </si>
  <si>
    <t>1C</t>
  </si>
  <si>
    <t>2C</t>
  </si>
  <si>
    <t>Gruppe D</t>
  </si>
  <si>
    <t>1D</t>
  </si>
  <si>
    <t>2D</t>
  </si>
  <si>
    <t>Gruppe E</t>
  </si>
  <si>
    <t>1E</t>
  </si>
  <si>
    <t>2E</t>
  </si>
  <si>
    <t>Gruppe F</t>
  </si>
  <si>
    <t>1F</t>
  </si>
  <si>
    <t>2F</t>
  </si>
  <si>
    <t>Achtelfinale</t>
  </si>
  <si>
    <t>AF1</t>
  </si>
  <si>
    <t>AF2</t>
  </si>
  <si>
    <t>AF3</t>
  </si>
  <si>
    <t>AF4</t>
  </si>
  <si>
    <t>AF5</t>
  </si>
  <si>
    <t>AF6</t>
  </si>
  <si>
    <t>AF7</t>
  </si>
  <si>
    <t>AF8</t>
  </si>
  <si>
    <t>Viertelfinale</t>
  </si>
  <si>
    <t>VF3</t>
  </si>
  <si>
    <t>VF1</t>
  </si>
  <si>
    <t>VF4</t>
  </si>
  <si>
    <t>VF2</t>
  </si>
  <si>
    <t>Halbfinale</t>
  </si>
  <si>
    <t>F1</t>
  </si>
  <si>
    <t>F2</t>
  </si>
  <si>
    <t>HF1</t>
  </si>
  <si>
    <t>Um Platz 3</t>
  </si>
  <si>
    <t>HF2</t>
  </si>
  <si>
    <t>Finale</t>
  </si>
  <si>
    <t>Zufallsformel</t>
  </si>
  <si>
    <t>OK</t>
  </si>
  <si>
    <t>Spanien</t>
  </si>
  <si>
    <t>Deutschland</t>
  </si>
  <si>
    <t>Frankreich</t>
  </si>
  <si>
    <t>England</t>
  </si>
  <si>
    <t>Niederlande</t>
  </si>
  <si>
    <t>SP</t>
  </si>
  <si>
    <t>ja</t>
  </si>
  <si>
    <t>Ergebnis Zufall</t>
  </si>
  <si>
    <t>3C</t>
  </si>
  <si>
    <t>3F</t>
  </si>
  <si>
    <t>3B</t>
  </si>
  <si>
    <t>3E</t>
  </si>
  <si>
    <t>3ACD</t>
  </si>
  <si>
    <t>3CDE</t>
  </si>
  <si>
    <t>3BEF</t>
  </si>
  <si>
    <t>3ABF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</si>
  <si>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</si>
  <si>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</si>
  <si>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</si>
  <si>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</si>
  <si>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</si>
  <si>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</si>
  <si>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</si>
  <si>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</si>
  <si>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</si>
  <si>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</si>
  <si>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</si>
  <si>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</si>
  <si>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</si>
  <si>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</si>
  <si>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</si>
  <si>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A</t>
  </si>
  <si>
    <t>C</t>
  </si>
  <si>
    <t>D</t>
  </si>
  <si>
    <t>E</t>
  </si>
  <si>
    <t>B</t>
  </si>
  <si>
    <t>F</t>
  </si>
  <si>
    <t>Schweden</t>
  </si>
  <si>
    <t>ABCE,ABCF,ABDE,ABDF,ABEF,ACEF,ADEF</t>
  </si>
  <si>
    <t>wenn</t>
  </si>
  <si>
    <t xml:space="preserve">wenn </t>
  </si>
  <si>
    <t>ABCD,ACDE,ACDF,BCDE,BCDF.BCEF,CDEF</t>
  </si>
  <si>
    <t>ABCE,ABCF,ACEF</t>
  </si>
  <si>
    <t>ABCD,ABDE,ABDF,ACDE,ACDF,ADEF,BCDE,BCDF,CDEF</t>
  </si>
  <si>
    <t>ABEF,BCEF,BDEF</t>
  </si>
  <si>
    <t>ABCD,ABCF,ABDF,ABEF,BCDF,BCEF,BDEF</t>
  </si>
  <si>
    <t>ABCE,ABDE,ACDE,ACEF,ADEF,BCDE,CDEF</t>
  </si>
  <si>
    <t>ABCD,ACDE,ACDF</t>
  </si>
  <si>
    <t>ABCE,ABDE,BCDE</t>
  </si>
  <si>
    <t>ABCF,ABDF,ABEF,ACEF,ADEF,BCDF,BCEF,BDEF,CDEF</t>
  </si>
  <si>
    <t>Formel:</t>
  </si>
  <si>
    <t>3A</t>
  </si>
  <si>
    <t>3D</t>
  </si>
  <si>
    <t>Gruppendritte</t>
  </si>
  <si>
    <t>L0=AE hebelt Berechnung aus (top level Losen)</t>
  </si>
  <si>
    <t>L1=AK hebelt Direktvergleich (S1) aus</t>
  </si>
  <si>
    <t>L4=AV Losen UEFA-Koeffizient, Fairplay oder Münzwurf</t>
  </si>
  <si>
    <t>R</t>
  </si>
  <si>
    <t>Auto</t>
  </si>
  <si>
    <t>L8</t>
  </si>
  <si>
    <t>=</t>
  </si>
  <si>
    <t>L8=Buchstabe für manuelle Gruppe</t>
  </si>
  <si>
    <t>Reihenfolge nur zur Gruppenauswahl</t>
  </si>
  <si>
    <t>alfabetisch</t>
  </si>
  <si>
    <t>umsortieren</t>
  </si>
  <si>
    <t>S</t>
  </si>
  <si>
    <t>Italien</t>
  </si>
  <si>
    <t>3DEF</t>
  </si>
  <si>
    <t>3ADEF</t>
  </si>
  <si>
    <t>3ABCD</t>
  </si>
  <si>
    <t>3ABC</t>
  </si>
  <si>
    <t>Leningrad</t>
  </si>
  <si>
    <t>München</t>
  </si>
  <si>
    <t>Baku</t>
  </si>
  <si>
    <t>Rom</t>
  </si>
  <si>
    <t>London</t>
  </si>
  <si>
    <t>Bilbao</t>
  </si>
  <si>
    <t>Bukarest</t>
  </si>
  <si>
    <t>Kopenhagen</t>
  </si>
  <si>
    <t>Budapest</t>
  </si>
  <si>
    <t>Amsterdam</t>
  </si>
  <si>
    <t>Dublin</t>
  </si>
  <si>
    <t>Glasgow</t>
  </si>
  <si>
    <t>Rostock</t>
  </si>
  <si>
    <t>Türkei</t>
  </si>
  <si>
    <t>Wales</t>
  </si>
  <si>
    <t>Schweiz</t>
  </si>
  <si>
    <t>Dänemark</t>
  </si>
  <si>
    <t>Finnland</t>
  </si>
  <si>
    <t>Russland</t>
  </si>
  <si>
    <t>Belgien</t>
  </si>
  <si>
    <t>Ukraine</t>
  </si>
  <si>
    <t>Österreich</t>
  </si>
  <si>
    <t>Kroatien</t>
  </si>
  <si>
    <t>Tschechien</t>
  </si>
  <si>
    <t>Polen</t>
  </si>
  <si>
    <t>Portugal</t>
  </si>
  <si>
    <t>Ungarn</t>
  </si>
  <si>
    <t>Irland</t>
  </si>
  <si>
    <t>Schottland</t>
  </si>
  <si>
    <t>Weißrussland</t>
  </si>
  <si>
    <t>Europameister</t>
  </si>
  <si>
    <t>N'Mazedonien</t>
  </si>
  <si>
    <t>Sevilla</t>
  </si>
  <si>
    <t>Slowakei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</si>
</sst>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E+00"/>
    <numFmt numFmtId="176" formatCode="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34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5" borderId="0" xfId="0" applyFont="1" applyFill="1" applyAlignment="1" applyProtection="1">
      <alignment horizontal="left"/>
      <protection/>
    </xf>
    <xf numFmtId="0" fontId="1" fillId="36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38" borderId="0" xfId="0" applyFont="1" applyFill="1" applyAlignment="1" applyProtection="1">
      <alignment horizontal="center"/>
      <protection/>
    </xf>
    <xf numFmtId="0" fontId="1" fillId="38" borderId="0" xfId="0" applyFont="1" applyFill="1" applyAlignment="1" applyProtection="1">
      <alignment horizontal="left"/>
      <protection/>
    </xf>
    <xf numFmtId="0" fontId="1" fillId="39" borderId="0" xfId="0" applyFont="1" applyFill="1" applyAlignment="1" applyProtection="1">
      <alignment horizontal="center"/>
      <protection/>
    </xf>
    <xf numFmtId="0" fontId="1" fillId="40" borderId="0" xfId="0" applyFont="1" applyFill="1" applyAlignment="1" applyProtection="1">
      <alignment horizontal="left"/>
      <protection/>
    </xf>
    <xf numFmtId="0" fontId="1" fillId="41" borderId="0" xfId="0" applyFont="1" applyFill="1" applyAlignment="1" applyProtection="1">
      <alignment horizontal="center"/>
      <protection/>
    </xf>
    <xf numFmtId="0" fontId="1" fillId="41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1" fillId="37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9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42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42" borderId="0" xfId="0" applyFont="1" applyFill="1" applyAlignment="1" applyProtection="1">
      <alignment horizontal="left"/>
      <protection/>
    </xf>
    <xf numFmtId="0" fontId="5" fillId="42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42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6" fillId="42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7" fillId="42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9" fillId="42" borderId="0" xfId="0" applyFont="1" applyFill="1" applyAlignment="1" applyProtection="1">
      <alignment horizontal="left"/>
      <protection/>
    </xf>
    <xf numFmtId="0" fontId="8" fillId="42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0" fillId="40" borderId="0" xfId="0" applyFont="1" applyFill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43" borderId="0" xfId="0" applyFill="1" applyAlignment="1" applyProtection="1">
      <alignment horizontal="center"/>
      <protection/>
    </xf>
    <xf numFmtId="0" fontId="0" fillId="43" borderId="0" xfId="0" applyFill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2" fontId="0" fillId="0" borderId="0" xfId="0" applyNumberFormat="1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C25" sqref="C25"/>
    </sheetView>
  </sheetViews>
  <sheetFormatPr defaultColWidth="11.421875" defaultRowHeight="12.75"/>
  <cols>
    <col min="3" max="3" width="5.7109375" style="0" customWidth="1"/>
    <col min="4" max="4" width="6.140625" style="0" customWidth="1"/>
    <col min="5" max="7" width="5.7109375" style="0" customWidth="1"/>
    <col min="8" max="8" width="6.00390625" style="0" customWidth="1"/>
    <col min="9" max="9" width="5.7109375" style="0" customWidth="1"/>
    <col min="10" max="10" width="6.00390625" style="0" customWidth="1"/>
    <col min="11" max="12" width="5.7109375" style="0" customWidth="1"/>
    <col min="13" max="13" width="5.8515625" style="0" customWidth="1"/>
    <col min="14" max="14" width="5.57421875" style="0" customWidth="1"/>
    <col min="15" max="15" width="5.7109375" style="0" customWidth="1"/>
    <col min="16" max="16" width="5.28125" style="0" customWidth="1"/>
    <col min="17" max="17" width="5.57421875" style="0" customWidth="1"/>
    <col min="18" max="18" width="5.421875" style="0" customWidth="1"/>
    <col min="19" max="24" width="0" style="0" hidden="1" customWidth="1"/>
  </cols>
  <sheetData>
    <row r="1" spans="3:34" ht="12.75"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Y1" t="s">
        <v>27</v>
      </c>
      <c r="AB1" t="s">
        <v>24</v>
      </c>
      <c r="AE1" t="s">
        <v>33</v>
      </c>
      <c r="AH1" t="s">
        <v>30</v>
      </c>
    </row>
    <row r="2" spans="1:36" ht="12.75">
      <c r="A2" t="s">
        <v>27</v>
      </c>
      <c r="B2" t="s">
        <v>76</v>
      </c>
      <c r="C2" s="83" t="s">
        <v>97</v>
      </c>
      <c r="D2" s="80" t="s">
        <v>95</v>
      </c>
      <c r="E2" s="80" t="s">
        <v>95</v>
      </c>
      <c r="F2" s="80" t="s">
        <v>95</v>
      </c>
      <c r="G2" s="80" t="s">
        <v>95</v>
      </c>
      <c r="H2" s="80" t="s">
        <v>95</v>
      </c>
      <c r="I2" s="83" t="s">
        <v>97</v>
      </c>
      <c r="J2" s="83" t="s">
        <v>97</v>
      </c>
      <c r="K2" s="80" t="s">
        <v>95</v>
      </c>
      <c r="L2" s="80" t="s">
        <v>95</v>
      </c>
      <c r="M2" s="83" t="s">
        <v>97</v>
      </c>
      <c r="N2" s="83" t="s">
        <v>97</v>
      </c>
      <c r="O2" s="80" t="s">
        <v>96</v>
      </c>
      <c r="P2" s="80" t="s">
        <v>97</v>
      </c>
      <c r="Q2" s="83" t="s">
        <v>97</v>
      </c>
      <c r="S2" t="s">
        <v>95</v>
      </c>
      <c r="T2" t="s">
        <v>103</v>
      </c>
      <c r="U2" t="s">
        <v>102</v>
      </c>
      <c r="Y2" t="s">
        <v>95</v>
      </c>
      <c r="Z2" t="s">
        <v>96</v>
      </c>
      <c r="AA2" t="s">
        <v>97</v>
      </c>
      <c r="AB2" t="s">
        <v>96</v>
      </c>
      <c r="AC2" t="s">
        <v>97</v>
      </c>
      <c r="AD2" t="s">
        <v>98</v>
      </c>
      <c r="AE2" t="s">
        <v>99</v>
      </c>
      <c r="AF2" t="s">
        <v>98</v>
      </c>
      <c r="AG2" t="s">
        <v>100</v>
      </c>
      <c r="AH2" t="s">
        <v>95</v>
      </c>
      <c r="AI2" t="s">
        <v>99</v>
      </c>
      <c r="AJ2" t="s">
        <v>100</v>
      </c>
    </row>
    <row r="3" spans="1:36" ht="12.75">
      <c r="A3" t="s">
        <v>25</v>
      </c>
      <c r="B3" t="s">
        <v>31</v>
      </c>
      <c r="C3" s="80"/>
      <c r="D3" s="80"/>
      <c r="E3" s="80"/>
      <c r="F3" s="80"/>
      <c r="G3" s="80"/>
      <c r="H3" s="80"/>
      <c r="S3" t="s">
        <v>96</v>
      </c>
      <c r="T3" t="s">
        <v>104</v>
      </c>
      <c r="U3" t="s">
        <v>105</v>
      </c>
      <c r="Y3" t="s">
        <v>81</v>
      </c>
      <c r="Z3" t="s">
        <v>92</v>
      </c>
      <c r="AA3" s="84" t="s">
        <v>80</v>
      </c>
      <c r="AB3" s="84" t="s">
        <v>80</v>
      </c>
      <c r="AC3" t="s">
        <v>83</v>
      </c>
      <c r="AD3" t="s">
        <v>85</v>
      </c>
      <c r="AE3" t="s">
        <v>80</v>
      </c>
      <c r="AF3" t="s">
        <v>81</v>
      </c>
      <c r="AG3" s="84" t="s">
        <v>82</v>
      </c>
      <c r="AH3" t="s">
        <v>80</v>
      </c>
      <c r="AI3" t="s">
        <v>81</v>
      </c>
      <c r="AJ3" t="s">
        <v>88</v>
      </c>
    </row>
    <row r="4" spans="1:36" ht="12.75">
      <c r="A4" t="s">
        <v>36</v>
      </c>
      <c r="B4" t="s">
        <v>34</v>
      </c>
      <c r="C4" s="80"/>
      <c r="D4" s="80"/>
      <c r="E4" s="80"/>
      <c r="F4" s="80"/>
      <c r="G4" s="80"/>
      <c r="H4" s="80"/>
      <c r="S4" t="s">
        <v>97</v>
      </c>
      <c r="T4" t="s">
        <v>103</v>
      </c>
      <c r="U4" t="s">
        <v>93</v>
      </c>
      <c r="Y4" t="s">
        <v>82</v>
      </c>
      <c r="Z4" s="84"/>
      <c r="AA4" s="84" t="s">
        <v>86</v>
      </c>
      <c r="AB4" t="s">
        <v>81</v>
      </c>
      <c r="AC4" t="s">
        <v>84</v>
      </c>
      <c r="AD4" t="s">
        <v>92</v>
      </c>
      <c r="AE4" s="84"/>
      <c r="AF4" t="s">
        <v>83</v>
      </c>
      <c r="AG4" s="84" t="s">
        <v>84</v>
      </c>
      <c r="AH4" t="s">
        <v>86</v>
      </c>
      <c r="AI4" s="84" t="s">
        <v>82</v>
      </c>
      <c r="AJ4" t="s">
        <v>89</v>
      </c>
    </row>
    <row r="5" spans="1:36" ht="12.75">
      <c r="A5" t="s">
        <v>39</v>
      </c>
      <c r="B5" t="s">
        <v>37</v>
      </c>
      <c r="C5" s="80"/>
      <c r="D5" s="80"/>
      <c r="E5" s="80"/>
      <c r="F5" s="80"/>
      <c r="G5" s="80"/>
      <c r="H5" s="80"/>
      <c r="Y5" t="s">
        <v>83</v>
      </c>
      <c r="Z5" s="84"/>
      <c r="AA5" s="84" t="s">
        <v>87</v>
      </c>
      <c r="AB5" t="s">
        <v>82</v>
      </c>
      <c r="AC5" t="s">
        <v>89</v>
      </c>
      <c r="AD5" t="s">
        <v>93</v>
      </c>
      <c r="AE5" s="84"/>
      <c r="AF5" t="s">
        <v>86</v>
      </c>
      <c r="AG5" s="84" t="s">
        <v>85</v>
      </c>
      <c r="AH5" t="s">
        <v>87</v>
      </c>
      <c r="AI5" t="s">
        <v>83</v>
      </c>
      <c r="AJ5" t="s">
        <v>94</v>
      </c>
    </row>
    <row r="6" spans="1:35" ht="12.75">
      <c r="A6" t="s">
        <v>24</v>
      </c>
      <c r="B6" t="s">
        <v>77</v>
      </c>
      <c r="C6" s="83" t="s">
        <v>96</v>
      </c>
      <c r="D6" s="80" t="s">
        <v>96</v>
      </c>
      <c r="E6" s="80" t="s">
        <v>96</v>
      </c>
      <c r="F6" s="80" t="s">
        <v>97</v>
      </c>
      <c r="G6" s="80" t="s">
        <v>97</v>
      </c>
      <c r="H6" s="80" t="s">
        <v>98</v>
      </c>
      <c r="I6" s="83" t="s">
        <v>96</v>
      </c>
      <c r="J6" s="83" t="s">
        <v>96</v>
      </c>
      <c r="K6" s="80" t="s">
        <v>96</v>
      </c>
      <c r="L6" s="80" t="s">
        <v>97</v>
      </c>
      <c r="M6" s="83" t="s">
        <v>96</v>
      </c>
      <c r="N6" s="83" t="s">
        <v>96</v>
      </c>
      <c r="O6" s="80" t="s">
        <v>98</v>
      </c>
      <c r="P6" s="80" t="s">
        <v>98</v>
      </c>
      <c r="Q6" s="83" t="s">
        <v>96</v>
      </c>
      <c r="S6" t="s">
        <v>96</v>
      </c>
      <c r="T6" t="s">
        <v>103</v>
      </c>
      <c r="U6" t="s">
        <v>106</v>
      </c>
      <c r="Y6" t="s">
        <v>84</v>
      </c>
      <c r="Z6" s="84"/>
      <c r="AA6" s="84" t="s">
        <v>90</v>
      </c>
      <c r="AB6" s="84" t="s">
        <v>86</v>
      </c>
      <c r="AC6" s="84"/>
      <c r="AE6" s="84"/>
      <c r="AF6" t="s">
        <v>88</v>
      </c>
      <c r="AG6" t="s">
        <v>87</v>
      </c>
      <c r="AI6" s="84" t="s">
        <v>84</v>
      </c>
    </row>
    <row r="7" spans="1:35" ht="12.75">
      <c r="A7" t="s">
        <v>28</v>
      </c>
      <c r="B7" t="s">
        <v>40</v>
      </c>
      <c r="C7" s="80"/>
      <c r="D7" s="80"/>
      <c r="E7" s="80"/>
      <c r="F7" s="80"/>
      <c r="G7" s="80"/>
      <c r="H7" s="80"/>
      <c r="S7" t="s">
        <v>97</v>
      </c>
      <c r="T7" t="s">
        <v>103</v>
      </c>
      <c r="U7" t="s">
        <v>107</v>
      </c>
      <c r="Y7" t="s">
        <v>85</v>
      </c>
      <c r="Z7" s="84"/>
      <c r="AA7" s="84" t="s">
        <v>91</v>
      </c>
      <c r="AB7" s="84" t="s">
        <v>87</v>
      </c>
      <c r="AC7" s="84"/>
      <c r="AE7" s="84"/>
      <c r="AF7" t="s">
        <v>89</v>
      </c>
      <c r="AG7" s="84" t="s">
        <v>91</v>
      </c>
      <c r="AI7" s="84" t="s">
        <v>85</v>
      </c>
    </row>
    <row r="8" spans="1:36" ht="12.75">
      <c r="A8" t="s">
        <v>33</v>
      </c>
      <c r="B8" t="s">
        <v>78</v>
      </c>
      <c r="C8" s="80" t="s">
        <v>99</v>
      </c>
      <c r="D8" s="80" t="s">
        <v>98</v>
      </c>
      <c r="E8" s="83" t="s">
        <v>100</v>
      </c>
      <c r="F8" s="80" t="s">
        <v>98</v>
      </c>
      <c r="G8" s="83" t="s">
        <v>100</v>
      </c>
      <c r="H8" s="83" t="s">
        <v>100</v>
      </c>
      <c r="I8" s="80" t="s">
        <v>98</v>
      </c>
      <c r="J8" s="80" t="s">
        <v>100</v>
      </c>
      <c r="K8" s="80" t="s">
        <v>98</v>
      </c>
      <c r="L8" s="80" t="s">
        <v>98</v>
      </c>
      <c r="M8" s="80" t="s">
        <v>98</v>
      </c>
      <c r="N8" s="83" t="s">
        <v>100</v>
      </c>
      <c r="O8" s="83" t="s">
        <v>100</v>
      </c>
      <c r="P8" s="83" t="s">
        <v>100</v>
      </c>
      <c r="Q8" s="80" t="s">
        <v>98</v>
      </c>
      <c r="S8" t="s">
        <v>98</v>
      </c>
      <c r="T8" t="s">
        <v>103</v>
      </c>
      <c r="U8" t="s">
        <v>108</v>
      </c>
      <c r="Y8" t="s">
        <v>88</v>
      </c>
      <c r="AA8" t="s">
        <v>93</v>
      </c>
      <c r="AB8" t="s">
        <v>88</v>
      </c>
      <c r="AE8" s="84"/>
      <c r="AF8" t="s">
        <v>90</v>
      </c>
      <c r="AG8" s="84" t="s">
        <v>92</v>
      </c>
      <c r="AI8" t="s">
        <v>90</v>
      </c>
      <c r="AJ8" s="84"/>
    </row>
    <row r="9" spans="1:36" ht="12.75">
      <c r="A9" t="s">
        <v>30</v>
      </c>
      <c r="B9" t="s">
        <v>79</v>
      </c>
      <c r="C9" s="80" t="s">
        <v>95</v>
      </c>
      <c r="D9" s="80" t="s">
        <v>99</v>
      </c>
      <c r="E9" s="83" t="s">
        <v>99</v>
      </c>
      <c r="F9" s="80" t="s">
        <v>99</v>
      </c>
      <c r="G9" s="83" t="s">
        <v>99</v>
      </c>
      <c r="H9" s="83" t="s">
        <v>99</v>
      </c>
      <c r="I9" s="80" t="s">
        <v>95</v>
      </c>
      <c r="J9" s="80" t="s">
        <v>95</v>
      </c>
      <c r="K9" s="80" t="s">
        <v>100</v>
      </c>
      <c r="L9" s="80" t="s">
        <v>100</v>
      </c>
      <c r="M9" s="80" t="s">
        <v>99</v>
      </c>
      <c r="N9" s="83" t="s">
        <v>99</v>
      </c>
      <c r="O9" s="83" t="s">
        <v>99</v>
      </c>
      <c r="P9" s="83" t="s">
        <v>99</v>
      </c>
      <c r="Q9" s="80" t="s">
        <v>100</v>
      </c>
      <c r="Y9" t="s">
        <v>89</v>
      </c>
      <c r="Z9" s="84"/>
      <c r="AA9" s="84" t="s">
        <v>94</v>
      </c>
      <c r="AB9" s="84" t="s">
        <v>90</v>
      </c>
      <c r="AC9" s="84"/>
      <c r="AE9" s="84"/>
      <c r="AF9" t="s">
        <v>94</v>
      </c>
      <c r="AG9" s="84" t="s">
        <v>93</v>
      </c>
      <c r="AI9" s="84" t="s">
        <v>91</v>
      </c>
      <c r="AJ9" s="84"/>
    </row>
    <row r="10" spans="19:36" ht="12.75">
      <c r="S10" t="s">
        <v>99</v>
      </c>
      <c r="T10" t="s">
        <v>103</v>
      </c>
      <c r="U10" t="s">
        <v>109</v>
      </c>
      <c r="AB10" s="84" t="s">
        <v>91</v>
      </c>
      <c r="AC10" s="84"/>
      <c r="AG10" s="84"/>
      <c r="AI10" s="84" t="s">
        <v>92</v>
      </c>
      <c r="AJ10" s="84"/>
    </row>
    <row r="11" spans="19:35" ht="12.75">
      <c r="S11" t="s">
        <v>98</v>
      </c>
      <c r="T11" t="s">
        <v>103</v>
      </c>
      <c r="U11" t="s">
        <v>110</v>
      </c>
      <c r="AB11" s="84" t="s">
        <v>94</v>
      </c>
      <c r="AC11" s="84"/>
      <c r="AG11" s="84"/>
      <c r="AI11" s="84" t="s">
        <v>93</v>
      </c>
    </row>
    <row r="12" spans="1:35" ht="12.75">
      <c r="A12" t="s">
        <v>114</v>
      </c>
      <c r="AI12" s="84"/>
    </row>
    <row r="13" spans="3:17" ht="12.75"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t="s">
        <v>87</v>
      </c>
      <c r="K13" t="s">
        <v>88</v>
      </c>
      <c r="L13" t="s">
        <v>89</v>
      </c>
      <c r="M13" t="s">
        <v>90</v>
      </c>
      <c r="N13" t="s">
        <v>91</v>
      </c>
      <c r="O13" t="s">
        <v>92</v>
      </c>
      <c r="P13" t="s">
        <v>93</v>
      </c>
      <c r="Q13" t="s">
        <v>94</v>
      </c>
    </row>
    <row r="14" spans="1:17" ht="12.75">
      <c r="A14" t="s">
        <v>27</v>
      </c>
      <c r="B14" t="s">
        <v>76</v>
      </c>
      <c r="C14" s="80" t="str">
        <f aca="true" t="shared" si="0" ref="C14:Q14">IF(COUNTIF($Y$3:$Y$11,C$13)&gt;0,$Y$2,IF(COUNTIF($Z$3:$Z$11,C$13)&gt;0,$Z$2,IF(COUNTIF($AA$3:$AA$11,C$13)&gt;0,$AA$2,CONCATENATE("??? ",C$13))))</f>
        <v>D</v>
      </c>
      <c r="D14" s="80" t="str">
        <f t="shared" si="0"/>
        <v>A</v>
      </c>
      <c r="E14" s="80" t="str">
        <f t="shared" si="0"/>
        <v>A</v>
      </c>
      <c r="F14" s="80" t="str">
        <f t="shared" si="0"/>
        <v>A</v>
      </c>
      <c r="G14" s="80" t="str">
        <f t="shared" si="0"/>
        <v>A</v>
      </c>
      <c r="H14" s="80" t="str">
        <f t="shared" si="0"/>
        <v>A</v>
      </c>
      <c r="I14" s="80" t="str">
        <f t="shared" si="0"/>
        <v>D</v>
      </c>
      <c r="J14" s="80" t="str">
        <f t="shared" si="0"/>
        <v>D</v>
      </c>
      <c r="K14" s="80" t="str">
        <f t="shared" si="0"/>
        <v>A</v>
      </c>
      <c r="L14" s="80" t="str">
        <f t="shared" si="0"/>
        <v>A</v>
      </c>
      <c r="M14" s="80" t="str">
        <f t="shared" si="0"/>
        <v>D</v>
      </c>
      <c r="N14" s="80" t="str">
        <f t="shared" si="0"/>
        <v>D</v>
      </c>
      <c r="O14" s="80" t="str">
        <f t="shared" si="0"/>
        <v>C</v>
      </c>
      <c r="P14" s="80" t="str">
        <f t="shared" si="0"/>
        <v>D</v>
      </c>
      <c r="Q14" s="80" t="str">
        <f t="shared" si="0"/>
        <v>D</v>
      </c>
    </row>
    <row r="15" spans="1:8" ht="12.75">
      <c r="A15" t="s">
        <v>25</v>
      </c>
      <c r="B15" t="s">
        <v>31</v>
      </c>
      <c r="C15" s="80"/>
      <c r="D15" s="80"/>
      <c r="E15" s="80"/>
      <c r="F15" s="80"/>
      <c r="G15" s="80"/>
      <c r="H15" s="80"/>
    </row>
    <row r="16" spans="1:8" ht="12.75">
      <c r="A16" t="s">
        <v>36</v>
      </c>
      <c r="B16" t="s">
        <v>34</v>
      </c>
      <c r="C16" s="80"/>
      <c r="D16" s="80"/>
      <c r="E16" s="80"/>
      <c r="F16" s="80"/>
      <c r="G16" s="80"/>
      <c r="H16" s="80"/>
    </row>
    <row r="17" spans="1:8" ht="12.75">
      <c r="A17" t="s">
        <v>39</v>
      </c>
      <c r="B17" t="s">
        <v>37</v>
      </c>
      <c r="C17" s="80"/>
      <c r="D17" s="80"/>
      <c r="E17" s="80"/>
      <c r="F17" s="80"/>
      <c r="G17" s="80"/>
      <c r="H17" s="80"/>
    </row>
    <row r="18" spans="1:17" ht="12.75">
      <c r="A18" t="s">
        <v>24</v>
      </c>
      <c r="B18" t="s">
        <v>77</v>
      </c>
      <c r="C18" s="80" t="str">
        <f aca="true" t="shared" si="1" ref="C18:Q18">IF(COUNTIF($AB$3:$AB$11,C$13)&gt;0,$AB$2,IF(COUNTIF($AC$3:$AC$11,C$13)&gt;0,$AC$2,IF(COUNTIF($AD$3:$AD$11,C$13)&gt;0,$AD$2,CONCATENATE("??? ",C$13))))</f>
        <v>C</v>
      </c>
      <c r="D18" s="80" t="str">
        <f t="shared" si="1"/>
        <v>C</v>
      </c>
      <c r="E18" s="80" t="str">
        <f t="shared" si="1"/>
        <v>C</v>
      </c>
      <c r="F18" s="80" t="str">
        <f t="shared" si="1"/>
        <v>D</v>
      </c>
      <c r="G18" s="80" t="str">
        <f t="shared" si="1"/>
        <v>D</v>
      </c>
      <c r="H18" s="80" t="str">
        <f t="shared" si="1"/>
        <v>E</v>
      </c>
      <c r="I18" s="80" t="str">
        <f t="shared" si="1"/>
        <v>C</v>
      </c>
      <c r="J18" s="80" t="str">
        <f t="shared" si="1"/>
        <v>C</v>
      </c>
      <c r="K18" s="80" t="str">
        <f t="shared" si="1"/>
        <v>C</v>
      </c>
      <c r="L18" s="80" t="str">
        <f t="shared" si="1"/>
        <v>D</v>
      </c>
      <c r="M18" s="80" t="str">
        <f t="shared" si="1"/>
        <v>C</v>
      </c>
      <c r="N18" s="80" t="str">
        <f t="shared" si="1"/>
        <v>C</v>
      </c>
      <c r="O18" s="80" t="str">
        <f t="shared" si="1"/>
        <v>E</v>
      </c>
      <c r="P18" s="80" t="str">
        <f t="shared" si="1"/>
        <v>E</v>
      </c>
      <c r="Q18" s="80" t="str">
        <f t="shared" si="1"/>
        <v>C</v>
      </c>
    </row>
    <row r="19" spans="1:8" ht="12.75">
      <c r="A19" t="s">
        <v>28</v>
      </c>
      <c r="B19" t="s">
        <v>40</v>
      </c>
      <c r="C19" s="80"/>
      <c r="D19" s="80"/>
      <c r="E19" s="80"/>
      <c r="F19" s="80"/>
      <c r="G19" s="80"/>
      <c r="H19" s="80"/>
    </row>
    <row r="20" spans="1:17" ht="12.75">
      <c r="A20" t="s">
        <v>33</v>
      </c>
      <c r="B20" t="s">
        <v>78</v>
      </c>
      <c r="C20" s="80" t="str">
        <f aca="true" t="shared" si="2" ref="C20:Q20">IF(COUNTIF($AE$3:$AE$11,C$13)&gt;0,$AE$2,IF(COUNTIF($AF$3:$AF$11,C$13)&gt;0,$AF$2,IF(COUNTIF($AG$3:$AG$11,C$13)&gt;0,$AG$2,CONCATENATE("??? ",C$13))))</f>
        <v>B</v>
      </c>
      <c r="D20" s="80" t="str">
        <f t="shared" si="2"/>
        <v>E</v>
      </c>
      <c r="E20" s="80" t="str">
        <f t="shared" si="2"/>
        <v>F</v>
      </c>
      <c r="F20" s="80" t="str">
        <f t="shared" si="2"/>
        <v>E</v>
      </c>
      <c r="G20" s="80" t="str">
        <f t="shared" si="2"/>
        <v>F</v>
      </c>
      <c r="H20" s="80" t="str">
        <f t="shared" si="2"/>
        <v>F</v>
      </c>
      <c r="I20" s="80" t="str">
        <f t="shared" si="2"/>
        <v>E</v>
      </c>
      <c r="J20" s="80" t="str">
        <f t="shared" si="2"/>
        <v>F</v>
      </c>
      <c r="K20" s="80" t="str">
        <f t="shared" si="2"/>
        <v>E</v>
      </c>
      <c r="L20" s="80" t="str">
        <f t="shared" si="2"/>
        <v>E</v>
      </c>
      <c r="M20" s="80" t="str">
        <f t="shared" si="2"/>
        <v>E</v>
      </c>
      <c r="N20" s="80" t="str">
        <f t="shared" si="2"/>
        <v>F</v>
      </c>
      <c r="O20" s="80" t="str">
        <f t="shared" si="2"/>
        <v>F</v>
      </c>
      <c r="P20" s="80" t="str">
        <f t="shared" si="2"/>
        <v>F</v>
      </c>
      <c r="Q20" s="80" t="str">
        <f t="shared" si="2"/>
        <v>E</v>
      </c>
    </row>
    <row r="21" spans="1:17" ht="12.75">
      <c r="A21" t="s">
        <v>30</v>
      </c>
      <c r="B21" t="s">
        <v>79</v>
      </c>
      <c r="C21" s="80" t="str">
        <f aca="true" t="shared" si="3" ref="C21:Q21">IF(COUNTIF($AH$3:$AH$11,C$13)&gt;0,$AH$2,IF(COUNTIF($AI$3:$AI$11,C$13)&gt;0,$AI$2,IF(COUNTIF($AJ$3:$AJ$11,C$13)&gt;0,$AJ$2,CONCATENATE("??? ",C$13))))</f>
        <v>A</v>
      </c>
      <c r="D21" s="80" t="str">
        <f t="shared" si="3"/>
        <v>B</v>
      </c>
      <c r="E21" s="80" t="str">
        <f t="shared" si="3"/>
        <v>B</v>
      </c>
      <c r="F21" s="80" t="str">
        <f t="shared" si="3"/>
        <v>B</v>
      </c>
      <c r="G21" s="80" t="str">
        <f t="shared" si="3"/>
        <v>B</v>
      </c>
      <c r="H21" s="80" t="str">
        <f t="shared" si="3"/>
        <v>B</v>
      </c>
      <c r="I21" s="80" t="str">
        <f t="shared" si="3"/>
        <v>A</v>
      </c>
      <c r="J21" s="80" t="str">
        <f t="shared" si="3"/>
        <v>A</v>
      </c>
      <c r="K21" s="80" t="str">
        <f t="shared" si="3"/>
        <v>F</v>
      </c>
      <c r="L21" s="80" t="str">
        <f t="shared" si="3"/>
        <v>F</v>
      </c>
      <c r="M21" s="80" t="str">
        <f t="shared" si="3"/>
        <v>B</v>
      </c>
      <c r="N21" s="80" t="str">
        <f t="shared" si="3"/>
        <v>B</v>
      </c>
      <c r="O21" s="80" t="str">
        <f t="shared" si="3"/>
        <v>B</v>
      </c>
      <c r="P21" s="80" t="str">
        <f t="shared" si="3"/>
        <v>B</v>
      </c>
      <c r="Q21" s="80" t="str">
        <f t="shared" si="3"/>
        <v>F</v>
      </c>
    </row>
    <row r="25" spans="1:17" ht="12.75">
      <c r="A25" t="str">
        <f aca="true" t="shared" si="4" ref="A25:Q25">IF(A1=A13,"ok","Mist")</f>
        <v>ok</v>
      </c>
      <c r="B25" t="str">
        <f t="shared" si="4"/>
        <v>ok</v>
      </c>
      <c r="C25" t="str">
        <f t="shared" si="4"/>
        <v>ok</v>
      </c>
      <c r="D25" t="str">
        <f t="shared" si="4"/>
        <v>ok</v>
      </c>
      <c r="E25" t="str">
        <f t="shared" si="4"/>
        <v>ok</v>
      </c>
      <c r="F25" t="str">
        <f t="shared" si="4"/>
        <v>ok</v>
      </c>
      <c r="G25" t="str">
        <f t="shared" si="4"/>
        <v>ok</v>
      </c>
      <c r="H25" t="str">
        <f t="shared" si="4"/>
        <v>ok</v>
      </c>
      <c r="I25" t="str">
        <f t="shared" si="4"/>
        <v>ok</v>
      </c>
      <c r="J25" t="str">
        <f t="shared" si="4"/>
        <v>ok</v>
      </c>
      <c r="K25" t="str">
        <f t="shared" si="4"/>
        <v>ok</v>
      </c>
      <c r="L25" t="str">
        <f t="shared" si="4"/>
        <v>ok</v>
      </c>
      <c r="M25" t="str">
        <f t="shared" si="4"/>
        <v>ok</v>
      </c>
      <c r="N25" t="str">
        <f t="shared" si="4"/>
        <v>ok</v>
      </c>
      <c r="O25" t="str">
        <f t="shared" si="4"/>
        <v>ok</v>
      </c>
      <c r="P25" t="str">
        <f t="shared" si="4"/>
        <v>ok</v>
      </c>
      <c r="Q25" t="str">
        <f t="shared" si="4"/>
        <v>ok</v>
      </c>
    </row>
    <row r="26" spans="1:17" ht="12.75">
      <c r="A26" t="str">
        <f aca="true" t="shared" si="5" ref="A26:Q26">IF(A2=A14,"ok","Mist")</f>
        <v>ok</v>
      </c>
      <c r="B26" t="str">
        <f t="shared" si="5"/>
        <v>ok</v>
      </c>
      <c r="C26" t="str">
        <f t="shared" si="5"/>
        <v>ok</v>
      </c>
      <c r="D26" t="str">
        <f t="shared" si="5"/>
        <v>ok</v>
      </c>
      <c r="E26" t="str">
        <f t="shared" si="5"/>
        <v>ok</v>
      </c>
      <c r="F26" t="str">
        <f t="shared" si="5"/>
        <v>ok</v>
      </c>
      <c r="G26" t="str">
        <f t="shared" si="5"/>
        <v>ok</v>
      </c>
      <c r="H26" t="str">
        <f t="shared" si="5"/>
        <v>ok</v>
      </c>
      <c r="I26" t="str">
        <f t="shared" si="5"/>
        <v>ok</v>
      </c>
      <c r="J26" t="str">
        <f t="shared" si="5"/>
        <v>ok</v>
      </c>
      <c r="K26" t="str">
        <f t="shared" si="5"/>
        <v>ok</v>
      </c>
      <c r="L26" t="str">
        <f t="shared" si="5"/>
        <v>ok</v>
      </c>
      <c r="M26" t="str">
        <f t="shared" si="5"/>
        <v>ok</v>
      </c>
      <c r="N26" t="str">
        <f t="shared" si="5"/>
        <v>ok</v>
      </c>
      <c r="O26" t="str">
        <f t="shared" si="5"/>
        <v>ok</v>
      </c>
      <c r="P26" t="str">
        <f t="shared" si="5"/>
        <v>ok</v>
      </c>
      <c r="Q26" t="str">
        <f t="shared" si="5"/>
        <v>ok</v>
      </c>
    </row>
    <row r="27" spans="1:17" ht="12.75">
      <c r="A27" t="str">
        <f aca="true" t="shared" si="6" ref="A27:Q27">IF(A3=A15,"ok","Mist")</f>
        <v>ok</v>
      </c>
      <c r="B27" t="str">
        <f t="shared" si="6"/>
        <v>ok</v>
      </c>
      <c r="C27" t="str">
        <f t="shared" si="6"/>
        <v>ok</v>
      </c>
      <c r="D27" t="str">
        <f t="shared" si="6"/>
        <v>ok</v>
      </c>
      <c r="E27" t="str">
        <f t="shared" si="6"/>
        <v>ok</v>
      </c>
      <c r="F27" t="str">
        <f t="shared" si="6"/>
        <v>ok</v>
      </c>
      <c r="G27" t="str">
        <f t="shared" si="6"/>
        <v>ok</v>
      </c>
      <c r="H27" t="str">
        <f t="shared" si="6"/>
        <v>ok</v>
      </c>
      <c r="I27" t="str">
        <f t="shared" si="6"/>
        <v>ok</v>
      </c>
      <c r="J27" t="str">
        <f t="shared" si="6"/>
        <v>ok</v>
      </c>
      <c r="K27" t="str">
        <f t="shared" si="6"/>
        <v>ok</v>
      </c>
      <c r="L27" t="str">
        <f t="shared" si="6"/>
        <v>ok</v>
      </c>
      <c r="M27" t="str">
        <f t="shared" si="6"/>
        <v>ok</v>
      </c>
      <c r="N27" t="str">
        <f t="shared" si="6"/>
        <v>ok</v>
      </c>
      <c r="O27" t="str">
        <f t="shared" si="6"/>
        <v>ok</v>
      </c>
      <c r="P27" t="str">
        <f t="shared" si="6"/>
        <v>ok</v>
      </c>
      <c r="Q27" t="str">
        <f t="shared" si="6"/>
        <v>ok</v>
      </c>
    </row>
    <row r="28" spans="1:17" ht="12.75">
      <c r="A28" t="str">
        <f aca="true" t="shared" si="7" ref="A28:Q28">IF(A4=A16,"ok","Mist")</f>
        <v>ok</v>
      </c>
      <c r="B28" t="str">
        <f t="shared" si="7"/>
        <v>ok</v>
      </c>
      <c r="C28" t="str">
        <f t="shared" si="7"/>
        <v>ok</v>
      </c>
      <c r="D28" t="str">
        <f t="shared" si="7"/>
        <v>ok</v>
      </c>
      <c r="E28" t="str">
        <f t="shared" si="7"/>
        <v>ok</v>
      </c>
      <c r="F28" t="str">
        <f t="shared" si="7"/>
        <v>ok</v>
      </c>
      <c r="G28" t="str">
        <f t="shared" si="7"/>
        <v>ok</v>
      </c>
      <c r="H28" t="str">
        <f t="shared" si="7"/>
        <v>ok</v>
      </c>
      <c r="I28" t="str">
        <f t="shared" si="7"/>
        <v>ok</v>
      </c>
      <c r="J28" t="str">
        <f t="shared" si="7"/>
        <v>ok</v>
      </c>
      <c r="K28" t="str">
        <f t="shared" si="7"/>
        <v>ok</v>
      </c>
      <c r="L28" t="str">
        <f t="shared" si="7"/>
        <v>ok</v>
      </c>
      <c r="M28" t="str">
        <f t="shared" si="7"/>
        <v>ok</v>
      </c>
      <c r="N28" t="str">
        <f t="shared" si="7"/>
        <v>ok</v>
      </c>
      <c r="O28" t="str">
        <f t="shared" si="7"/>
        <v>ok</v>
      </c>
      <c r="P28" t="str">
        <f t="shared" si="7"/>
        <v>ok</v>
      </c>
      <c r="Q28" t="str">
        <f t="shared" si="7"/>
        <v>ok</v>
      </c>
    </row>
    <row r="29" spans="1:17" ht="12.75">
      <c r="A29" t="str">
        <f aca="true" t="shared" si="8" ref="A29:Q29">IF(A5=A17,"ok","Mist")</f>
        <v>ok</v>
      </c>
      <c r="B29" t="str">
        <f t="shared" si="8"/>
        <v>ok</v>
      </c>
      <c r="C29" t="str">
        <f t="shared" si="8"/>
        <v>ok</v>
      </c>
      <c r="D29" t="str">
        <f t="shared" si="8"/>
        <v>ok</v>
      </c>
      <c r="E29" t="str">
        <f t="shared" si="8"/>
        <v>ok</v>
      </c>
      <c r="F29" t="str">
        <f t="shared" si="8"/>
        <v>ok</v>
      </c>
      <c r="G29" t="str">
        <f t="shared" si="8"/>
        <v>ok</v>
      </c>
      <c r="H29" t="str">
        <f t="shared" si="8"/>
        <v>ok</v>
      </c>
      <c r="I29" t="str">
        <f t="shared" si="8"/>
        <v>ok</v>
      </c>
      <c r="J29" t="str">
        <f t="shared" si="8"/>
        <v>ok</v>
      </c>
      <c r="K29" t="str">
        <f t="shared" si="8"/>
        <v>ok</v>
      </c>
      <c r="L29" t="str">
        <f t="shared" si="8"/>
        <v>ok</v>
      </c>
      <c r="M29" t="str">
        <f t="shared" si="8"/>
        <v>ok</v>
      </c>
      <c r="N29" t="str">
        <f t="shared" si="8"/>
        <v>ok</v>
      </c>
      <c r="O29" t="str">
        <f t="shared" si="8"/>
        <v>ok</v>
      </c>
      <c r="P29" t="str">
        <f t="shared" si="8"/>
        <v>ok</v>
      </c>
      <c r="Q29" t="str">
        <f t="shared" si="8"/>
        <v>ok</v>
      </c>
    </row>
    <row r="30" spans="1:17" ht="12.75">
      <c r="A30" t="str">
        <f aca="true" t="shared" si="9" ref="A30:Q30">IF(A6=A18,"ok","Mist")</f>
        <v>ok</v>
      </c>
      <c r="B30" t="str">
        <f t="shared" si="9"/>
        <v>ok</v>
      </c>
      <c r="C30" t="str">
        <f t="shared" si="9"/>
        <v>ok</v>
      </c>
      <c r="D30" t="str">
        <f t="shared" si="9"/>
        <v>ok</v>
      </c>
      <c r="E30" t="str">
        <f t="shared" si="9"/>
        <v>ok</v>
      </c>
      <c r="F30" t="str">
        <f t="shared" si="9"/>
        <v>ok</v>
      </c>
      <c r="G30" t="str">
        <f t="shared" si="9"/>
        <v>ok</v>
      </c>
      <c r="H30" t="str">
        <f t="shared" si="9"/>
        <v>ok</v>
      </c>
      <c r="I30" t="str">
        <f t="shared" si="9"/>
        <v>ok</v>
      </c>
      <c r="J30" t="str">
        <f t="shared" si="9"/>
        <v>ok</v>
      </c>
      <c r="K30" t="str">
        <f t="shared" si="9"/>
        <v>ok</v>
      </c>
      <c r="L30" t="str">
        <f t="shared" si="9"/>
        <v>ok</v>
      </c>
      <c r="M30" t="str">
        <f t="shared" si="9"/>
        <v>ok</v>
      </c>
      <c r="N30" t="str">
        <f t="shared" si="9"/>
        <v>ok</v>
      </c>
      <c r="O30" t="str">
        <f t="shared" si="9"/>
        <v>ok</v>
      </c>
      <c r="P30" t="str">
        <f t="shared" si="9"/>
        <v>ok</v>
      </c>
      <c r="Q30" t="str">
        <f t="shared" si="9"/>
        <v>ok</v>
      </c>
    </row>
    <row r="31" spans="1:17" ht="12.75">
      <c r="A31" t="str">
        <f aca="true" t="shared" si="10" ref="A31:Q31">IF(A7=A19,"ok","Mist")</f>
        <v>ok</v>
      </c>
      <c r="B31" t="str">
        <f t="shared" si="10"/>
        <v>ok</v>
      </c>
      <c r="C31" t="str">
        <f t="shared" si="10"/>
        <v>ok</v>
      </c>
      <c r="D31" t="str">
        <f t="shared" si="10"/>
        <v>ok</v>
      </c>
      <c r="E31" t="str">
        <f t="shared" si="10"/>
        <v>ok</v>
      </c>
      <c r="F31" t="str">
        <f t="shared" si="10"/>
        <v>ok</v>
      </c>
      <c r="G31" t="str">
        <f t="shared" si="10"/>
        <v>ok</v>
      </c>
      <c r="H31" t="str">
        <f t="shared" si="10"/>
        <v>ok</v>
      </c>
      <c r="I31" t="str">
        <f t="shared" si="10"/>
        <v>ok</v>
      </c>
      <c r="J31" t="str">
        <f t="shared" si="10"/>
        <v>ok</v>
      </c>
      <c r="K31" t="str">
        <f t="shared" si="10"/>
        <v>ok</v>
      </c>
      <c r="L31" t="str">
        <f t="shared" si="10"/>
        <v>ok</v>
      </c>
      <c r="M31" t="str">
        <f t="shared" si="10"/>
        <v>ok</v>
      </c>
      <c r="N31" t="str">
        <f t="shared" si="10"/>
        <v>ok</v>
      </c>
      <c r="O31" t="str">
        <f t="shared" si="10"/>
        <v>ok</v>
      </c>
      <c r="P31" t="str">
        <f t="shared" si="10"/>
        <v>ok</v>
      </c>
      <c r="Q31" t="str">
        <f t="shared" si="10"/>
        <v>ok</v>
      </c>
    </row>
    <row r="32" spans="1:17" ht="12.75">
      <c r="A32" t="str">
        <f aca="true" t="shared" si="11" ref="A32:Q32">IF(A8=A20,"ok","Mist")</f>
        <v>ok</v>
      </c>
      <c r="B32" t="str">
        <f t="shared" si="11"/>
        <v>ok</v>
      </c>
      <c r="C32" t="str">
        <f t="shared" si="11"/>
        <v>ok</v>
      </c>
      <c r="D32" t="str">
        <f t="shared" si="11"/>
        <v>ok</v>
      </c>
      <c r="E32" t="str">
        <f t="shared" si="11"/>
        <v>ok</v>
      </c>
      <c r="F32" t="str">
        <f t="shared" si="11"/>
        <v>ok</v>
      </c>
      <c r="G32" t="str">
        <f t="shared" si="11"/>
        <v>ok</v>
      </c>
      <c r="H32" t="str">
        <f t="shared" si="11"/>
        <v>ok</v>
      </c>
      <c r="I32" t="str">
        <f t="shared" si="11"/>
        <v>ok</v>
      </c>
      <c r="J32" t="str">
        <f t="shared" si="11"/>
        <v>ok</v>
      </c>
      <c r="K32" t="str">
        <f t="shared" si="11"/>
        <v>ok</v>
      </c>
      <c r="L32" t="str">
        <f t="shared" si="11"/>
        <v>ok</v>
      </c>
      <c r="M32" t="str">
        <f t="shared" si="11"/>
        <v>ok</v>
      </c>
      <c r="N32" t="str">
        <f t="shared" si="11"/>
        <v>ok</v>
      </c>
      <c r="O32" t="str">
        <f t="shared" si="11"/>
        <v>ok</v>
      </c>
      <c r="P32" t="str">
        <f t="shared" si="11"/>
        <v>ok</v>
      </c>
      <c r="Q32" t="str">
        <f t="shared" si="11"/>
        <v>ok</v>
      </c>
    </row>
    <row r="33" spans="1:17" ht="12.75">
      <c r="A33" t="str">
        <f aca="true" t="shared" si="12" ref="A33:Q33">IF(A9=A21,"ok","Mist")</f>
        <v>ok</v>
      </c>
      <c r="B33" t="str">
        <f t="shared" si="12"/>
        <v>ok</v>
      </c>
      <c r="C33" t="str">
        <f t="shared" si="12"/>
        <v>ok</v>
      </c>
      <c r="D33" t="str">
        <f t="shared" si="12"/>
        <v>ok</v>
      </c>
      <c r="E33" t="str">
        <f t="shared" si="12"/>
        <v>ok</v>
      </c>
      <c r="F33" t="str">
        <f t="shared" si="12"/>
        <v>ok</v>
      </c>
      <c r="G33" t="str">
        <f t="shared" si="12"/>
        <v>ok</v>
      </c>
      <c r="H33" t="str">
        <f t="shared" si="12"/>
        <v>ok</v>
      </c>
      <c r="I33" t="str">
        <f t="shared" si="12"/>
        <v>ok</v>
      </c>
      <c r="J33" t="str">
        <f t="shared" si="12"/>
        <v>ok</v>
      </c>
      <c r="K33" t="str">
        <f t="shared" si="12"/>
        <v>ok</v>
      </c>
      <c r="L33" t="str">
        <f t="shared" si="12"/>
        <v>ok</v>
      </c>
      <c r="M33" t="str">
        <f t="shared" si="12"/>
        <v>ok</v>
      </c>
      <c r="N33" t="str">
        <f t="shared" si="12"/>
        <v>ok</v>
      </c>
      <c r="O33" t="str">
        <f t="shared" si="12"/>
        <v>ok</v>
      </c>
      <c r="P33" t="str">
        <f t="shared" si="12"/>
        <v>ok</v>
      </c>
      <c r="Q33" t="str">
        <f t="shared" si="12"/>
        <v>ok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5"/>
  <sheetViews>
    <sheetView zoomScalePageLayoutView="0" workbookViewId="0" topLeftCell="A1">
      <selection activeCell="A36" sqref="A36"/>
    </sheetView>
  </sheetViews>
  <sheetFormatPr defaultColWidth="11.421875" defaultRowHeight="12.75"/>
  <cols>
    <col min="3" max="3" width="5.7109375" style="0" customWidth="1"/>
    <col min="4" max="4" width="6.140625" style="0" customWidth="1"/>
    <col min="5" max="7" width="5.7109375" style="0" customWidth="1"/>
    <col min="8" max="8" width="6.00390625" style="0" customWidth="1"/>
    <col min="9" max="9" width="5.7109375" style="0" customWidth="1"/>
    <col min="10" max="10" width="6.00390625" style="0" customWidth="1"/>
    <col min="11" max="12" width="5.7109375" style="0" customWidth="1"/>
    <col min="13" max="13" width="5.8515625" style="0" customWidth="1"/>
    <col min="14" max="14" width="5.57421875" style="0" customWidth="1"/>
    <col min="15" max="15" width="5.7109375" style="0" customWidth="1"/>
    <col min="16" max="16" width="5.28125" style="0" customWidth="1"/>
    <col min="17" max="17" width="5.57421875" style="0" customWidth="1"/>
    <col min="18" max="18" width="5.421875" style="0" customWidth="1"/>
    <col min="19" max="24" width="0" style="0" hidden="1" customWidth="1"/>
  </cols>
  <sheetData>
    <row r="1" spans="3:36" ht="12.75"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Y1" t="s">
        <v>27</v>
      </c>
      <c r="AC1" t="s">
        <v>30</v>
      </c>
      <c r="AF1" t="s">
        <v>36</v>
      </c>
      <c r="AJ1" t="s">
        <v>39</v>
      </c>
    </row>
    <row r="2" spans="1:38" ht="12.75">
      <c r="A2" t="s">
        <v>24</v>
      </c>
      <c r="B2" t="s">
        <v>31</v>
      </c>
      <c r="C2" s="83"/>
      <c r="D2" s="80"/>
      <c r="E2" s="80"/>
      <c r="F2" s="80"/>
      <c r="G2" s="80"/>
      <c r="H2" s="80"/>
      <c r="I2" s="83"/>
      <c r="J2" s="83"/>
      <c r="K2" s="80"/>
      <c r="L2" s="80"/>
      <c r="M2" s="83"/>
      <c r="N2" s="83"/>
      <c r="O2" s="80"/>
      <c r="P2" s="80"/>
      <c r="Q2" s="83"/>
      <c r="S2" t="s">
        <v>95</v>
      </c>
      <c r="T2" t="s">
        <v>103</v>
      </c>
      <c r="U2" t="s">
        <v>102</v>
      </c>
      <c r="Y2" t="s">
        <v>95</v>
      </c>
      <c r="Z2" t="s">
        <v>97</v>
      </c>
      <c r="AA2" t="s">
        <v>98</v>
      </c>
      <c r="AB2" t="s">
        <v>100</v>
      </c>
      <c r="AC2" t="s">
        <v>97</v>
      </c>
      <c r="AD2" t="s">
        <v>98</v>
      </c>
      <c r="AE2" t="s">
        <v>100</v>
      </c>
      <c r="AF2" t="s">
        <v>95</v>
      </c>
      <c r="AG2" t="s">
        <v>99</v>
      </c>
      <c r="AH2" t="s">
        <v>96</v>
      </c>
      <c r="AI2" t="s">
        <v>97</v>
      </c>
      <c r="AJ2" t="s">
        <v>95</v>
      </c>
      <c r="AK2" t="s">
        <v>99</v>
      </c>
      <c r="AL2" t="s">
        <v>96</v>
      </c>
    </row>
    <row r="3" spans="1:38" ht="12.75">
      <c r="A3" t="s">
        <v>25</v>
      </c>
      <c r="B3" t="s">
        <v>28</v>
      </c>
      <c r="C3" s="80"/>
      <c r="D3" s="80"/>
      <c r="E3" s="80"/>
      <c r="F3" s="80"/>
      <c r="G3" s="80"/>
      <c r="H3" s="80"/>
      <c r="S3" t="s">
        <v>96</v>
      </c>
      <c r="T3" t="s">
        <v>104</v>
      </c>
      <c r="U3" t="s">
        <v>105</v>
      </c>
      <c r="Y3" t="s">
        <v>80</v>
      </c>
      <c r="Z3" t="s">
        <v>83</v>
      </c>
      <c r="AA3" t="s">
        <v>85</v>
      </c>
      <c r="AB3" t="s">
        <v>87</v>
      </c>
      <c r="AC3" t="s">
        <v>80</v>
      </c>
      <c r="AD3" t="s">
        <v>81</v>
      </c>
      <c r="AE3" t="s">
        <v>82</v>
      </c>
      <c r="AF3" t="s">
        <v>83</v>
      </c>
      <c r="AG3" t="s">
        <v>80</v>
      </c>
      <c r="AH3" t="s">
        <v>86</v>
      </c>
      <c r="AI3" t="s">
        <v>89</v>
      </c>
      <c r="AJ3" t="s">
        <v>85</v>
      </c>
      <c r="AK3" t="s">
        <v>83</v>
      </c>
      <c r="AL3" t="s">
        <v>80</v>
      </c>
    </row>
    <row r="4" spans="1:38" ht="12.75">
      <c r="A4" t="s">
        <v>27</v>
      </c>
      <c r="B4" t="s">
        <v>132</v>
      </c>
      <c r="C4" s="80" t="s">
        <v>95</v>
      </c>
      <c r="D4" s="80" t="s">
        <v>95</v>
      </c>
      <c r="E4" s="80" t="s">
        <v>95</v>
      </c>
      <c r="F4" s="80" t="s">
        <v>97</v>
      </c>
      <c r="G4" s="80" t="s">
        <v>97</v>
      </c>
      <c r="H4" s="80" t="s">
        <v>98</v>
      </c>
      <c r="I4" s="80" t="s">
        <v>98</v>
      </c>
      <c r="J4" s="80" t="s">
        <v>100</v>
      </c>
      <c r="K4" s="80" t="s">
        <v>98</v>
      </c>
      <c r="L4" s="80" t="s">
        <v>98</v>
      </c>
      <c r="M4" s="80" t="s">
        <v>98</v>
      </c>
      <c r="N4" s="80" t="s">
        <v>100</v>
      </c>
      <c r="O4" s="80" t="s">
        <v>100</v>
      </c>
      <c r="P4" s="80" t="s">
        <v>100</v>
      </c>
      <c r="Q4" s="80" t="s">
        <v>100</v>
      </c>
      <c r="S4" t="s">
        <v>97</v>
      </c>
      <c r="T4" t="s">
        <v>103</v>
      </c>
      <c r="U4" t="s">
        <v>93</v>
      </c>
      <c r="Y4" t="s">
        <v>81</v>
      </c>
      <c r="Z4" t="s">
        <v>84</v>
      </c>
      <c r="AA4" t="s">
        <v>86</v>
      </c>
      <c r="AB4" t="s">
        <v>91</v>
      </c>
      <c r="AC4" t="s">
        <v>86</v>
      </c>
      <c r="AD4" t="s">
        <v>83</v>
      </c>
      <c r="AE4" t="s">
        <v>84</v>
      </c>
      <c r="AF4" t="s">
        <v>84</v>
      </c>
      <c r="AG4" t="s">
        <v>81</v>
      </c>
      <c r="AH4" t="s">
        <v>87</v>
      </c>
      <c r="AI4" t="s">
        <v>93</v>
      </c>
      <c r="AJ4" t="s">
        <v>86</v>
      </c>
      <c r="AK4" t="s">
        <v>84</v>
      </c>
      <c r="AL4" t="s">
        <v>81</v>
      </c>
    </row>
    <row r="5" spans="1:38" ht="12.75">
      <c r="A5" t="s">
        <v>30</v>
      </c>
      <c r="B5" t="s">
        <v>131</v>
      </c>
      <c r="C5" s="80" t="s">
        <v>97</v>
      </c>
      <c r="D5" s="80" t="s">
        <v>98</v>
      </c>
      <c r="E5" s="80" t="s">
        <v>100</v>
      </c>
      <c r="F5" s="80" t="s">
        <v>98</v>
      </c>
      <c r="G5" s="80" t="s">
        <v>100</v>
      </c>
      <c r="H5" s="80" t="s">
        <v>100</v>
      </c>
      <c r="I5" s="80" t="s">
        <v>97</v>
      </c>
      <c r="J5" s="80" t="s">
        <v>97</v>
      </c>
      <c r="K5" s="80" t="s">
        <v>100</v>
      </c>
      <c r="L5" s="80" t="s">
        <v>100</v>
      </c>
      <c r="M5" s="80" t="s">
        <v>97</v>
      </c>
      <c r="N5" s="80" t="s">
        <v>97</v>
      </c>
      <c r="O5" s="80" t="s">
        <v>98</v>
      </c>
      <c r="P5" s="80" t="s">
        <v>98</v>
      </c>
      <c r="Q5" s="80" t="s">
        <v>98</v>
      </c>
      <c r="Y5" t="s">
        <v>82</v>
      </c>
      <c r="AA5" t="s">
        <v>88</v>
      </c>
      <c r="AB5" t="s">
        <v>92</v>
      </c>
      <c r="AC5" t="s">
        <v>87</v>
      </c>
      <c r="AD5" t="s">
        <v>92</v>
      </c>
      <c r="AE5" t="s">
        <v>85</v>
      </c>
      <c r="AG5" t="s">
        <v>82</v>
      </c>
      <c r="AH5" t="s">
        <v>88</v>
      </c>
      <c r="AI5" t="s">
        <v>94</v>
      </c>
      <c r="AJ5" t="s">
        <v>87</v>
      </c>
      <c r="AK5" t="s">
        <v>91</v>
      </c>
      <c r="AL5" t="s">
        <v>82</v>
      </c>
    </row>
    <row r="6" spans="1:38" ht="12.75">
      <c r="A6" t="s">
        <v>33</v>
      </c>
      <c r="B6" t="s">
        <v>40</v>
      </c>
      <c r="C6" s="83"/>
      <c r="D6" s="80"/>
      <c r="E6" s="80"/>
      <c r="F6" s="80"/>
      <c r="G6" s="80"/>
      <c r="H6" s="80"/>
      <c r="I6" s="83"/>
      <c r="J6" s="83"/>
      <c r="K6" s="80"/>
      <c r="L6" s="80"/>
      <c r="M6" s="83"/>
      <c r="N6" s="83"/>
      <c r="O6" s="80"/>
      <c r="P6" s="80"/>
      <c r="Q6" s="83"/>
      <c r="S6" t="s">
        <v>96</v>
      </c>
      <c r="T6" t="s">
        <v>103</v>
      </c>
      <c r="U6" t="s">
        <v>106</v>
      </c>
      <c r="AA6" t="s">
        <v>89</v>
      </c>
      <c r="AB6" t="s">
        <v>93</v>
      </c>
      <c r="AC6" t="s">
        <v>90</v>
      </c>
      <c r="AD6" t="s">
        <v>93</v>
      </c>
      <c r="AE6" t="s">
        <v>88</v>
      </c>
      <c r="AG6" t="s">
        <v>85</v>
      </c>
      <c r="AH6" t="s">
        <v>91</v>
      </c>
      <c r="AI6" s="84"/>
      <c r="AJ6" t="s">
        <v>88</v>
      </c>
      <c r="AK6" t="s">
        <v>92</v>
      </c>
      <c r="AL6" t="s">
        <v>90</v>
      </c>
    </row>
    <row r="7" spans="1:38" ht="12.75">
      <c r="A7" t="s">
        <v>34</v>
      </c>
      <c r="B7" t="s">
        <v>37</v>
      </c>
      <c r="C7" s="80"/>
      <c r="D7" s="80"/>
      <c r="E7" s="80"/>
      <c r="F7" s="80"/>
      <c r="G7" s="80"/>
      <c r="H7" s="80"/>
      <c r="S7" t="s">
        <v>97</v>
      </c>
      <c r="T7" t="s">
        <v>103</v>
      </c>
      <c r="U7" t="s">
        <v>107</v>
      </c>
      <c r="AA7" t="s">
        <v>90</v>
      </c>
      <c r="AB7" t="s">
        <v>94</v>
      </c>
      <c r="AC7" t="s">
        <v>91</v>
      </c>
      <c r="AD7" t="s">
        <v>94</v>
      </c>
      <c r="AE7" t="s">
        <v>89</v>
      </c>
      <c r="AG7" t="s">
        <v>90</v>
      </c>
      <c r="AH7" t="s">
        <v>92</v>
      </c>
      <c r="AI7" s="84"/>
      <c r="AJ7" t="s">
        <v>89</v>
      </c>
      <c r="AK7" t="s">
        <v>93</v>
      </c>
      <c r="AL7" t="s">
        <v>94</v>
      </c>
    </row>
    <row r="8" spans="1:36" ht="12.75">
      <c r="A8" t="s">
        <v>36</v>
      </c>
      <c r="B8" t="s">
        <v>133</v>
      </c>
      <c r="C8" s="80" t="s">
        <v>99</v>
      </c>
      <c r="D8" s="80" t="s">
        <v>99</v>
      </c>
      <c r="E8" s="80" t="s">
        <v>99</v>
      </c>
      <c r="F8" s="80" t="s">
        <v>95</v>
      </c>
      <c r="G8" s="80" t="s">
        <v>95</v>
      </c>
      <c r="H8" s="80" t="s">
        <v>99</v>
      </c>
      <c r="I8" s="80" t="s">
        <v>96</v>
      </c>
      <c r="J8" s="80" t="s">
        <v>96</v>
      </c>
      <c r="K8" s="80" t="s">
        <v>96</v>
      </c>
      <c r="L8" s="80" t="s">
        <v>97</v>
      </c>
      <c r="M8" s="80" t="s">
        <v>99</v>
      </c>
      <c r="N8" s="80" t="s">
        <v>96</v>
      </c>
      <c r="O8" s="80" t="s">
        <v>96</v>
      </c>
      <c r="P8" s="80" t="s">
        <v>97</v>
      </c>
      <c r="Q8" s="80" t="s">
        <v>97</v>
      </c>
      <c r="S8" t="s">
        <v>98</v>
      </c>
      <c r="T8" t="s">
        <v>103</v>
      </c>
      <c r="U8" t="s">
        <v>108</v>
      </c>
      <c r="AA8" s="84"/>
      <c r="AE8" s="84"/>
      <c r="AG8" s="84"/>
      <c r="AJ8" s="84"/>
    </row>
    <row r="9" spans="1:36" ht="12.75">
      <c r="A9" t="s">
        <v>39</v>
      </c>
      <c r="B9" t="s">
        <v>134</v>
      </c>
      <c r="C9" s="80" t="s">
        <v>96</v>
      </c>
      <c r="D9" s="80" t="s">
        <v>96</v>
      </c>
      <c r="E9" s="80" t="s">
        <v>96</v>
      </c>
      <c r="F9" s="80" t="s">
        <v>99</v>
      </c>
      <c r="G9" s="80" t="s">
        <v>99</v>
      </c>
      <c r="H9" s="80" t="s">
        <v>95</v>
      </c>
      <c r="I9" s="80" t="s">
        <v>95</v>
      </c>
      <c r="J9" s="80" t="s">
        <v>95</v>
      </c>
      <c r="K9" s="80" t="s">
        <v>95</v>
      </c>
      <c r="L9" s="80" t="s">
        <v>95</v>
      </c>
      <c r="M9" s="80" t="s">
        <v>96</v>
      </c>
      <c r="N9" s="80" t="s">
        <v>99</v>
      </c>
      <c r="O9" s="80" t="s">
        <v>99</v>
      </c>
      <c r="P9" s="80" t="s">
        <v>99</v>
      </c>
      <c r="Q9" s="80" t="s">
        <v>96</v>
      </c>
      <c r="AA9" s="84"/>
      <c r="AB9" s="84"/>
      <c r="AC9" s="84"/>
      <c r="AE9" s="84"/>
      <c r="AG9" s="84"/>
      <c r="AI9" s="84"/>
      <c r="AJ9" s="84"/>
    </row>
    <row r="10" spans="19:36" ht="12.75">
      <c r="S10" t="s">
        <v>99</v>
      </c>
      <c r="T10" t="s">
        <v>103</v>
      </c>
      <c r="U10" t="s">
        <v>109</v>
      </c>
      <c r="AA10" s="84"/>
      <c r="AB10" s="84"/>
      <c r="AC10" s="84"/>
      <c r="AG10" s="84"/>
      <c r="AI10" s="84"/>
      <c r="AJ10" s="84"/>
    </row>
    <row r="11" spans="19:35" ht="12.75">
      <c r="S11" t="s">
        <v>98</v>
      </c>
      <c r="T11" t="s">
        <v>103</v>
      </c>
      <c r="U11" t="s">
        <v>110</v>
      </c>
      <c r="AA11" s="84"/>
      <c r="AB11" s="84"/>
      <c r="AC11" s="84"/>
      <c r="AG11" s="84"/>
      <c r="AI11" s="84"/>
    </row>
    <row r="12" spans="1:35" ht="12.75">
      <c r="A12" t="s">
        <v>114</v>
      </c>
      <c r="AA12" s="84"/>
      <c r="AI12" s="84"/>
    </row>
    <row r="13" spans="3:27" ht="12.75"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t="s">
        <v>87</v>
      </c>
      <c r="K13" t="s">
        <v>88</v>
      </c>
      <c r="L13" t="s">
        <v>89</v>
      </c>
      <c r="M13" t="s">
        <v>90</v>
      </c>
      <c r="N13" t="s">
        <v>91</v>
      </c>
      <c r="O13" t="s">
        <v>92</v>
      </c>
      <c r="P13" t="s">
        <v>93</v>
      </c>
      <c r="Q13" t="s">
        <v>94</v>
      </c>
      <c r="AA13" s="84"/>
    </row>
    <row r="14" spans="1:27" ht="12.75">
      <c r="A14" t="s">
        <v>24</v>
      </c>
      <c r="B14" t="s">
        <v>31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AA14" s="84"/>
    </row>
    <row r="15" spans="1:27" ht="12.75">
      <c r="A15" t="s">
        <v>25</v>
      </c>
      <c r="B15" t="s">
        <v>28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AA15" s="84"/>
    </row>
    <row r="16" spans="1:27" ht="12.75">
      <c r="A16" t="s">
        <v>27</v>
      </c>
      <c r="B16" t="s">
        <v>132</v>
      </c>
      <c r="C16" s="80" t="str">
        <f aca="true" t="shared" si="0" ref="C16:P16">IF(COUNTIF($Y$3:$Y$11,C$13)&gt;0,$Y$2,IF(COUNTIF($Z$3:$Z$11,C$13)&gt;0,$Z$2,IF(COUNTIF($AA$3:$AA$11,C$13)&gt;0,$AA$2,IF(COUNTIF($AB$3:$AB$11,C$13)&gt;0,$AB$2,CONCATENATE("??? ",C$13)))))</f>
        <v>A</v>
      </c>
      <c r="D16" s="80" t="str">
        <f t="shared" si="0"/>
        <v>A</v>
      </c>
      <c r="E16" s="80" t="str">
        <f t="shared" si="0"/>
        <v>A</v>
      </c>
      <c r="F16" s="80" t="str">
        <f t="shared" si="0"/>
        <v>D</v>
      </c>
      <c r="G16" s="80" t="str">
        <f t="shared" si="0"/>
        <v>D</v>
      </c>
      <c r="H16" s="80" t="str">
        <f t="shared" si="0"/>
        <v>E</v>
      </c>
      <c r="I16" s="80" t="str">
        <f t="shared" si="0"/>
        <v>E</v>
      </c>
      <c r="J16" s="80" t="str">
        <f t="shared" si="0"/>
        <v>F</v>
      </c>
      <c r="K16" s="80" t="str">
        <f t="shared" si="0"/>
        <v>E</v>
      </c>
      <c r="L16" s="80" t="str">
        <f t="shared" si="0"/>
        <v>E</v>
      </c>
      <c r="M16" s="80" t="str">
        <f t="shared" si="0"/>
        <v>E</v>
      </c>
      <c r="N16" s="80" t="str">
        <f t="shared" si="0"/>
        <v>F</v>
      </c>
      <c r="O16" s="80" t="str">
        <f t="shared" si="0"/>
        <v>F</v>
      </c>
      <c r="P16" s="80" t="str">
        <f t="shared" si="0"/>
        <v>F</v>
      </c>
      <c r="Q16" s="80" t="str">
        <f>IF(COUNTIF($Y$3:$Y$11,Q$13)&gt;0,$Y$2,IF(COUNTIF($Z$3:$Z$11,Q$13)&gt;0,$Z$2,IF(COUNTIF($AA$3:$AA$11,Q$13)&gt;0,$AA$2,IF(COUNTIF($AB$3:$AB$11,Q$13)&gt;0,$AB$2,CONCATENATE("??? ",Q$13)))))</f>
        <v>F</v>
      </c>
      <c r="AA16" s="84"/>
    </row>
    <row r="17" spans="1:27" ht="12.75">
      <c r="A17" t="s">
        <v>30</v>
      </c>
      <c r="B17" t="s">
        <v>131</v>
      </c>
      <c r="C17" s="80" t="str">
        <f>IF(COUNTIF($AC3:$AC$11,C$13)&gt;0,$AC$2,IF(COUNTIF($AD$3:$AD$11,C$13)&gt;0,$AD$2,IF(COUNTIF($AE$3:$AE$11,C$13)&gt;0,$AE$2,CONCATENATE("??? ",C$13))))</f>
        <v>D</v>
      </c>
      <c r="D17" s="80" t="str">
        <f>IF(COUNTIF($AC3:$AC$11,D$13)&gt;0,$AC$2,IF(COUNTIF($AD$3:$AD$11,D$13)&gt;0,$AD$2,IF(COUNTIF($AE$3:$AE$11,D$13)&gt;0,$AE$2,CONCATENATE("??? ",D$13))))</f>
        <v>E</v>
      </c>
      <c r="E17" s="80" t="str">
        <f>IF(COUNTIF($AC3:$AC$11,E$13)&gt;0,$AC$2,IF(COUNTIF($AD$3:$AD$11,E$13)&gt;0,$AD$2,IF(COUNTIF($AE$3:$AE$11,E$13)&gt;0,$AE$2,CONCATENATE("??? ",E$13))))</f>
        <v>F</v>
      </c>
      <c r="F17" s="80" t="str">
        <f>IF(COUNTIF($AC3:$AC$11,F$13)&gt;0,$AC$2,IF(COUNTIF($AD$3:$AD$11,F$13)&gt;0,$AD$2,IF(COUNTIF($AE$3:$AE$11,F$13)&gt;0,$AE$2,CONCATENATE("??? ",F$13))))</f>
        <v>E</v>
      </c>
      <c r="G17" s="80" t="str">
        <f>IF(COUNTIF($AC3:$AC$11,G$13)&gt;0,$AC$2,IF(COUNTIF($AD$3:$AD$11,G$13)&gt;0,$AD$2,IF(COUNTIF($AE$3:$AE$11,G$13)&gt;0,$AE$2,CONCATENATE("??? ",G$13))))</f>
        <v>F</v>
      </c>
      <c r="H17" s="80" t="str">
        <f>IF(COUNTIF($AC3:$AC$11,H$13)&gt;0,$AC$2,IF(COUNTIF($AD$3:$AD$11,H$13)&gt;0,$AD$2,IF(COUNTIF($AE$3:$AE$11,H$13)&gt;0,$AE$2,CONCATENATE("??? ",H$13))))</f>
        <v>F</v>
      </c>
      <c r="I17" s="80" t="str">
        <f>IF(COUNTIF($AC3:$AC$11,I$13)&gt;0,$AC$2,IF(COUNTIF($AD$3:$AD$11,I$13)&gt;0,$AD$2,IF(COUNTIF($AE$3:$AE$11,I$13)&gt;0,$AE$2,CONCATENATE("??? ",I$13))))</f>
        <v>D</v>
      </c>
      <c r="J17" s="80" t="str">
        <f>IF(COUNTIF($AC3:$AC$11,J$13)&gt;0,$AC$2,IF(COUNTIF($AD$3:$AD$11,J$13)&gt;0,$AD$2,IF(COUNTIF($AE$3:$AE$11,J$13)&gt;0,$AE$2,CONCATENATE("??? ",J$13))))</f>
        <v>D</v>
      </c>
      <c r="K17" s="80" t="str">
        <f>IF(COUNTIF($AC3:$AC$11,K$13)&gt;0,$AC$2,IF(COUNTIF($AD$3:$AD$11,K$13)&gt;0,$AD$2,IF(COUNTIF($AE$3:$AE$11,K$13)&gt;0,$AE$2,CONCATENATE("??? ",K$13))))</f>
        <v>F</v>
      </c>
      <c r="L17" s="80" t="str">
        <f>IF(COUNTIF($AC3:$AC$11,L$13)&gt;0,$AC$2,IF(COUNTIF($AD$3:$AD$11,L$13)&gt;0,$AD$2,IF(COUNTIF($AE$3:$AE$11,L$13)&gt;0,$AE$2,CONCATENATE("??? ",L$13))))</f>
        <v>F</v>
      </c>
      <c r="M17" s="80" t="str">
        <f>IF(COUNTIF($AC3:$AC$11,M$13)&gt;0,$AC$2,IF(COUNTIF($AD$3:$AD$11,M$13)&gt;0,$AD$2,IF(COUNTIF($AE$3:$AE$11,M$13)&gt;0,$AE$2,CONCATENATE("??? ",M$13))))</f>
        <v>D</v>
      </c>
      <c r="N17" s="80" t="str">
        <f>IF(COUNTIF($AC3:$AC$11,N$13)&gt;0,$AC$2,IF(COUNTIF($AD$3:$AD$11,N$13)&gt;0,$AD$2,IF(COUNTIF($AE$3:$AE$11,N$13)&gt;0,$AE$2,CONCATENATE("??? ",N$13))))</f>
        <v>D</v>
      </c>
      <c r="O17" s="80" t="str">
        <f>IF(COUNTIF($AC3:$AC$11,O$13)&gt;0,$AC$2,IF(COUNTIF($AD$3:$AD$11,O$13)&gt;0,$AD$2,IF(COUNTIF($AE$3:$AE$11,O$13)&gt;0,$AE$2,CONCATENATE("??? ",O$13))))</f>
        <v>E</v>
      </c>
      <c r="P17" s="80" t="str">
        <f>IF(COUNTIF($AC3:$AC$11,P$13)&gt;0,$AC$2,IF(COUNTIF($AD$3:$AD$11,P$13)&gt;0,$AD$2,IF(COUNTIF($AE$3:$AE$11,P$13)&gt;0,$AE$2,CONCATENATE("??? ",P$13))))</f>
        <v>E</v>
      </c>
      <c r="Q17" s="80" t="str">
        <f>IF(COUNTIF($AC3:$AC$11,Q$13)&gt;0,$AC$2,IF(COUNTIF($AD$3:$AD$11,Q$13)&gt;0,$AD$2,IF(COUNTIF($AE$3:$AE$11,Q$13)&gt;0,$AE$2,CONCATENATE("??? ",Q$13))))</f>
        <v>E</v>
      </c>
      <c r="AA17" s="84"/>
    </row>
    <row r="18" spans="1:17" ht="12.75">
      <c r="A18" t="s">
        <v>33</v>
      </c>
      <c r="B18" t="s">
        <v>40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ht="12.75">
      <c r="A19" t="s">
        <v>34</v>
      </c>
      <c r="B19" t="s">
        <v>37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2.75">
      <c r="A20" t="s">
        <v>36</v>
      </c>
      <c r="B20" t="s">
        <v>133</v>
      </c>
      <c r="C20" s="80" t="str">
        <f>IF(COUNTIF($AF$3:$AF$11,C$13)&gt;0,$AF$2,IF(COUNTIF($AG$3:$AG$11,C$13)&gt;0,$AG$2,IF(COUNTIF($AH$3:$AH$11,C$13)&gt;0,$AH$2,IF(COUNTIF($AI$3:$AI$11,C$13)&gt;0,$AI$2,CONCATENATE("??? ",C$13)))))</f>
        <v>B</v>
      </c>
      <c r="D20" s="80" t="str">
        <f aca="true" t="shared" si="1" ref="D20:Q20">IF(COUNTIF($AF$3:$AF$11,D$13)&gt;0,$AF$2,IF(COUNTIF($AG$3:$AG$11,D$13)&gt;0,$AG$2,IF(COUNTIF($AH$3:$AH$11,D$13)&gt;0,$AH$2,IF(COUNTIF($AI$3:$AI$11,D$13)&gt;0,$AI$2,CONCATENATE("??? ",D$13)))))</f>
        <v>B</v>
      </c>
      <c r="E20" s="80" t="str">
        <f t="shared" si="1"/>
        <v>B</v>
      </c>
      <c r="F20" s="80" t="str">
        <f t="shared" si="1"/>
        <v>A</v>
      </c>
      <c r="G20" s="80" t="str">
        <f t="shared" si="1"/>
        <v>A</v>
      </c>
      <c r="H20" s="80" t="str">
        <f t="shared" si="1"/>
        <v>B</v>
      </c>
      <c r="I20" s="80" t="str">
        <f t="shared" si="1"/>
        <v>C</v>
      </c>
      <c r="J20" s="80" t="str">
        <f t="shared" si="1"/>
        <v>C</v>
      </c>
      <c r="K20" s="80" t="str">
        <f t="shared" si="1"/>
        <v>C</v>
      </c>
      <c r="L20" s="80" t="str">
        <f t="shared" si="1"/>
        <v>D</v>
      </c>
      <c r="M20" s="80" t="str">
        <f t="shared" si="1"/>
        <v>B</v>
      </c>
      <c r="N20" s="80" t="str">
        <f t="shared" si="1"/>
        <v>C</v>
      </c>
      <c r="O20" s="80" t="str">
        <f t="shared" si="1"/>
        <v>C</v>
      </c>
      <c r="P20" s="80" t="str">
        <f t="shared" si="1"/>
        <v>D</v>
      </c>
      <c r="Q20" s="80" t="str">
        <f t="shared" si="1"/>
        <v>D</v>
      </c>
    </row>
    <row r="21" spans="1:17" ht="12.75">
      <c r="A21" t="s">
        <v>39</v>
      </c>
      <c r="B21" t="s">
        <v>134</v>
      </c>
      <c r="C21" s="80" t="str">
        <f>IF(COUNTIF($AJ3:$AJ$11,C$13)&gt;0,$AJ$2,IF(COUNTIF($AK$3:$AK$11,C$13)&gt;0,$AK$2,IF(COUNTIF($AL$3:$AL$11,C$13)&gt;0,$AL$2,CONCATENATE("??? ",C$13))))</f>
        <v>C</v>
      </c>
      <c r="D21" s="80" t="str">
        <f>IF(COUNTIF($AJ3:$AJ$11,D$13)&gt;0,$AJ$2,IF(COUNTIF($AK$3:$AK$11,D$13)&gt;0,$AK$2,IF(COUNTIF($AL$3:$AL$11,D$13)&gt;0,$AL$2,CONCATENATE("??? ",D$13))))</f>
        <v>C</v>
      </c>
      <c r="E21" s="80" t="str">
        <f>IF(COUNTIF($AJ3:$AJ$11,E$13)&gt;0,$AJ$2,IF(COUNTIF($AK$3:$AK$11,E$13)&gt;0,$AK$2,IF(COUNTIF($AL$3:$AL$11,E$13)&gt;0,$AL$2,CONCATENATE("??? ",E$13))))</f>
        <v>C</v>
      </c>
      <c r="F21" s="80" t="str">
        <f>IF(COUNTIF($AJ3:$AJ$11,F$13)&gt;0,$AJ$2,IF(COUNTIF($AK$3:$AK$11,F$13)&gt;0,$AK$2,IF(COUNTIF($AL$3:$AL$11,F$13)&gt;0,$AL$2,CONCATENATE("??? ",F$13))))</f>
        <v>B</v>
      </c>
      <c r="G21" s="80" t="str">
        <f>IF(COUNTIF($AJ3:$AJ$11,G$13)&gt;0,$AJ$2,IF(COUNTIF($AK$3:$AK$11,G$13)&gt;0,$AK$2,IF(COUNTIF($AL$3:$AL$11,G$13)&gt;0,$AL$2,CONCATENATE("??? ",G$13))))</f>
        <v>B</v>
      </c>
      <c r="H21" s="80" t="str">
        <f>IF(COUNTIF($AJ3:$AJ$11,H$13)&gt;0,$AJ$2,IF(COUNTIF($AK$3:$AK$11,H$13)&gt;0,$AK$2,IF(COUNTIF($AL$3:$AL$11,H$13)&gt;0,$AL$2,CONCATENATE("??? ",H$13))))</f>
        <v>A</v>
      </c>
      <c r="I21" s="80" t="str">
        <f>IF(COUNTIF($AJ3:$AJ$11,I$13)&gt;0,$AJ$2,IF(COUNTIF($AK$3:$AK$11,I$13)&gt;0,$AK$2,IF(COUNTIF($AL$3:$AL$11,I$13)&gt;0,$AL$2,CONCATENATE("??? ",I$13))))</f>
        <v>A</v>
      </c>
      <c r="J21" s="80" t="str">
        <f>IF(COUNTIF($AJ3:$AJ$11,J$13)&gt;0,$AJ$2,IF(COUNTIF($AK$3:$AK$11,J$13)&gt;0,$AK$2,IF(COUNTIF($AL$3:$AL$11,J$13)&gt;0,$AL$2,CONCATENATE("??? ",J$13))))</f>
        <v>A</v>
      </c>
      <c r="K21" s="80" t="str">
        <f>IF(COUNTIF($AJ3:$AJ$11,K$13)&gt;0,$AJ$2,IF(COUNTIF($AK$3:$AK$11,K$13)&gt;0,$AK$2,IF(COUNTIF($AL$3:$AL$11,K$13)&gt;0,$AL$2,CONCATENATE("??? ",K$13))))</f>
        <v>A</v>
      </c>
      <c r="L21" s="80" t="str">
        <f>IF(COUNTIF($AJ3:$AJ$11,L$13)&gt;0,$AJ$2,IF(COUNTIF($AK$3:$AK$11,L$13)&gt;0,$AK$2,IF(COUNTIF($AL$3:$AL$11,L$13)&gt;0,$AL$2,CONCATENATE("??? ",L$13))))</f>
        <v>A</v>
      </c>
      <c r="M21" s="80" t="str">
        <f>IF(COUNTIF($AJ3:$AJ$11,M$13)&gt;0,$AJ$2,IF(COUNTIF($AK$3:$AK$11,M$13)&gt;0,$AK$2,IF(COUNTIF($AL$3:$AL$11,M$13)&gt;0,$AL$2,CONCATENATE("??? ",M$13))))</f>
        <v>C</v>
      </c>
      <c r="N21" s="80" t="str">
        <f>IF(COUNTIF($AJ3:$AJ$11,N$13)&gt;0,$AJ$2,IF(COUNTIF($AK$3:$AK$11,N$13)&gt;0,$AK$2,IF(COUNTIF($AL$3:$AL$11,N$13)&gt;0,$AL$2,CONCATENATE("??? ",N$13))))</f>
        <v>B</v>
      </c>
      <c r="O21" s="80" t="str">
        <f>IF(COUNTIF($AJ3:$AJ$11,O$13)&gt;0,$AJ$2,IF(COUNTIF($AK$3:$AK$11,O$13)&gt;0,$AK$2,IF(COUNTIF($AL$3:$AL$11,O$13)&gt;0,$AL$2,CONCATENATE("??? ",O$13))))</f>
        <v>B</v>
      </c>
      <c r="P21" s="80" t="str">
        <f>IF(COUNTIF($AJ3:$AJ$11,P$13)&gt;0,$AJ$2,IF(COUNTIF($AK$3:$AK$11,P$13)&gt;0,$AK$2,IF(COUNTIF($AL$3:$AL$11,P$13)&gt;0,$AL$2,CONCATENATE("??? ",P$13))))</f>
        <v>B</v>
      </c>
      <c r="Q21" s="80" t="str">
        <f>IF(COUNTIF($AJ3:$AJ$11,Q$13)&gt;0,$AJ$2,IF(COUNTIF($AK$3:$AK$11,Q$13)&gt;0,$AK$2,IF(COUNTIF($AL$3:$AL$11,Q$13)&gt;0,$AL$2,CONCATENATE("??? ",Q$13))))</f>
        <v>C</v>
      </c>
    </row>
    <row r="25" spans="1:17" ht="12.75">
      <c r="A25" t="str">
        <f aca="true" t="shared" si="2" ref="A25:Q33">IF(A1=A13,"ok","Mist")</f>
        <v>ok</v>
      </c>
      <c r="B25" t="str">
        <f t="shared" si="2"/>
        <v>ok</v>
      </c>
      <c r="C25" t="str">
        <f t="shared" si="2"/>
        <v>ok</v>
      </c>
      <c r="D25" t="str">
        <f t="shared" si="2"/>
        <v>ok</v>
      </c>
      <c r="E25" t="str">
        <f t="shared" si="2"/>
        <v>ok</v>
      </c>
      <c r="F25" t="str">
        <f t="shared" si="2"/>
        <v>ok</v>
      </c>
      <c r="G25" t="str">
        <f t="shared" si="2"/>
        <v>ok</v>
      </c>
      <c r="H25" t="str">
        <f t="shared" si="2"/>
        <v>ok</v>
      </c>
      <c r="I25" t="str">
        <f t="shared" si="2"/>
        <v>ok</v>
      </c>
      <c r="J25" t="str">
        <f t="shared" si="2"/>
        <v>ok</v>
      </c>
      <c r="K25" t="str">
        <f t="shared" si="2"/>
        <v>ok</v>
      </c>
      <c r="L25" t="str">
        <f t="shared" si="2"/>
        <v>ok</v>
      </c>
      <c r="M25" t="str">
        <f t="shared" si="2"/>
        <v>ok</v>
      </c>
      <c r="N25" t="str">
        <f t="shared" si="2"/>
        <v>ok</v>
      </c>
      <c r="O25" t="str">
        <f t="shared" si="2"/>
        <v>ok</v>
      </c>
      <c r="P25" t="str">
        <f t="shared" si="2"/>
        <v>ok</v>
      </c>
      <c r="Q25" t="str">
        <f t="shared" si="2"/>
        <v>ok</v>
      </c>
    </row>
    <row r="26" spans="1:17" ht="12.75">
      <c r="A26" t="str">
        <f t="shared" si="2"/>
        <v>ok</v>
      </c>
      <c r="B26" t="str">
        <f t="shared" si="2"/>
        <v>ok</v>
      </c>
      <c r="C26" t="str">
        <f t="shared" si="2"/>
        <v>ok</v>
      </c>
      <c r="D26" t="str">
        <f t="shared" si="2"/>
        <v>ok</v>
      </c>
      <c r="E26" t="str">
        <f t="shared" si="2"/>
        <v>ok</v>
      </c>
      <c r="F26" t="str">
        <f t="shared" si="2"/>
        <v>ok</v>
      </c>
      <c r="G26" t="str">
        <f t="shared" si="2"/>
        <v>ok</v>
      </c>
      <c r="H26" t="str">
        <f t="shared" si="2"/>
        <v>ok</v>
      </c>
      <c r="I26" t="str">
        <f t="shared" si="2"/>
        <v>ok</v>
      </c>
      <c r="J26" t="str">
        <f t="shared" si="2"/>
        <v>ok</v>
      </c>
      <c r="K26" t="str">
        <f t="shared" si="2"/>
        <v>ok</v>
      </c>
      <c r="L26" t="str">
        <f t="shared" si="2"/>
        <v>ok</v>
      </c>
      <c r="M26" t="str">
        <f t="shared" si="2"/>
        <v>ok</v>
      </c>
      <c r="N26" t="str">
        <f t="shared" si="2"/>
        <v>ok</v>
      </c>
      <c r="O26" t="str">
        <f t="shared" si="2"/>
        <v>ok</v>
      </c>
      <c r="P26" t="str">
        <f t="shared" si="2"/>
        <v>ok</v>
      </c>
      <c r="Q26" t="str">
        <f t="shared" si="2"/>
        <v>ok</v>
      </c>
    </row>
    <row r="27" spans="1:17" ht="12.75">
      <c r="A27" t="str">
        <f t="shared" si="2"/>
        <v>ok</v>
      </c>
      <c r="B27" t="str">
        <f t="shared" si="2"/>
        <v>ok</v>
      </c>
      <c r="C27" t="str">
        <f t="shared" si="2"/>
        <v>ok</v>
      </c>
      <c r="D27" t="str">
        <f t="shared" si="2"/>
        <v>ok</v>
      </c>
      <c r="E27" t="str">
        <f t="shared" si="2"/>
        <v>ok</v>
      </c>
      <c r="F27" t="str">
        <f t="shared" si="2"/>
        <v>ok</v>
      </c>
      <c r="G27" t="str">
        <f t="shared" si="2"/>
        <v>ok</v>
      </c>
      <c r="H27" t="str">
        <f t="shared" si="2"/>
        <v>ok</v>
      </c>
      <c r="I27" t="str">
        <f t="shared" si="2"/>
        <v>ok</v>
      </c>
      <c r="J27" t="str">
        <f t="shared" si="2"/>
        <v>ok</v>
      </c>
      <c r="K27" t="str">
        <f t="shared" si="2"/>
        <v>ok</v>
      </c>
      <c r="L27" t="str">
        <f t="shared" si="2"/>
        <v>ok</v>
      </c>
      <c r="M27" t="str">
        <f t="shared" si="2"/>
        <v>ok</v>
      </c>
      <c r="N27" t="str">
        <f t="shared" si="2"/>
        <v>ok</v>
      </c>
      <c r="O27" t="str">
        <f t="shared" si="2"/>
        <v>ok</v>
      </c>
      <c r="P27" t="str">
        <f t="shared" si="2"/>
        <v>ok</v>
      </c>
      <c r="Q27" t="str">
        <f t="shared" si="2"/>
        <v>ok</v>
      </c>
    </row>
    <row r="28" spans="1:17" ht="12.75">
      <c r="A28" t="str">
        <f t="shared" si="2"/>
        <v>ok</v>
      </c>
      <c r="B28" t="str">
        <f t="shared" si="2"/>
        <v>ok</v>
      </c>
      <c r="C28" t="str">
        <f t="shared" si="2"/>
        <v>ok</v>
      </c>
      <c r="D28" t="str">
        <f t="shared" si="2"/>
        <v>ok</v>
      </c>
      <c r="E28" t="str">
        <f t="shared" si="2"/>
        <v>ok</v>
      </c>
      <c r="F28" t="str">
        <f t="shared" si="2"/>
        <v>ok</v>
      </c>
      <c r="G28" t="str">
        <f t="shared" si="2"/>
        <v>ok</v>
      </c>
      <c r="H28" t="str">
        <f t="shared" si="2"/>
        <v>ok</v>
      </c>
      <c r="I28" t="str">
        <f t="shared" si="2"/>
        <v>ok</v>
      </c>
      <c r="J28" t="str">
        <f t="shared" si="2"/>
        <v>ok</v>
      </c>
      <c r="K28" t="str">
        <f t="shared" si="2"/>
        <v>ok</v>
      </c>
      <c r="L28" t="str">
        <f t="shared" si="2"/>
        <v>ok</v>
      </c>
      <c r="M28" t="str">
        <f t="shared" si="2"/>
        <v>ok</v>
      </c>
      <c r="N28" t="str">
        <f t="shared" si="2"/>
        <v>ok</v>
      </c>
      <c r="O28" t="str">
        <f t="shared" si="2"/>
        <v>ok</v>
      </c>
      <c r="P28" t="str">
        <f t="shared" si="2"/>
        <v>ok</v>
      </c>
      <c r="Q28" t="str">
        <f t="shared" si="2"/>
        <v>ok</v>
      </c>
    </row>
    <row r="29" spans="1:17" ht="12.75">
      <c r="A29" t="str">
        <f t="shared" si="2"/>
        <v>ok</v>
      </c>
      <c r="B29" t="str">
        <f t="shared" si="2"/>
        <v>ok</v>
      </c>
      <c r="C29" t="str">
        <f t="shared" si="2"/>
        <v>ok</v>
      </c>
      <c r="D29" t="str">
        <f t="shared" si="2"/>
        <v>ok</v>
      </c>
      <c r="E29" t="str">
        <f t="shared" si="2"/>
        <v>ok</v>
      </c>
      <c r="F29" t="str">
        <f t="shared" si="2"/>
        <v>ok</v>
      </c>
      <c r="G29" t="str">
        <f t="shared" si="2"/>
        <v>ok</v>
      </c>
      <c r="H29" t="str">
        <f t="shared" si="2"/>
        <v>ok</v>
      </c>
      <c r="I29" t="str">
        <f t="shared" si="2"/>
        <v>ok</v>
      </c>
      <c r="J29" t="str">
        <f t="shared" si="2"/>
        <v>ok</v>
      </c>
      <c r="K29" t="str">
        <f t="shared" si="2"/>
        <v>ok</v>
      </c>
      <c r="L29" t="str">
        <f t="shared" si="2"/>
        <v>ok</v>
      </c>
      <c r="M29" t="str">
        <f t="shared" si="2"/>
        <v>ok</v>
      </c>
      <c r="N29" t="str">
        <f t="shared" si="2"/>
        <v>ok</v>
      </c>
      <c r="O29" t="str">
        <f t="shared" si="2"/>
        <v>ok</v>
      </c>
      <c r="P29" t="str">
        <f t="shared" si="2"/>
        <v>ok</v>
      </c>
      <c r="Q29" t="str">
        <f t="shared" si="2"/>
        <v>ok</v>
      </c>
    </row>
    <row r="30" spans="1:17" ht="12.75">
      <c r="A30" t="str">
        <f t="shared" si="2"/>
        <v>ok</v>
      </c>
      <c r="B30" t="str">
        <f t="shared" si="2"/>
        <v>ok</v>
      </c>
      <c r="C30" t="str">
        <f t="shared" si="2"/>
        <v>ok</v>
      </c>
      <c r="D30" t="str">
        <f t="shared" si="2"/>
        <v>ok</v>
      </c>
      <c r="E30" t="str">
        <f t="shared" si="2"/>
        <v>ok</v>
      </c>
      <c r="F30" t="str">
        <f t="shared" si="2"/>
        <v>ok</v>
      </c>
      <c r="G30" t="str">
        <f t="shared" si="2"/>
        <v>ok</v>
      </c>
      <c r="H30" t="str">
        <f t="shared" si="2"/>
        <v>ok</v>
      </c>
      <c r="I30" t="str">
        <f t="shared" si="2"/>
        <v>ok</v>
      </c>
      <c r="J30" t="str">
        <f t="shared" si="2"/>
        <v>ok</v>
      </c>
      <c r="K30" t="str">
        <f t="shared" si="2"/>
        <v>ok</v>
      </c>
      <c r="L30" t="str">
        <f t="shared" si="2"/>
        <v>ok</v>
      </c>
      <c r="M30" t="str">
        <f t="shared" si="2"/>
        <v>ok</v>
      </c>
      <c r="N30" t="str">
        <f t="shared" si="2"/>
        <v>ok</v>
      </c>
      <c r="O30" t="str">
        <f t="shared" si="2"/>
        <v>ok</v>
      </c>
      <c r="P30" t="str">
        <f t="shared" si="2"/>
        <v>ok</v>
      </c>
      <c r="Q30" t="str">
        <f t="shared" si="2"/>
        <v>ok</v>
      </c>
    </row>
    <row r="31" spans="1:17" ht="12.75">
      <c r="A31" t="str">
        <f t="shared" si="2"/>
        <v>ok</v>
      </c>
      <c r="B31" t="str">
        <f t="shared" si="2"/>
        <v>ok</v>
      </c>
      <c r="C31" t="str">
        <f t="shared" si="2"/>
        <v>ok</v>
      </c>
      <c r="D31" t="str">
        <f t="shared" si="2"/>
        <v>ok</v>
      </c>
      <c r="E31" t="str">
        <f t="shared" si="2"/>
        <v>ok</v>
      </c>
      <c r="F31" t="str">
        <f t="shared" si="2"/>
        <v>ok</v>
      </c>
      <c r="G31" t="str">
        <f t="shared" si="2"/>
        <v>ok</v>
      </c>
      <c r="H31" t="str">
        <f t="shared" si="2"/>
        <v>ok</v>
      </c>
      <c r="I31" t="str">
        <f t="shared" si="2"/>
        <v>ok</v>
      </c>
      <c r="J31" t="str">
        <f t="shared" si="2"/>
        <v>ok</v>
      </c>
      <c r="K31" t="str">
        <f t="shared" si="2"/>
        <v>ok</v>
      </c>
      <c r="L31" t="str">
        <f t="shared" si="2"/>
        <v>ok</v>
      </c>
      <c r="M31" t="str">
        <f t="shared" si="2"/>
        <v>ok</v>
      </c>
      <c r="N31" t="str">
        <f t="shared" si="2"/>
        <v>ok</v>
      </c>
      <c r="O31" t="str">
        <f t="shared" si="2"/>
        <v>ok</v>
      </c>
      <c r="P31" t="str">
        <f t="shared" si="2"/>
        <v>ok</v>
      </c>
      <c r="Q31" t="str">
        <f t="shared" si="2"/>
        <v>ok</v>
      </c>
    </row>
    <row r="32" spans="1:17" ht="12.75">
      <c r="A32" t="str">
        <f t="shared" si="2"/>
        <v>ok</v>
      </c>
      <c r="B32" t="str">
        <f t="shared" si="2"/>
        <v>ok</v>
      </c>
      <c r="C32" t="str">
        <f t="shared" si="2"/>
        <v>ok</v>
      </c>
      <c r="D32" t="str">
        <f t="shared" si="2"/>
        <v>ok</v>
      </c>
      <c r="E32" t="str">
        <f t="shared" si="2"/>
        <v>ok</v>
      </c>
      <c r="F32" t="str">
        <f t="shared" si="2"/>
        <v>ok</v>
      </c>
      <c r="G32" t="str">
        <f t="shared" si="2"/>
        <v>ok</v>
      </c>
      <c r="H32" t="str">
        <f t="shared" si="2"/>
        <v>ok</v>
      </c>
      <c r="I32" t="str">
        <f t="shared" si="2"/>
        <v>ok</v>
      </c>
      <c r="J32" t="str">
        <f t="shared" si="2"/>
        <v>ok</v>
      </c>
      <c r="K32" t="str">
        <f t="shared" si="2"/>
        <v>ok</v>
      </c>
      <c r="L32" t="str">
        <f t="shared" si="2"/>
        <v>ok</v>
      </c>
      <c r="M32" t="str">
        <f t="shared" si="2"/>
        <v>ok</v>
      </c>
      <c r="N32" t="str">
        <f t="shared" si="2"/>
        <v>ok</v>
      </c>
      <c r="O32" t="str">
        <f t="shared" si="2"/>
        <v>ok</v>
      </c>
      <c r="P32" t="str">
        <f t="shared" si="2"/>
        <v>ok</v>
      </c>
      <c r="Q32" t="str">
        <f t="shared" si="2"/>
        <v>ok</v>
      </c>
    </row>
    <row r="33" spans="1:17" ht="12.75">
      <c r="A33" t="str">
        <f t="shared" si="2"/>
        <v>ok</v>
      </c>
      <c r="B33" t="str">
        <f t="shared" si="2"/>
        <v>ok</v>
      </c>
      <c r="C33" t="str">
        <f t="shared" si="2"/>
        <v>ok</v>
      </c>
      <c r="D33" t="str">
        <f t="shared" si="2"/>
        <v>ok</v>
      </c>
      <c r="E33" t="str">
        <f t="shared" si="2"/>
        <v>ok</v>
      </c>
      <c r="F33" t="str">
        <f t="shared" si="2"/>
        <v>ok</v>
      </c>
      <c r="G33" t="str">
        <f t="shared" si="2"/>
        <v>ok</v>
      </c>
      <c r="H33" t="str">
        <f t="shared" si="2"/>
        <v>ok</v>
      </c>
      <c r="I33" t="str">
        <f t="shared" si="2"/>
        <v>ok</v>
      </c>
      <c r="J33" t="str">
        <f t="shared" si="2"/>
        <v>ok</v>
      </c>
      <c r="K33" t="str">
        <f t="shared" si="2"/>
        <v>ok</v>
      </c>
      <c r="L33" t="str">
        <f t="shared" si="2"/>
        <v>ok</v>
      </c>
      <c r="M33" t="str">
        <f t="shared" si="2"/>
        <v>ok</v>
      </c>
      <c r="N33" t="str">
        <f t="shared" si="2"/>
        <v>ok</v>
      </c>
      <c r="O33" t="str">
        <f t="shared" si="2"/>
        <v>ok</v>
      </c>
      <c r="P33" t="str">
        <f t="shared" si="2"/>
        <v>ok</v>
      </c>
      <c r="Q33" t="str">
        <f t="shared" si="2"/>
        <v>ok</v>
      </c>
    </row>
    <row r="51" ht="12.75">
      <c r="Y51" t="s">
        <v>80</v>
      </c>
    </row>
    <row r="52" ht="12.75">
      <c r="Y52" t="s">
        <v>81</v>
      </c>
    </row>
    <row r="53" ht="12.75">
      <c r="Y53" t="s">
        <v>82</v>
      </c>
    </row>
    <row r="54" ht="12.75">
      <c r="Y54" t="s">
        <v>83</v>
      </c>
    </row>
    <row r="55" ht="12.75">
      <c r="Y55" t="s">
        <v>84</v>
      </c>
    </row>
    <row r="56" ht="12.75">
      <c r="Y56" t="s">
        <v>85</v>
      </c>
    </row>
    <row r="57" ht="12.75">
      <c r="Y57" t="s">
        <v>86</v>
      </c>
    </row>
    <row r="58" ht="12.75">
      <c r="Y58" t="s">
        <v>87</v>
      </c>
    </row>
    <row r="59" ht="12.75">
      <c r="Y59" t="s">
        <v>88</v>
      </c>
    </row>
    <row r="60" ht="12.75">
      <c r="Y60" t="s">
        <v>89</v>
      </c>
    </row>
    <row r="61" ht="12.75">
      <c r="Y61" t="s">
        <v>90</v>
      </c>
    </row>
    <row r="62" ht="12.75">
      <c r="Y62" t="s">
        <v>91</v>
      </c>
    </row>
    <row r="63" ht="12.75">
      <c r="Y63" t="s">
        <v>92</v>
      </c>
    </row>
    <row r="64" ht="12.75">
      <c r="Y64" t="s">
        <v>93</v>
      </c>
    </row>
    <row r="65" ht="12.75">
      <c r="Y65" t="s">
        <v>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C26" sqref="C26"/>
    </sheetView>
  </sheetViews>
  <sheetFormatPr defaultColWidth="11.421875" defaultRowHeight="12.75"/>
  <cols>
    <col min="3" max="3" width="5.7109375" style="0" customWidth="1"/>
    <col min="4" max="4" width="6.140625" style="0" customWidth="1"/>
    <col min="5" max="7" width="5.7109375" style="0" customWidth="1"/>
    <col min="8" max="8" width="6.00390625" style="0" customWidth="1"/>
    <col min="9" max="9" width="5.7109375" style="0" customWidth="1"/>
    <col min="10" max="10" width="6.00390625" style="0" customWidth="1"/>
    <col min="11" max="12" width="5.7109375" style="0" customWidth="1"/>
    <col min="13" max="13" width="5.8515625" style="0" customWidth="1"/>
    <col min="14" max="14" width="5.57421875" style="0" customWidth="1"/>
    <col min="15" max="15" width="5.7109375" style="0" customWidth="1"/>
    <col min="16" max="16" width="5.28125" style="0" customWidth="1"/>
    <col min="17" max="17" width="5.57421875" style="0" customWidth="1"/>
    <col min="18" max="18" width="5.421875" style="0" customWidth="1"/>
    <col min="19" max="24" width="0" style="0" hidden="1" customWidth="1"/>
  </cols>
  <sheetData>
    <row r="1" spans="3:34" ht="12.75"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Y1" t="s">
        <v>27</v>
      </c>
      <c r="AB1" t="s">
        <v>24</v>
      </c>
      <c r="AE1" t="s">
        <v>33</v>
      </c>
      <c r="AH1" t="s">
        <v>30</v>
      </c>
    </row>
    <row r="2" spans="1:36" ht="12.75">
      <c r="A2" t="s">
        <v>27</v>
      </c>
      <c r="B2" t="s">
        <v>76</v>
      </c>
      <c r="C2" s="80" t="s">
        <v>96</v>
      </c>
      <c r="D2" s="80" t="s">
        <v>95</v>
      </c>
      <c r="E2" s="80" t="s">
        <v>95</v>
      </c>
      <c r="F2" s="80" t="s">
        <v>95</v>
      </c>
      <c r="G2" s="80" t="s">
        <v>95</v>
      </c>
      <c r="H2" s="80" t="s">
        <v>95</v>
      </c>
      <c r="I2" s="80" t="s">
        <v>96</v>
      </c>
      <c r="J2" s="80" t="s">
        <v>96</v>
      </c>
      <c r="K2" s="80" t="s">
        <v>95</v>
      </c>
      <c r="L2" s="80" t="s">
        <v>95</v>
      </c>
      <c r="M2" s="80" t="s">
        <v>96</v>
      </c>
      <c r="N2" s="80" t="s">
        <v>96</v>
      </c>
      <c r="O2" s="80" t="s">
        <v>96</v>
      </c>
      <c r="P2" s="80" t="s">
        <v>97</v>
      </c>
      <c r="Q2" s="80" t="s">
        <v>96</v>
      </c>
      <c r="S2" t="s">
        <v>95</v>
      </c>
      <c r="T2" t="s">
        <v>103</v>
      </c>
      <c r="U2" t="s">
        <v>102</v>
      </c>
      <c r="Y2" t="s">
        <v>95</v>
      </c>
      <c r="Z2" t="s">
        <v>96</v>
      </c>
      <c r="AA2" t="s">
        <v>97</v>
      </c>
      <c r="AB2" t="s">
        <v>96</v>
      </c>
      <c r="AC2" t="s">
        <v>97</v>
      </c>
      <c r="AD2" t="s">
        <v>98</v>
      </c>
      <c r="AE2" t="s">
        <v>99</v>
      </c>
      <c r="AF2" t="s">
        <v>98</v>
      </c>
      <c r="AG2" t="s">
        <v>100</v>
      </c>
      <c r="AH2" t="s">
        <v>95</v>
      </c>
      <c r="AI2" t="s">
        <v>99</v>
      </c>
      <c r="AJ2" t="s">
        <v>100</v>
      </c>
    </row>
    <row r="3" spans="1:36" ht="12.75">
      <c r="A3" t="s">
        <v>25</v>
      </c>
      <c r="B3" t="s">
        <v>31</v>
      </c>
      <c r="C3" s="80"/>
      <c r="D3" s="80"/>
      <c r="E3" s="80"/>
      <c r="F3" s="80"/>
      <c r="G3" s="80"/>
      <c r="H3" s="80"/>
      <c r="S3" t="s">
        <v>96</v>
      </c>
      <c r="T3" t="s">
        <v>104</v>
      </c>
      <c r="U3" t="s">
        <v>105</v>
      </c>
      <c r="Y3" t="s">
        <v>81</v>
      </c>
      <c r="Z3" t="s">
        <v>80</v>
      </c>
      <c r="AA3" t="s">
        <v>93</v>
      </c>
      <c r="AB3" t="s">
        <v>81</v>
      </c>
      <c r="AC3" t="s">
        <v>80</v>
      </c>
      <c r="AD3" t="s">
        <v>85</v>
      </c>
      <c r="AE3" t="s">
        <v>80</v>
      </c>
      <c r="AF3" t="s">
        <v>81</v>
      </c>
      <c r="AG3" t="s">
        <v>87</v>
      </c>
      <c r="AH3" t="s">
        <v>80</v>
      </c>
      <c r="AI3" t="s">
        <v>81</v>
      </c>
      <c r="AJ3" t="s">
        <v>82</v>
      </c>
    </row>
    <row r="4" spans="1:36" ht="12.75">
      <c r="A4" t="s">
        <v>36</v>
      </c>
      <c r="B4" t="s">
        <v>34</v>
      </c>
      <c r="C4" s="80"/>
      <c r="D4" s="80"/>
      <c r="E4" s="80"/>
      <c r="F4" s="80"/>
      <c r="G4" s="80"/>
      <c r="H4" s="80"/>
      <c r="S4" t="s">
        <v>97</v>
      </c>
      <c r="T4" t="s">
        <v>103</v>
      </c>
      <c r="U4" t="s">
        <v>93</v>
      </c>
      <c r="Y4" t="s">
        <v>82</v>
      </c>
      <c r="Z4" t="s">
        <v>86</v>
      </c>
      <c r="AB4" t="s">
        <v>82</v>
      </c>
      <c r="AC4" t="s">
        <v>83</v>
      </c>
      <c r="AD4" t="s">
        <v>92</v>
      </c>
      <c r="AE4" t="s">
        <v>82</v>
      </c>
      <c r="AF4" t="s">
        <v>83</v>
      </c>
      <c r="AH4" t="s">
        <v>86</v>
      </c>
      <c r="AI4" t="s">
        <v>83</v>
      </c>
      <c r="AJ4" t="s">
        <v>84</v>
      </c>
    </row>
    <row r="5" spans="1:36" ht="12.75">
      <c r="A5" t="s">
        <v>39</v>
      </c>
      <c r="B5" t="s">
        <v>37</v>
      </c>
      <c r="C5" s="80"/>
      <c r="D5" s="80"/>
      <c r="E5" s="80"/>
      <c r="F5" s="80"/>
      <c r="G5" s="80"/>
      <c r="H5" s="80"/>
      <c r="Y5" t="s">
        <v>83</v>
      </c>
      <c r="Z5" t="s">
        <v>87</v>
      </c>
      <c r="AB5" t="s">
        <v>88</v>
      </c>
      <c r="AC5" t="s">
        <v>84</v>
      </c>
      <c r="AD5" t="s">
        <v>93</v>
      </c>
      <c r="AE5" t="s">
        <v>84</v>
      </c>
      <c r="AF5" t="s">
        <v>86</v>
      </c>
      <c r="AH5" t="s">
        <v>87</v>
      </c>
      <c r="AI5" t="s">
        <v>90</v>
      </c>
      <c r="AJ5" t="s">
        <v>85</v>
      </c>
    </row>
    <row r="6" spans="1:36" ht="12.75">
      <c r="A6" t="s">
        <v>24</v>
      </c>
      <c r="B6" t="s">
        <v>77</v>
      </c>
      <c r="C6" s="80" t="s">
        <v>97</v>
      </c>
      <c r="D6" s="80" t="s">
        <v>96</v>
      </c>
      <c r="E6" s="80" t="s">
        <v>96</v>
      </c>
      <c r="F6" s="80" t="s">
        <v>97</v>
      </c>
      <c r="G6" s="80" t="s">
        <v>97</v>
      </c>
      <c r="H6" s="80" t="s">
        <v>98</v>
      </c>
      <c r="I6" s="80" t="s">
        <v>97</v>
      </c>
      <c r="J6" s="80" t="s">
        <v>97</v>
      </c>
      <c r="K6" s="80" t="s">
        <v>96</v>
      </c>
      <c r="L6" s="80" t="s">
        <v>97</v>
      </c>
      <c r="M6" s="80" t="s">
        <v>97</v>
      </c>
      <c r="N6" s="80" t="s">
        <v>97</v>
      </c>
      <c r="O6" s="80" t="s">
        <v>98</v>
      </c>
      <c r="P6" s="80" t="s">
        <v>98</v>
      </c>
      <c r="Q6" s="80" t="s">
        <v>97</v>
      </c>
      <c r="S6" t="s">
        <v>96</v>
      </c>
      <c r="T6" t="s">
        <v>103</v>
      </c>
      <c r="U6" t="s">
        <v>106</v>
      </c>
      <c r="Y6" t="s">
        <v>84</v>
      </c>
      <c r="Z6" t="s">
        <v>90</v>
      </c>
      <c r="AC6" t="s">
        <v>86</v>
      </c>
      <c r="AE6" t="s">
        <v>85</v>
      </c>
      <c r="AF6" t="s">
        <v>88</v>
      </c>
      <c r="AJ6" t="s">
        <v>88</v>
      </c>
    </row>
    <row r="7" spans="1:36" ht="12.75">
      <c r="A7" t="s">
        <v>28</v>
      </c>
      <c r="B7" t="s">
        <v>40</v>
      </c>
      <c r="C7" s="80"/>
      <c r="D7" s="80"/>
      <c r="E7" s="80"/>
      <c r="F7" s="80"/>
      <c r="G7" s="80"/>
      <c r="H7" s="80"/>
      <c r="S7" t="s">
        <v>97</v>
      </c>
      <c r="T7" t="s">
        <v>103</v>
      </c>
      <c r="U7" t="s">
        <v>107</v>
      </c>
      <c r="Y7" t="s">
        <v>85</v>
      </c>
      <c r="Z7" t="s">
        <v>91</v>
      </c>
      <c r="AC7" t="s">
        <v>87</v>
      </c>
      <c r="AE7" t="s">
        <v>91</v>
      </c>
      <c r="AF7" t="s">
        <v>89</v>
      </c>
      <c r="AJ7" t="s">
        <v>89</v>
      </c>
    </row>
    <row r="8" spans="1:36" ht="12.75">
      <c r="A8" t="s">
        <v>33</v>
      </c>
      <c r="B8" t="s">
        <v>78</v>
      </c>
      <c r="C8" s="80" t="s">
        <v>99</v>
      </c>
      <c r="D8" s="80" t="s">
        <v>98</v>
      </c>
      <c r="E8" s="80" t="s">
        <v>99</v>
      </c>
      <c r="F8" s="80" t="s">
        <v>98</v>
      </c>
      <c r="G8" s="80" t="s">
        <v>99</v>
      </c>
      <c r="H8" s="80" t="s">
        <v>99</v>
      </c>
      <c r="I8" s="80" t="s">
        <v>98</v>
      </c>
      <c r="J8" s="80" t="s">
        <v>100</v>
      </c>
      <c r="K8" s="80" t="s">
        <v>98</v>
      </c>
      <c r="L8" s="80" t="s">
        <v>98</v>
      </c>
      <c r="M8" s="80" t="s">
        <v>98</v>
      </c>
      <c r="N8" s="80" t="s">
        <v>99</v>
      </c>
      <c r="O8" s="80" t="s">
        <v>99</v>
      </c>
      <c r="P8" s="80" t="s">
        <v>99</v>
      </c>
      <c r="Q8" s="80" t="s">
        <v>98</v>
      </c>
      <c r="S8" t="s">
        <v>98</v>
      </c>
      <c r="T8" t="s">
        <v>103</v>
      </c>
      <c r="U8" t="s">
        <v>108</v>
      </c>
      <c r="Y8" t="s">
        <v>88</v>
      </c>
      <c r="Z8" t="s">
        <v>92</v>
      </c>
      <c r="AC8" t="s">
        <v>89</v>
      </c>
      <c r="AE8" t="s">
        <v>92</v>
      </c>
      <c r="AF8" t="s">
        <v>90</v>
      </c>
      <c r="AJ8" t="s">
        <v>91</v>
      </c>
    </row>
    <row r="9" spans="1:36" ht="12.75">
      <c r="A9" t="s">
        <v>30</v>
      </c>
      <c r="B9" t="s">
        <v>79</v>
      </c>
      <c r="C9" s="80" t="s">
        <v>95</v>
      </c>
      <c r="D9" s="80" t="s">
        <v>99</v>
      </c>
      <c r="E9" s="80" t="s">
        <v>100</v>
      </c>
      <c r="F9" s="80" t="s">
        <v>99</v>
      </c>
      <c r="G9" s="80" t="s">
        <v>100</v>
      </c>
      <c r="H9" s="80" t="s">
        <v>100</v>
      </c>
      <c r="I9" s="80" t="s">
        <v>95</v>
      </c>
      <c r="J9" s="80" t="s">
        <v>95</v>
      </c>
      <c r="K9" s="80" t="s">
        <v>100</v>
      </c>
      <c r="L9" s="80" t="s">
        <v>100</v>
      </c>
      <c r="M9" s="80" t="s">
        <v>99</v>
      </c>
      <c r="N9" s="80" t="s">
        <v>100</v>
      </c>
      <c r="O9" s="80" t="s">
        <v>100</v>
      </c>
      <c r="P9" s="80" t="s">
        <v>100</v>
      </c>
      <c r="Q9" s="80" t="s">
        <v>100</v>
      </c>
      <c r="Y9" t="s">
        <v>89</v>
      </c>
      <c r="Z9" t="s">
        <v>94</v>
      </c>
      <c r="AC9" t="s">
        <v>90</v>
      </c>
      <c r="AE9" t="s">
        <v>93</v>
      </c>
      <c r="AF9" t="s">
        <v>94</v>
      </c>
      <c r="AJ9" t="s">
        <v>92</v>
      </c>
    </row>
    <row r="10" spans="19:36" ht="12.75">
      <c r="S10" t="s">
        <v>99</v>
      </c>
      <c r="T10" t="s">
        <v>103</v>
      </c>
      <c r="U10" t="s">
        <v>109</v>
      </c>
      <c r="AC10" t="s">
        <v>91</v>
      </c>
      <c r="AJ10" t="s">
        <v>93</v>
      </c>
    </row>
    <row r="11" spans="19:36" ht="12.75">
      <c r="S11" t="s">
        <v>98</v>
      </c>
      <c r="T11" t="s">
        <v>103</v>
      </c>
      <c r="U11" t="s">
        <v>110</v>
      </c>
      <c r="AC11" t="s">
        <v>94</v>
      </c>
      <c r="AJ11" t="s">
        <v>94</v>
      </c>
    </row>
    <row r="12" spans="3:21" ht="12.75"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89</v>
      </c>
      <c r="S12" t="s">
        <v>100</v>
      </c>
      <c r="T12" t="s">
        <v>103</v>
      </c>
      <c r="U12" t="s">
        <v>87</v>
      </c>
    </row>
    <row r="13" spans="9:12" ht="12.75">
      <c r="I13" t="s">
        <v>90</v>
      </c>
      <c r="J13" t="s">
        <v>91</v>
      </c>
      <c r="K13" t="s">
        <v>92</v>
      </c>
      <c r="L13" t="s">
        <v>93</v>
      </c>
    </row>
    <row r="14" spans="12:21" ht="12.75">
      <c r="L14" t="s">
        <v>94</v>
      </c>
      <c r="S14" t="s">
        <v>95</v>
      </c>
      <c r="T14" t="s">
        <v>103</v>
      </c>
      <c r="U14" t="s">
        <v>111</v>
      </c>
    </row>
    <row r="15" spans="19:21" ht="12.75">
      <c r="S15" t="s">
        <v>99</v>
      </c>
      <c r="T15" t="s">
        <v>103</v>
      </c>
      <c r="U15" t="s">
        <v>112</v>
      </c>
    </row>
    <row r="16" spans="19:21" ht="12.75">
      <c r="S16" t="s">
        <v>100</v>
      </c>
      <c r="T16" t="s">
        <v>103</v>
      </c>
      <c r="U16" t="s">
        <v>113</v>
      </c>
    </row>
    <row r="17" spans="3:8" ht="12.75"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</row>
    <row r="18" spans="6:8" ht="12.75">
      <c r="F18" t="s">
        <v>86</v>
      </c>
      <c r="G18" t="s">
        <v>87</v>
      </c>
      <c r="H18" t="s">
        <v>88</v>
      </c>
    </row>
    <row r="19" ht="12.75">
      <c r="H19" t="s">
        <v>89</v>
      </c>
    </row>
    <row r="20" spans="6:8" ht="12.75">
      <c r="F20" t="s">
        <v>90</v>
      </c>
      <c r="G20" t="s">
        <v>91</v>
      </c>
      <c r="H20" t="s">
        <v>92</v>
      </c>
    </row>
    <row r="21" ht="12.75">
      <c r="H21" t="s">
        <v>93</v>
      </c>
    </row>
    <row r="22" ht="12.75">
      <c r="H22" t="s">
        <v>94</v>
      </c>
    </row>
    <row r="24" ht="12.75">
      <c r="A24" t="s">
        <v>114</v>
      </c>
    </row>
    <row r="25" spans="3:17" ht="12.75"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86</v>
      </c>
      <c r="J25" t="s">
        <v>87</v>
      </c>
      <c r="K25" t="s">
        <v>88</v>
      </c>
      <c r="L25" t="s">
        <v>89</v>
      </c>
      <c r="M25" t="s">
        <v>90</v>
      </c>
      <c r="N25" t="s">
        <v>91</v>
      </c>
      <c r="O25" t="s">
        <v>92</v>
      </c>
      <c r="P25" t="s">
        <v>93</v>
      </c>
      <c r="Q25" t="s">
        <v>94</v>
      </c>
    </row>
    <row r="26" spans="1:17" ht="12.75">
      <c r="A26" t="s">
        <v>27</v>
      </c>
      <c r="B26" t="s">
        <v>76</v>
      </c>
      <c r="C26" s="80" t="str">
        <f>IF(COUNTIF($Y$3:$Y$11,C$25)&gt;0,$Y$2,IF(COUNTIF($Z$3:$Z$11,C$25)&gt;0,$Z$2,IF(COUNTIF($AA$3:$AA$11,C$25)&gt;0,$AA$2,CONCATENATE("??? ",C$25))))</f>
        <v>C</v>
      </c>
      <c r="D26" s="80" t="str">
        <f>IF(COUNTIF($Y$3:$Y$11,D$25)&gt;0,$Y$2,IF(COUNTIF($Z$3:$Z$11,D$25)&gt;0,$Z$2,IF(COUNTIF($AA$3:$AA$11,D$25)&gt;0,$AA$2,CONCATENATE("??? ",D$25))))</f>
        <v>A</v>
      </c>
      <c r="E26" s="80" t="str">
        <f aca="true" t="shared" si="0" ref="E26:Q26">IF(COUNTIF($Y$3:$Y$11,E$25)&gt;0,$Y$2,IF(COUNTIF($Z$3:$Z$11,E$25)&gt;0,$Z$2,IF(COUNTIF($AA$3:$AA$11,E$25)&gt;0,$AA$2,CONCATENATE("??? ",E$25))))</f>
        <v>A</v>
      </c>
      <c r="F26" s="80" t="str">
        <f t="shared" si="0"/>
        <v>A</v>
      </c>
      <c r="G26" s="80" t="str">
        <f t="shared" si="0"/>
        <v>A</v>
      </c>
      <c r="H26" s="80" t="str">
        <f t="shared" si="0"/>
        <v>A</v>
      </c>
      <c r="I26" s="80" t="str">
        <f t="shared" si="0"/>
        <v>C</v>
      </c>
      <c r="J26" s="80" t="str">
        <f t="shared" si="0"/>
        <v>C</v>
      </c>
      <c r="K26" s="80" t="str">
        <f t="shared" si="0"/>
        <v>A</v>
      </c>
      <c r="L26" s="80" t="str">
        <f t="shared" si="0"/>
        <v>A</v>
      </c>
      <c r="M26" s="80" t="str">
        <f t="shared" si="0"/>
        <v>C</v>
      </c>
      <c r="N26" s="80" t="str">
        <f t="shared" si="0"/>
        <v>C</v>
      </c>
      <c r="O26" s="80" t="str">
        <f t="shared" si="0"/>
        <v>C</v>
      </c>
      <c r="P26" s="80" t="str">
        <f t="shared" si="0"/>
        <v>D</v>
      </c>
      <c r="Q26" s="80" t="str">
        <f t="shared" si="0"/>
        <v>C</v>
      </c>
    </row>
    <row r="27" spans="1:8" ht="12.75">
      <c r="A27" t="s">
        <v>25</v>
      </c>
      <c r="B27" t="s">
        <v>31</v>
      </c>
      <c r="C27" s="80"/>
      <c r="D27" s="80"/>
      <c r="E27" s="80"/>
      <c r="F27" s="80"/>
      <c r="G27" s="80"/>
      <c r="H27" s="80"/>
    </row>
    <row r="28" spans="1:8" ht="12.75">
      <c r="A28" t="s">
        <v>36</v>
      </c>
      <c r="B28" t="s">
        <v>34</v>
      </c>
      <c r="C28" s="80"/>
      <c r="D28" s="80"/>
      <c r="E28" s="80"/>
      <c r="F28" s="80"/>
      <c r="G28" s="80"/>
      <c r="H28" s="80"/>
    </row>
    <row r="29" spans="1:8" ht="12.75">
      <c r="A29" t="s">
        <v>39</v>
      </c>
      <c r="B29" t="s">
        <v>37</v>
      </c>
      <c r="C29" s="80"/>
      <c r="D29" s="80"/>
      <c r="E29" s="80"/>
      <c r="F29" s="80"/>
      <c r="G29" s="80"/>
      <c r="H29" s="80"/>
    </row>
    <row r="30" spans="1:17" ht="12.75">
      <c r="A30" t="s">
        <v>24</v>
      </c>
      <c r="B30" t="s">
        <v>77</v>
      </c>
      <c r="C30" s="80" t="str">
        <f aca="true" t="shared" si="1" ref="C30:Q30">IF(COUNTIF($AB$3:$AB$11,C$25)&gt;0,$AB$2,IF(COUNTIF($AC$3:$AC$11,C$25)&gt;0,$AC$2,IF(COUNTIF($AD$3:$AD$11,C$25)&gt;0,$AD$2,CONCATENATE("??? ",C$25))))</f>
        <v>D</v>
      </c>
      <c r="D30" s="80" t="str">
        <f t="shared" si="1"/>
        <v>C</v>
      </c>
      <c r="E30" s="80" t="str">
        <f t="shared" si="1"/>
        <v>C</v>
      </c>
      <c r="F30" s="80" t="str">
        <f t="shared" si="1"/>
        <v>D</v>
      </c>
      <c r="G30" s="80" t="str">
        <f t="shared" si="1"/>
        <v>D</v>
      </c>
      <c r="H30" s="80" t="str">
        <f t="shared" si="1"/>
        <v>E</v>
      </c>
      <c r="I30" s="80" t="str">
        <f t="shared" si="1"/>
        <v>D</v>
      </c>
      <c r="J30" s="80" t="str">
        <f t="shared" si="1"/>
        <v>D</v>
      </c>
      <c r="K30" s="80" t="str">
        <f t="shared" si="1"/>
        <v>C</v>
      </c>
      <c r="L30" s="80" t="str">
        <f t="shared" si="1"/>
        <v>D</v>
      </c>
      <c r="M30" s="80" t="str">
        <f t="shared" si="1"/>
        <v>D</v>
      </c>
      <c r="N30" s="80" t="str">
        <f t="shared" si="1"/>
        <v>D</v>
      </c>
      <c r="O30" s="80" t="str">
        <f t="shared" si="1"/>
        <v>E</v>
      </c>
      <c r="P30" s="80" t="str">
        <f t="shared" si="1"/>
        <v>E</v>
      </c>
      <c r="Q30" s="80" t="str">
        <f t="shared" si="1"/>
        <v>D</v>
      </c>
    </row>
    <row r="31" spans="1:8" ht="12.75">
      <c r="A31" t="s">
        <v>28</v>
      </c>
      <c r="B31" t="s">
        <v>40</v>
      </c>
      <c r="C31" s="80"/>
      <c r="D31" s="80"/>
      <c r="E31" s="80"/>
      <c r="F31" s="80"/>
      <c r="G31" s="80"/>
      <c r="H31" s="80"/>
    </row>
    <row r="32" spans="1:17" ht="12.75">
      <c r="A32" t="s">
        <v>33</v>
      </c>
      <c r="B32" t="s">
        <v>78</v>
      </c>
      <c r="C32" s="80" t="str">
        <f>IF(COUNTIF($AE$3:$AE$11,C$25)&gt;0,$AE$2,IF(COUNTIF($AF$3:$AF$11,C$25)&gt;0,$AF$2,IF(COUNTIF($AG$3:$AG$11,C$25)&gt;0,$AG$2,CONCATENATE("??? ",C$25))))</f>
        <v>B</v>
      </c>
      <c r="D32" s="80" t="str">
        <f aca="true" t="shared" si="2" ref="D32:Q32">IF(COUNTIF($AE$3:$AE$11,D$25)&gt;0,$AE$2,IF(COUNTIF($AF$3:$AF$11,D$25)&gt;0,$AF$2,IF(COUNTIF($AG$3:$AG$11,D$25)&gt;0,$AG$2,CONCATENATE("??? ",D$25))))</f>
        <v>E</v>
      </c>
      <c r="E32" s="80" t="str">
        <f t="shared" si="2"/>
        <v>B</v>
      </c>
      <c r="F32" s="80" t="str">
        <f t="shared" si="2"/>
        <v>E</v>
      </c>
      <c r="G32" s="80" t="str">
        <f t="shared" si="2"/>
        <v>B</v>
      </c>
      <c r="H32" s="80" t="str">
        <f t="shared" si="2"/>
        <v>B</v>
      </c>
      <c r="I32" s="80" t="str">
        <f t="shared" si="2"/>
        <v>E</v>
      </c>
      <c r="J32" s="80" t="str">
        <f t="shared" si="2"/>
        <v>F</v>
      </c>
      <c r="K32" s="80" t="str">
        <f t="shared" si="2"/>
        <v>E</v>
      </c>
      <c r="L32" s="80" t="str">
        <f t="shared" si="2"/>
        <v>E</v>
      </c>
      <c r="M32" s="80" t="str">
        <f t="shared" si="2"/>
        <v>E</v>
      </c>
      <c r="N32" s="80" t="str">
        <f t="shared" si="2"/>
        <v>B</v>
      </c>
      <c r="O32" s="80" t="str">
        <f t="shared" si="2"/>
        <v>B</v>
      </c>
      <c r="P32" s="80" t="str">
        <f t="shared" si="2"/>
        <v>B</v>
      </c>
      <c r="Q32" s="80" t="str">
        <f t="shared" si="2"/>
        <v>E</v>
      </c>
    </row>
    <row r="33" spans="1:17" ht="12.75">
      <c r="A33" t="s">
        <v>30</v>
      </c>
      <c r="B33" t="s">
        <v>79</v>
      </c>
      <c r="C33" s="80" t="str">
        <f>IF(COUNTIF($AH$3:$AH$11,C$25)&gt;0,$AH$2,IF(COUNTIF($AI$3:$AI$11,C$25)&gt;0,$AI$2,IF(COUNTIF($AJ$3:$AJ$11,C$25)&gt;0,$AJ$2,CONCATENATE("??? ",C$25))))</f>
        <v>A</v>
      </c>
      <c r="D33" s="80" t="str">
        <f aca="true" t="shared" si="3" ref="D33:Q33">IF(COUNTIF($AH$3:$AH$11,D$25)&gt;0,$AH$2,IF(COUNTIF($AI$3:$AI$11,D$25)&gt;0,$AI$2,IF(COUNTIF($AJ$3:$AJ$11,D$25)&gt;0,$AJ$2,CONCATENATE("??? ",D$25))))</f>
        <v>B</v>
      </c>
      <c r="E33" s="80" t="str">
        <f t="shared" si="3"/>
        <v>F</v>
      </c>
      <c r="F33" s="80" t="str">
        <f t="shared" si="3"/>
        <v>B</v>
      </c>
      <c r="G33" s="80" t="str">
        <f t="shared" si="3"/>
        <v>F</v>
      </c>
      <c r="H33" s="80" t="str">
        <f t="shared" si="3"/>
        <v>F</v>
      </c>
      <c r="I33" s="80" t="str">
        <f t="shared" si="3"/>
        <v>A</v>
      </c>
      <c r="J33" s="80" t="str">
        <f t="shared" si="3"/>
        <v>A</v>
      </c>
      <c r="K33" s="80" t="str">
        <f t="shared" si="3"/>
        <v>F</v>
      </c>
      <c r="L33" s="80" t="str">
        <f t="shared" si="3"/>
        <v>F</v>
      </c>
      <c r="M33" s="80" t="str">
        <f t="shared" si="3"/>
        <v>B</v>
      </c>
      <c r="N33" s="80" t="str">
        <f t="shared" si="3"/>
        <v>F</v>
      </c>
      <c r="O33" s="80" t="str">
        <f t="shared" si="3"/>
        <v>F</v>
      </c>
      <c r="P33" s="80" t="str">
        <f t="shared" si="3"/>
        <v>F</v>
      </c>
      <c r="Q33" s="80" t="str">
        <f t="shared" si="3"/>
        <v>F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15"/>
  <sheetViews>
    <sheetView zoomScalePageLayoutView="0" workbookViewId="0" topLeftCell="A16">
      <selection activeCell="M60" sqref="M60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4" customWidth="1"/>
    <col min="9" max="9" width="1.57421875" style="14" customWidth="1"/>
    <col min="10" max="10" width="3.57421875" style="14" customWidth="1"/>
    <col min="11" max="11" width="3.00390625" style="8" customWidth="1"/>
    <col min="12" max="12" width="2.00390625" style="2" customWidth="1"/>
    <col min="13" max="13" width="14.28125" style="10" customWidth="1"/>
    <col min="14" max="17" width="4.28125" style="2" customWidth="1"/>
    <col min="18" max="18" width="3.8515625" style="2" customWidth="1"/>
    <col min="19" max="22" width="2.00390625" style="86" hidden="1" customWidth="1"/>
    <col min="23" max="23" width="1.7109375" style="86" hidden="1" customWidth="1"/>
    <col min="24" max="24" width="3.00390625" style="86" hidden="1" customWidth="1"/>
    <col min="25" max="25" width="14.28125" style="86" hidden="1" customWidth="1"/>
    <col min="26" max="26" width="2.28125" style="86" hidden="1" customWidth="1"/>
    <col min="27" max="27" width="3.28125" style="86" hidden="1" customWidth="1"/>
    <col min="28" max="28" width="3.00390625" style="86" hidden="1" customWidth="1"/>
    <col min="29" max="29" width="4.421875" style="86" hidden="1" customWidth="1"/>
    <col min="30" max="30" width="19.28125" style="86" hidden="1" customWidth="1"/>
    <col min="31" max="31" width="3.140625" style="100" hidden="1" customWidth="1"/>
    <col min="32" max="32" width="3.57421875" style="86" hidden="1" customWidth="1"/>
    <col min="33" max="36" width="2.8515625" style="86" hidden="1" customWidth="1"/>
    <col min="37" max="37" width="3.140625" style="86" hidden="1" customWidth="1"/>
    <col min="38" max="38" width="6.421875" style="86" hidden="1" customWidth="1"/>
    <col min="39" max="42" width="2.8515625" style="86" hidden="1" customWidth="1"/>
    <col min="43" max="43" width="7.7109375" style="86" hidden="1" customWidth="1"/>
    <col min="44" max="47" width="3.00390625" style="86" hidden="1" customWidth="1"/>
    <col min="48" max="48" width="3.140625" style="86" hidden="1" customWidth="1"/>
    <col min="49" max="52" width="11.421875" style="86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4" customWidth="1"/>
    <col min="61" max="61" width="1.57421875" style="14" customWidth="1"/>
    <col min="62" max="62" width="3.57421875" style="14" customWidth="1"/>
    <col min="63" max="63" width="3.00390625" style="8" customWidth="1"/>
    <col min="64" max="64" width="2.00390625" style="2" customWidth="1"/>
    <col min="65" max="65" width="14.28125" style="10" customWidth="1"/>
    <col min="66" max="69" width="4.28125" style="2" customWidth="1"/>
    <col min="70" max="70" width="3.8515625" style="2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86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5.00390625" style="9" hidden="1" customWidth="1"/>
    <col min="84" max="100" width="5.00390625" style="2" hidden="1" customWidth="1"/>
    <col min="101" max="104" width="11.421875" style="2" hidden="1" customWidth="1"/>
    <col min="105" max="16384" width="11.421875" style="2" customWidth="1"/>
  </cols>
  <sheetData>
    <row r="1" spans="1:100" s="11" customFormat="1" ht="14.25" thickBot="1" thickTop="1">
      <c r="A1" s="11" t="s">
        <v>69</v>
      </c>
      <c r="B1" s="33" t="s">
        <v>0</v>
      </c>
      <c r="C1" s="30" t="s">
        <v>1</v>
      </c>
      <c r="D1" s="18" t="s">
        <v>2</v>
      </c>
      <c r="E1" s="15"/>
      <c r="F1" s="18"/>
      <c r="G1" s="77"/>
      <c r="H1" s="78"/>
      <c r="I1" s="21"/>
      <c r="J1" s="22"/>
      <c r="K1" s="23"/>
      <c r="L1" s="18"/>
      <c r="M1" s="43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/>
      <c r="S1" s="86"/>
      <c r="T1" s="86"/>
      <c r="U1" s="86"/>
      <c r="V1" s="86"/>
      <c r="W1" s="87"/>
      <c r="X1" s="87" t="s">
        <v>8</v>
      </c>
      <c r="Y1" s="88" t="s">
        <v>9</v>
      </c>
      <c r="Z1" s="87" t="s">
        <v>4</v>
      </c>
      <c r="AA1" s="87" t="s">
        <v>5</v>
      </c>
      <c r="AB1" s="87" t="s">
        <v>6</v>
      </c>
      <c r="AC1" s="87" t="s">
        <v>7</v>
      </c>
      <c r="AD1" s="87"/>
      <c r="AE1" s="21" t="s">
        <v>10</v>
      </c>
      <c r="AF1" s="52" t="s">
        <v>11</v>
      </c>
      <c r="AG1" s="52"/>
      <c r="AH1" s="52"/>
      <c r="AI1" s="52"/>
      <c r="AJ1" s="52" t="s">
        <v>12</v>
      </c>
      <c r="AK1" s="88" t="s">
        <v>13</v>
      </c>
      <c r="AL1" s="52" t="s">
        <v>14</v>
      </c>
      <c r="AM1" s="52"/>
      <c r="AN1" s="52"/>
      <c r="AO1" s="52"/>
      <c r="AP1" s="52" t="s">
        <v>15</v>
      </c>
      <c r="AQ1" s="52" t="s">
        <v>16</v>
      </c>
      <c r="AR1" s="52"/>
      <c r="AS1" s="52"/>
      <c r="AT1" s="52"/>
      <c r="AU1" s="89" t="s">
        <v>17</v>
      </c>
      <c r="AV1" s="88" t="s">
        <v>18</v>
      </c>
      <c r="AW1" s="90"/>
      <c r="AX1" s="91"/>
      <c r="AY1" s="91"/>
      <c r="AZ1" s="91"/>
      <c r="BB1" s="32" t="s">
        <v>0</v>
      </c>
      <c r="BC1" s="47" t="s">
        <v>32</v>
      </c>
      <c r="BD1" s="18" t="s">
        <v>2</v>
      </c>
      <c r="BE1" s="15"/>
      <c r="BF1" s="18"/>
      <c r="BG1" s="77"/>
      <c r="BH1" s="78"/>
      <c r="BI1" s="21"/>
      <c r="BJ1" s="22"/>
      <c r="BK1" s="23"/>
      <c r="BL1" s="18"/>
      <c r="BM1" s="43" t="s">
        <v>3</v>
      </c>
      <c r="BN1" s="18" t="s">
        <v>4</v>
      </c>
      <c r="BO1" s="18" t="s">
        <v>5</v>
      </c>
      <c r="BP1" s="18" t="s">
        <v>6</v>
      </c>
      <c r="BQ1" s="18" t="s">
        <v>7</v>
      </c>
      <c r="BR1" s="18"/>
      <c r="BS1" s="2"/>
      <c r="BT1" s="2"/>
      <c r="BU1" s="2"/>
      <c r="BV1" s="2"/>
      <c r="BW1" s="18"/>
      <c r="BX1" s="18" t="s">
        <v>8</v>
      </c>
      <c r="BY1" s="88" t="s">
        <v>9</v>
      </c>
      <c r="BZ1" s="18" t="s">
        <v>4</v>
      </c>
      <c r="CA1" s="18" t="s">
        <v>5</v>
      </c>
      <c r="CB1" s="18" t="s">
        <v>6</v>
      </c>
      <c r="CC1" s="18" t="s">
        <v>7</v>
      </c>
      <c r="CD1" s="18"/>
      <c r="CE1" s="23" t="s">
        <v>10</v>
      </c>
      <c r="CF1" s="16" t="s">
        <v>11</v>
      </c>
      <c r="CG1" s="16"/>
      <c r="CH1" s="16"/>
      <c r="CI1" s="16"/>
      <c r="CJ1" s="16" t="s">
        <v>12</v>
      </c>
      <c r="CK1" s="24" t="s">
        <v>13</v>
      </c>
      <c r="CL1" s="16" t="s">
        <v>14</v>
      </c>
      <c r="CM1" s="16"/>
      <c r="CN1" s="16"/>
      <c r="CO1" s="16"/>
      <c r="CP1" s="16" t="s">
        <v>15</v>
      </c>
      <c r="CQ1" s="16" t="s">
        <v>16</v>
      </c>
      <c r="CR1" s="16"/>
      <c r="CS1" s="16"/>
      <c r="CT1" s="16"/>
      <c r="CU1" s="17" t="s">
        <v>17</v>
      </c>
      <c r="CV1" s="24" t="s">
        <v>18</v>
      </c>
    </row>
    <row r="2" spans="2:100" ht="13.5" thickTop="1">
      <c r="B2" s="3" t="s">
        <v>19</v>
      </c>
      <c r="C2" s="3" t="s">
        <v>20</v>
      </c>
      <c r="L2" s="1"/>
      <c r="M2" s="10" t="str">
        <f>VLOOKUP(1,$X$2:$AC$5,2,FALSE)</f>
        <v>Türkei</v>
      </c>
      <c r="N2" s="2">
        <f>VLOOKUP(1,$X$2:$AC$5,3,FALSE)</f>
        <v>6</v>
      </c>
      <c r="O2" s="2">
        <f>VLOOKUP(1,$X$2:$AC$5,4,FALSE)</f>
        <v>9</v>
      </c>
      <c r="P2" s="2">
        <f>VLOOKUP(1,$X$2:$AC$5,5,FALSE)</f>
        <v>9</v>
      </c>
      <c r="Q2" s="2">
        <f>VLOOKUP(1,$X$2:$AC$5,6,FALSE)</f>
        <v>0</v>
      </c>
      <c r="S2" s="92"/>
      <c r="T2" s="93">
        <f>IF(H3="",0,IF(K3=$B$65,IF(H3&gt;J3,3,IF(H3=J3,1,0)),0))</f>
        <v>3</v>
      </c>
      <c r="U2" s="93">
        <f>IF(H5="",0,IF(K5=$B$65,IF(H5&gt;J5,3,IF(H5=J5,1,0)),0))</f>
        <v>3</v>
      </c>
      <c r="V2" s="93">
        <f>IF(J7="",0,IF(K8=$B$65,IF(H7&lt;J7,3,IF(H7=J7,1,0)),0))</f>
        <v>0</v>
      </c>
      <c r="W2" s="94"/>
      <c r="X2" s="94">
        <f>RANK(AD2,$AD$2:$AD$5)</f>
        <v>1</v>
      </c>
      <c r="Y2" s="10" t="s">
        <v>148</v>
      </c>
      <c r="Z2" s="94">
        <f>SUM(S2:V2)</f>
        <v>6</v>
      </c>
      <c r="AA2" s="94">
        <f>SUM(S6:V6)</f>
        <v>9</v>
      </c>
      <c r="AB2" s="94">
        <f>SUM(S6:S9)</f>
        <v>9</v>
      </c>
      <c r="AC2" s="94">
        <f>AA2-AB2</f>
        <v>0</v>
      </c>
      <c r="AD2" s="28">
        <f>IF(P$8="",(((((((AE2*10+Z2)*100+AC2)*100+AA2)*10+AK2)*10+AJ2)*100+AP2)*100+AU2)*10+AV2,(((((((AE2*10+Z2)*10+AK2)*10+AJ2)*100+AP2)*100+AU2)*100+AC2)*100+AA2)*10+AV2)</f>
        <v>603010300094</v>
      </c>
      <c r="AE2" s="97"/>
      <c r="AF2" s="108"/>
      <c r="AG2" s="108">
        <f>IF($Z2=$Z3,$T2-$S3,0)</f>
        <v>3</v>
      </c>
      <c r="AH2" s="108">
        <f>IF($Z2=$Z4,$U2-$S4,0)</f>
        <v>0</v>
      </c>
      <c r="AI2" s="108">
        <f>IF($Z2=$Z5,$V2-$S5,0)</f>
        <v>0</v>
      </c>
      <c r="AJ2" s="108">
        <f>SUM(AF2:AI2)</f>
        <v>3</v>
      </c>
      <c r="AK2" s="97"/>
      <c r="AL2" s="108"/>
      <c r="AM2" s="108">
        <f>IF($Z2=$Z3,$T6-$S7,0)</f>
        <v>1</v>
      </c>
      <c r="AN2" s="108">
        <f>IF($Z2=$Z4,$U6-$S8,0)</f>
        <v>0</v>
      </c>
      <c r="AO2" s="108">
        <f>IF($Z2=$Z5,$V6-$S9,0)</f>
        <v>0</v>
      </c>
      <c r="AP2" s="108">
        <f>SUM(AL2:AO2)</f>
        <v>1</v>
      </c>
      <c r="AQ2" s="108"/>
      <c r="AR2" s="108">
        <f>IF($Z2=$Z3,$T6,0)</f>
        <v>3</v>
      </c>
      <c r="AS2" s="108">
        <f>IF($Z2=$Z4,$U6,0)</f>
        <v>0</v>
      </c>
      <c r="AT2" s="108">
        <f>IF($Z2=$Z5,$V6,0)</f>
        <v>0</v>
      </c>
      <c r="AU2" s="108">
        <f>SUM(AQ2:AT2)</f>
        <v>3</v>
      </c>
      <c r="AV2" s="97">
        <v>4</v>
      </c>
      <c r="AW2" s="96"/>
      <c r="BB2" s="3" t="s">
        <v>19</v>
      </c>
      <c r="BC2" s="3" t="s">
        <v>20</v>
      </c>
      <c r="BL2" s="1"/>
      <c r="BM2" s="10" t="str">
        <f>VLOOKUP(1,$BX$2:$CC$5,2,FALSE)</f>
        <v>Kroatien</v>
      </c>
      <c r="BN2" s="2">
        <f>VLOOKUP(1,$BX$2:$CC$5,3,FALSE)</f>
        <v>9</v>
      </c>
      <c r="BO2" s="2">
        <f>VLOOKUP(1,$BX$2:$CC$5,4,FALSE)</f>
        <v>8</v>
      </c>
      <c r="BP2" s="2">
        <f>VLOOKUP(1,$BX$2:$CC$5,5,FALSE)</f>
        <v>4</v>
      </c>
      <c r="BQ2" s="2">
        <f>VLOOKUP(1,$BX$2:$CC$5,6,FALSE)</f>
        <v>4</v>
      </c>
      <c r="BS2" s="92"/>
      <c r="BT2" s="93">
        <f>IF(BH3="",0,IF(BK3=$B$65,IF(BH3&gt;BJ3,3,IF(BH3=BJ3,1,0)),0))</f>
        <v>0</v>
      </c>
      <c r="BU2" s="93">
        <f>IF(BH5="",0,IF(BK5=$B$65,IF(BH5&gt;BJ5,3,IF(BH5=BJ5,1,0)),0))</f>
        <v>0</v>
      </c>
      <c r="BV2" s="93">
        <f>IF(BJ7="",0,IF(BK8=$B$65,IF(BH7&lt;BJ7,3,IF(BH7=BJ7,1,0)),0))</f>
        <v>0</v>
      </c>
      <c r="BW2" s="1"/>
      <c r="BX2" s="1">
        <f>RANK(CD2,$CD$2:$CD$5)</f>
        <v>4</v>
      </c>
      <c r="BY2" s="95" t="s">
        <v>67</v>
      </c>
      <c r="BZ2" s="1">
        <f>SUM(BS2:BV2)</f>
        <v>0</v>
      </c>
      <c r="CA2" s="1">
        <f>SUM(BS6:BV6)</f>
        <v>5</v>
      </c>
      <c r="CB2" s="1">
        <f>SUM(BS6:BS9)</f>
        <v>10</v>
      </c>
      <c r="CC2" s="1">
        <f>CA2-CB2</f>
        <v>-5</v>
      </c>
      <c r="CD2" s="28">
        <f>IF(BP$8="",(((((((CE2*10+BZ2)*100+CC2)*100+CA2)*10+CK2)*10+CJ2)*100+CP2)*100+CU2)*10+CV2,(((((((CE2*10+BZ2)*10+CK2)*10+CJ2)*100+CP2)*100+CU2)*100+CC2)*100+CA2)*10+CV2)</f>
        <v>-4946</v>
      </c>
      <c r="CE2" s="5"/>
      <c r="CF2" s="109"/>
      <c r="CG2" s="109">
        <f>IF($BZ2=$BZ3,$BT2-$BS3,0)</f>
        <v>0</v>
      </c>
      <c r="CH2" s="109">
        <f>IF($BZ2=$BZ4,$BU2-$BS4,0)</f>
        <v>0</v>
      </c>
      <c r="CI2" s="109">
        <f>IF($BZ2=$BZ5,$BV2-$BS5,0)</f>
        <v>0</v>
      </c>
      <c r="CJ2" s="109">
        <f>SUM(CF2:CI2)</f>
        <v>0</v>
      </c>
      <c r="CK2" s="5"/>
      <c r="CL2" s="109"/>
      <c r="CM2" s="109">
        <f>IF($BZ2=$BZ3,$BT6-$BS7,0)</f>
        <v>0</v>
      </c>
      <c r="CN2" s="109">
        <f>IF($BZ2=$BZ4,$BU6-$BS8,0)</f>
        <v>0</v>
      </c>
      <c r="CO2" s="109">
        <f>IF($BZ2=$BZ5,$BV6-$BS9,0)</f>
        <v>0</v>
      </c>
      <c r="CP2" s="109">
        <f>SUM(CL2:CO2)</f>
        <v>0</v>
      </c>
      <c r="CQ2" s="109"/>
      <c r="CR2" s="109">
        <f>IF($BZ2=$BZ3,$BT6,0)</f>
        <v>0</v>
      </c>
      <c r="CS2" s="109">
        <f>IF($BZ2=$BZ4,$BU6,0)</f>
        <v>0</v>
      </c>
      <c r="CT2" s="109">
        <f>IF($BZ2=$BZ5,$BV6,0)</f>
        <v>0</v>
      </c>
      <c r="CU2" s="109">
        <f>SUM(CQ2:CT2)</f>
        <v>0</v>
      </c>
      <c r="CV2" s="5">
        <v>4</v>
      </c>
    </row>
    <row r="3" spans="1:100" ht="12.75">
      <c r="A3" s="2">
        <v>1</v>
      </c>
      <c r="B3" s="7">
        <v>43994.875</v>
      </c>
      <c r="C3" s="4" t="s">
        <v>138</v>
      </c>
      <c r="D3" s="88" t="str">
        <f>Y2</f>
        <v>Türkei</v>
      </c>
      <c r="E3" s="52" t="s">
        <v>21</v>
      </c>
      <c r="F3" s="88" t="str">
        <f>Y3</f>
        <v>Italien</v>
      </c>
      <c r="G3" s="87"/>
      <c r="H3" s="110">
        <f aca="true" ca="1" t="shared" si="0" ref="H3:H8">IF($B$66="",1,INT(RAND()*5)+INT(RAND()*3)*INT(RAND()*2))</f>
        <v>3</v>
      </c>
      <c r="I3" s="12" t="s">
        <v>22</v>
      </c>
      <c r="J3" s="110">
        <f aca="true" ca="1" t="shared" si="1" ref="J3:J8">IF($B$66="",0,INT(RAND()*5)+INT(RAND()*3)*INT(RAND()*2))</f>
        <v>2</v>
      </c>
      <c r="K3" s="8" t="s">
        <v>23</v>
      </c>
      <c r="L3" s="1"/>
      <c r="M3" s="10" t="str">
        <f>VLOOKUP(2,$X$2:$AC$5,2,FALSE)</f>
        <v>Italien</v>
      </c>
      <c r="N3" s="2">
        <f>VLOOKUP(2,$X$2:$AC$5,3,FALSE)</f>
        <v>6</v>
      </c>
      <c r="O3" s="2">
        <f>VLOOKUP(2,$X$2:$AC$5,4,FALSE)</f>
        <v>6</v>
      </c>
      <c r="P3" s="2">
        <f>VLOOKUP(2,$X$2:$AC$5,5,FALSE)</f>
        <v>3</v>
      </c>
      <c r="Q3" s="2">
        <f>VLOOKUP(2,$X$2:$AC$5,6,FALSE)</f>
        <v>3</v>
      </c>
      <c r="S3" s="93">
        <f>IF(J3="",0,IF(K3=$B$65,IF(H3&lt;J3,3,IF(H3=J3,1,0)),0))</f>
        <v>0</v>
      </c>
      <c r="T3" s="92"/>
      <c r="U3" s="93">
        <f>IF(H8="",0,IF(K7=$B$65,IF(H8&gt;J8,3,IF(H8=J8,1,0)),0))</f>
        <v>3</v>
      </c>
      <c r="V3" s="93">
        <f>IF(H6="",0,IF(K6=$B$65,IF(H6&gt;J6,3,IF(H6=J6,1,0)),0))</f>
        <v>3</v>
      </c>
      <c r="W3" s="94"/>
      <c r="X3" s="94">
        <f>RANK(AD3,$AD$2:$AD$5)</f>
        <v>2</v>
      </c>
      <c r="Y3" s="10" t="s">
        <v>130</v>
      </c>
      <c r="Z3" s="94">
        <f>SUM(S3:V3)</f>
        <v>6</v>
      </c>
      <c r="AA3" s="94">
        <f>SUM(S7:V7)</f>
        <v>6</v>
      </c>
      <c r="AB3" s="94">
        <f>SUM(T6:T9)</f>
        <v>3</v>
      </c>
      <c r="AC3" s="94">
        <f>AA3-AB3</f>
        <v>3</v>
      </c>
      <c r="AD3" s="28">
        <f>IF(P$8="",(((((((AE3*10+Z3)*100+AC3)*100+AA3)*10+AK3)*10+AJ3)*100+AP3)*100+AU3)*10+AV3,(((((((AE3*10+Z3)*10+AK3)*10+AJ3)*100+AP3)*100+AU3)*100+AC3)*100+AA3)*10+AV3)</f>
        <v>596990203063</v>
      </c>
      <c r="AE3" s="97"/>
      <c r="AF3" s="108">
        <f>IF($Z3=$Z2,$S3-$T2,0)</f>
        <v>-3</v>
      </c>
      <c r="AG3" s="108"/>
      <c r="AH3" s="108">
        <f>IF($Z3=$Z4,$U3-$T4,0)</f>
        <v>0</v>
      </c>
      <c r="AI3" s="108">
        <f>IF($Z3=$Z5,$V3-$T5,0)</f>
        <v>0</v>
      </c>
      <c r="AJ3" s="108">
        <f>SUM(AF3:AI3)</f>
        <v>-3</v>
      </c>
      <c r="AK3" s="97"/>
      <c r="AL3" s="108">
        <f>IF($Z3=$Z2,$S7-$T6,0)</f>
        <v>-1</v>
      </c>
      <c r="AM3" s="108"/>
      <c r="AN3" s="108">
        <f>IF($Z3=$Z4,$U7-$T8,0)</f>
        <v>0</v>
      </c>
      <c r="AO3" s="108">
        <f>IF($Z3=$Z5,$V7-$T9,0)</f>
        <v>0</v>
      </c>
      <c r="AP3" s="108">
        <f>SUM(AL3:AO3)</f>
        <v>-1</v>
      </c>
      <c r="AQ3" s="108">
        <f>IF($Z3=$Z2,$S7,0)</f>
        <v>2</v>
      </c>
      <c r="AR3" s="108"/>
      <c r="AS3" s="108">
        <f>IF($Z3=$Z4,$U7,0)</f>
        <v>0</v>
      </c>
      <c r="AT3" s="108">
        <f>IF($Z3=$Z5,$V7,0)</f>
        <v>0</v>
      </c>
      <c r="AU3" s="108">
        <f>SUM(AQ3:AT3)</f>
        <v>2</v>
      </c>
      <c r="AV3" s="97">
        <v>3</v>
      </c>
      <c r="AW3" s="96"/>
      <c r="BA3" s="2">
        <v>7</v>
      </c>
      <c r="BB3" s="7">
        <v>43996.625</v>
      </c>
      <c r="BC3" s="4" t="s">
        <v>139</v>
      </c>
      <c r="BD3" s="88" t="str">
        <f>BY2</f>
        <v>England</v>
      </c>
      <c r="BE3" s="52" t="s">
        <v>21</v>
      </c>
      <c r="BF3" s="88" t="str">
        <f>BY3</f>
        <v>Kroatien</v>
      </c>
      <c r="BG3" s="87"/>
      <c r="BH3" s="110">
        <f aca="true" ca="1" t="shared" si="2" ref="BH3:BH8">IF($B$66="",1,INT(RAND()*5)+INT(RAND()*3)*INT(RAND()*2))</f>
        <v>1</v>
      </c>
      <c r="BI3" s="12" t="s">
        <v>22</v>
      </c>
      <c r="BJ3" s="110">
        <f aca="true" ca="1" t="shared" si="3" ref="BJ3:BJ8">IF($B$66="",0,INT(RAND()*5)+INT(RAND()*3)*INT(RAND()*2))</f>
        <v>3</v>
      </c>
      <c r="BK3" s="8" t="s">
        <v>23</v>
      </c>
      <c r="BL3" s="1"/>
      <c r="BM3" s="10" t="str">
        <f>VLOOKUP(2,$BX$2:$CC$5,2,FALSE)</f>
        <v>Schottland</v>
      </c>
      <c r="BN3" s="2">
        <f>VLOOKUP(2,$BX$2:$CC$5,3,FALSE)</f>
        <v>6</v>
      </c>
      <c r="BO3" s="2">
        <f>VLOOKUP(2,$BX$2:$CC$5,4,FALSE)</f>
        <v>9</v>
      </c>
      <c r="BP3" s="2">
        <f>VLOOKUP(2,$BX$2:$CC$5,5,FALSE)</f>
        <v>5</v>
      </c>
      <c r="BQ3" s="2">
        <f>VLOOKUP(2,$BX$2:$CC$5,6,FALSE)</f>
        <v>4</v>
      </c>
      <c r="BS3" s="93">
        <f>IF(BJ3="",0,IF(BK3=$B$65,IF(BH3&lt;BJ3,3,IF(BH3=BJ3,1,0)),0))</f>
        <v>3</v>
      </c>
      <c r="BT3" s="92"/>
      <c r="BU3" s="93">
        <f>IF(BH8="",0,IF(BK7=$B$65,IF(BH8&gt;BJ8,3,IF(BH8=BJ8,1,0)),0))</f>
        <v>3</v>
      </c>
      <c r="BV3" s="93">
        <f>IF(BH6="",0,IF(BK6=$B$65,IF(BH6&gt;BJ6,3,IF(BH6=BJ6,1,0)),0))</f>
        <v>3</v>
      </c>
      <c r="BW3" s="1"/>
      <c r="BX3" s="1">
        <f>RANK(CD3,$CD$2:$CD$5)</f>
        <v>1</v>
      </c>
      <c r="BY3" s="95" t="s">
        <v>157</v>
      </c>
      <c r="BZ3" s="1">
        <f>SUM(BS3:BV3)</f>
        <v>9</v>
      </c>
      <c r="CA3" s="1">
        <f>SUM(BS7:BV7)</f>
        <v>8</v>
      </c>
      <c r="CB3" s="1">
        <f>SUM(BT6:BT9)</f>
        <v>4</v>
      </c>
      <c r="CC3" s="1">
        <f>CA3-CB3</f>
        <v>4</v>
      </c>
      <c r="CD3" s="28">
        <f>IF(BP$8="",(((((((CE3*10+BZ3)*100+CC3)*100+CA3)*10+CK3)*10+CJ3)*100+CP3)*100+CU3)*10+CV3,(((((((CE3*10+BZ3)*10+CK3)*10+CJ3)*100+CP3)*100+CU3)*100+CC3)*100+CA3)*10+CV3)</f>
        <v>900000004083</v>
      </c>
      <c r="CE3" s="5"/>
      <c r="CF3" s="109">
        <f>IF($BZ3=$BZ2,$BS3-$BT2,0)</f>
        <v>0</v>
      </c>
      <c r="CG3" s="109"/>
      <c r="CH3" s="109">
        <f>IF($BZ3=$BZ4,$BU3-$BT4,0)</f>
        <v>0</v>
      </c>
      <c r="CI3" s="109">
        <f>IF($BZ3=$BZ5,$BV3-$BT5,0)</f>
        <v>0</v>
      </c>
      <c r="CJ3" s="109">
        <f>SUM(CF3:CI3)</f>
        <v>0</v>
      </c>
      <c r="CK3" s="5"/>
      <c r="CL3" s="109">
        <f>IF($BZ3=$BZ2,$BS7-$BT6,0)</f>
        <v>0</v>
      </c>
      <c r="CM3" s="109"/>
      <c r="CN3" s="109">
        <f>IF($BZ3=$BZ4,$BU7-$BT8,0)</f>
        <v>0</v>
      </c>
      <c r="CO3" s="109">
        <f>IF($BZ3=$BZ5,$BV7-$BT9,0)</f>
        <v>0</v>
      </c>
      <c r="CP3" s="109">
        <f>SUM(CL3:CO3)</f>
        <v>0</v>
      </c>
      <c r="CQ3" s="109">
        <f>IF($BZ3=$BZ2,$BS7,0)</f>
        <v>0</v>
      </c>
      <c r="CR3" s="109"/>
      <c r="CS3" s="109">
        <f>IF($BZ3=$BZ4,$BU7,0)</f>
        <v>0</v>
      </c>
      <c r="CT3" s="109">
        <f>IF($BZ3=$BZ5,$BV7,0)</f>
        <v>0</v>
      </c>
      <c r="CU3" s="109">
        <f>SUM(CQ3:CT3)</f>
        <v>0</v>
      </c>
      <c r="CV3" s="5">
        <v>3</v>
      </c>
    </row>
    <row r="4" spans="1:100" ht="12.75">
      <c r="A4" s="2">
        <f>A3+1</f>
        <v>2</v>
      </c>
      <c r="B4" s="4">
        <v>43995.625</v>
      </c>
      <c r="C4" s="4" t="s">
        <v>137</v>
      </c>
      <c r="D4" s="88" t="str">
        <f>Y4</f>
        <v>Wales</v>
      </c>
      <c r="E4" s="52" t="s">
        <v>21</v>
      </c>
      <c r="F4" s="88" t="str">
        <f>Y5</f>
        <v>Schweiz</v>
      </c>
      <c r="G4" s="87"/>
      <c r="H4" s="111">
        <f ca="1" t="shared" si="0"/>
        <v>4</v>
      </c>
      <c r="I4" s="12" t="s">
        <v>22</v>
      </c>
      <c r="J4" s="111">
        <f ca="1" t="shared" si="1"/>
        <v>0</v>
      </c>
      <c r="K4" s="8" t="s">
        <v>23</v>
      </c>
      <c r="L4" s="1"/>
      <c r="M4" s="10" t="str">
        <f>VLOOKUP(3,$X$2:$AC$5,2,FALSE)</f>
        <v>Wales</v>
      </c>
      <c r="N4" s="2">
        <f>VLOOKUP(3,$X$2:$AC$5,3,FALSE)</f>
        <v>3</v>
      </c>
      <c r="O4" s="2">
        <f>VLOOKUP(3,$X$2:$AC$5,4,FALSE)</f>
        <v>7</v>
      </c>
      <c r="P4" s="2">
        <f>VLOOKUP(3,$X$2:$AC$5,5,FALSE)</f>
        <v>6</v>
      </c>
      <c r="Q4" s="2">
        <f>VLOOKUP(3,$X$2:$AC$5,6,FALSE)</f>
        <v>1</v>
      </c>
      <c r="S4" s="93">
        <f>IF(J5="",0,IF(K5=$B$65,IF(H5&lt;J5,3,IF(H5=J5,1,0)),0))</f>
        <v>0</v>
      </c>
      <c r="T4" s="93">
        <f>IF(J8="",0,IF(K7=$B$65,IF(H8&lt;J8,3,IF(H8=J8,1,0)),0))</f>
        <v>0</v>
      </c>
      <c r="U4" s="92"/>
      <c r="V4" s="93">
        <f>IF(H4="",0,IF(K4=$B$65,IF(H4&gt;J4,3,IF(H4=J4,1,0)),0))</f>
        <v>3</v>
      </c>
      <c r="W4" s="94"/>
      <c r="X4" s="94">
        <f>RANK(AD4,$AD$2:$AD$5)</f>
        <v>3</v>
      </c>
      <c r="Y4" s="10" t="s">
        <v>149</v>
      </c>
      <c r="Z4" s="94">
        <f>SUM(S4:V4)</f>
        <v>3</v>
      </c>
      <c r="AA4" s="94">
        <f>SUM(S8:V8)</f>
        <v>7</v>
      </c>
      <c r="AB4" s="94">
        <f>SUM(U6:U9)</f>
        <v>6</v>
      </c>
      <c r="AC4" s="94">
        <f>AA4-AB4</f>
        <v>1</v>
      </c>
      <c r="AD4" s="28">
        <f>IF(P$8="",(((((((AE4*10+Z4)*100+AC4)*100+AA4)*10+AK4)*10+AJ4)*100+AP4)*100+AU4)*10+AV4,(((((((AE4*10+Z4)*10+AK4)*10+AJ4)*100+AP4)*100+AU4)*100+AC4)*100+AA4)*10+AV4)</f>
        <v>303040401072</v>
      </c>
      <c r="AE4" s="97"/>
      <c r="AF4" s="108">
        <f>IF($Z4=$Z2,$S4-$U2,0)</f>
        <v>0</v>
      </c>
      <c r="AG4" s="108">
        <f>IF($Z4=$Z3,$T4-$U3,0)</f>
        <v>0</v>
      </c>
      <c r="AH4" s="108"/>
      <c r="AI4" s="108">
        <f>IF($Z4=$Z5,$V4-$U5,0)</f>
        <v>3</v>
      </c>
      <c r="AJ4" s="108">
        <f>SUM(AF4:AI4)</f>
        <v>3</v>
      </c>
      <c r="AK4" s="97"/>
      <c r="AL4" s="108">
        <f>IF($Z4=$Z2,$S8-$U6,0)</f>
        <v>0</v>
      </c>
      <c r="AM4" s="108">
        <f>IF($Z4=$Z3,$T8-$U7,0)</f>
        <v>0</v>
      </c>
      <c r="AN4" s="108"/>
      <c r="AO4" s="108">
        <f>IF($Z4=$Z5,$V8-$U9,0)</f>
        <v>4</v>
      </c>
      <c r="AP4" s="108">
        <f>SUM(AL4:AO4)</f>
        <v>4</v>
      </c>
      <c r="AQ4" s="108">
        <f>IF($Z4=$Z2,$S8,0)</f>
        <v>0</v>
      </c>
      <c r="AR4" s="108">
        <f>IF($Z4=$Z3,$T8,0)</f>
        <v>0</v>
      </c>
      <c r="AS4" s="108"/>
      <c r="AT4" s="108">
        <f>IF($Z4=$Z5,$V8,0)</f>
        <v>4</v>
      </c>
      <c r="AU4" s="108">
        <f>SUM(AQ4:AT4)</f>
        <v>4</v>
      </c>
      <c r="AV4" s="97">
        <v>2</v>
      </c>
      <c r="AW4" s="96"/>
      <c r="BA4" s="2">
        <v>8</v>
      </c>
      <c r="BB4" s="7">
        <v>43997.625</v>
      </c>
      <c r="BC4" s="4" t="s">
        <v>146</v>
      </c>
      <c r="BD4" s="88" t="str">
        <f>BY4</f>
        <v>Schottland</v>
      </c>
      <c r="BE4" s="52" t="s">
        <v>21</v>
      </c>
      <c r="BF4" s="88" t="str">
        <f>BY5</f>
        <v>Tschechien</v>
      </c>
      <c r="BG4" s="87"/>
      <c r="BH4" s="111">
        <f ca="1" t="shared" si="2"/>
        <v>5</v>
      </c>
      <c r="BI4" s="12" t="s">
        <v>22</v>
      </c>
      <c r="BJ4" s="111">
        <f ca="1" t="shared" si="3"/>
        <v>1</v>
      </c>
      <c r="BK4" s="8" t="s">
        <v>23</v>
      </c>
      <c r="BL4" s="1"/>
      <c r="BM4" s="10" t="str">
        <f>VLOOKUP(3,$BX$2:$CC$5,2,FALSE)</f>
        <v>Tschechien</v>
      </c>
      <c r="BN4" s="2">
        <f>VLOOKUP(3,$BX$2:$CC$5,3,FALSE)</f>
        <v>3</v>
      </c>
      <c r="BO4" s="2">
        <f>VLOOKUP(3,$BX$2:$CC$5,4,FALSE)</f>
        <v>7</v>
      </c>
      <c r="BP4" s="2">
        <f>VLOOKUP(3,$BX$2:$CC$5,5,FALSE)</f>
        <v>10</v>
      </c>
      <c r="BQ4" s="2">
        <f>VLOOKUP(3,$BX$2:$CC$5,6,FALSE)</f>
        <v>-3</v>
      </c>
      <c r="BS4" s="93">
        <f>IF(BJ5="",0,IF(BK5=$B$65,IF(BH5&lt;BJ5,3,IF(BH5=BJ5,1,0)),0))</f>
        <v>3</v>
      </c>
      <c r="BT4" s="93">
        <f>IF(BJ8="",0,IF(BK7=$B$65,IF(BH8&lt;BJ8,3,IF(BH8=BJ8,1,0)),0))</f>
        <v>0</v>
      </c>
      <c r="BU4" s="92"/>
      <c r="BV4" s="93">
        <f>IF(BH4="",0,IF(BK4=$B$65,IF(BH4&gt;BJ4,3,IF(BH4=BJ4,1,0)),0))</f>
        <v>3</v>
      </c>
      <c r="BW4" s="1"/>
      <c r="BX4" s="1">
        <f>RANK(CD4,$CD$2:$CD$5)</f>
        <v>2</v>
      </c>
      <c r="BY4" s="95" t="s">
        <v>163</v>
      </c>
      <c r="BZ4" s="1">
        <f>SUM(BS4:BV4)</f>
        <v>6</v>
      </c>
      <c r="CA4" s="1">
        <f>SUM(BS8:BV8)</f>
        <v>9</v>
      </c>
      <c r="CB4" s="1">
        <f>SUM(BU6:BU9)</f>
        <v>5</v>
      </c>
      <c r="CC4" s="1">
        <f>CA4-CB4</f>
        <v>4</v>
      </c>
      <c r="CD4" s="28">
        <f>IF(BP$8="",(((((((CE4*10+BZ4)*100+CC4)*100+CA4)*10+CK4)*10+CJ4)*100+CP4)*100+CU4)*10+CV4,(((((((CE4*10+BZ4)*10+CK4)*10+CJ4)*100+CP4)*100+CU4)*100+CC4)*100+CA4)*10+CV4)</f>
        <v>600000004092</v>
      </c>
      <c r="CE4" s="5"/>
      <c r="CF4" s="109">
        <f>IF($BZ4=$BZ2,$BS4-$BU2,0)</f>
        <v>0</v>
      </c>
      <c r="CG4" s="109">
        <f>IF($BZ4=$BZ3,$BT4-$BU3,0)</f>
        <v>0</v>
      </c>
      <c r="CH4" s="109"/>
      <c r="CI4" s="109">
        <f>IF($BZ4=$BZ5,$BV4-$BU5,0)</f>
        <v>0</v>
      </c>
      <c r="CJ4" s="109">
        <f>SUM(CF4:CI4)</f>
        <v>0</v>
      </c>
      <c r="CK4" s="5"/>
      <c r="CL4" s="109">
        <f>IF($BZ4=$BZ2,$BS8-$BU6,0)</f>
        <v>0</v>
      </c>
      <c r="CM4" s="109">
        <f>IF($BZ4=$BZ3,$BT8-$BU7,0)</f>
        <v>0</v>
      </c>
      <c r="CN4" s="109"/>
      <c r="CO4" s="109">
        <f>IF($BZ4=$BZ5,$BV8-$BU9,0)</f>
        <v>0</v>
      </c>
      <c r="CP4" s="109">
        <f>SUM(CL4:CO4)</f>
        <v>0</v>
      </c>
      <c r="CQ4" s="109">
        <f>IF($BZ4=$BZ2,$BS8,0)</f>
        <v>0</v>
      </c>
      <c r="CR4" s="109">
        <f>IF($BZ4=$BZ3,$BT8,0)</f>
        <v>0</v>
      </c>
      <c r="CS4" s="109"/>
      <c r="CT4" s="109">
        <f>IF($BZ4=$BZ5,$BV8,0)</f>
        <v>0</v>
      </c>
      <c r="CU4" s="109">
        <f>SUM(CQ4:CT4)</f>
        <v>0</v>
      </c>
      <c r="CV4" s="5">
        <v>2</v>
      </c>
    </row>
    <row r="5" spans="1:100" ht="12.75">
      <c r="A5" s="2">
        <f>A3+12</f>
        <v>13</v>
      </c>
      <c r="B5" s="7">
        <v>43999.75</v>
      </c>
      <c r="C5" s="4" t="s">
        <v>137</v>
      </c>
      <c r="D5" s="88" t="str">
        <f>Y2</f>
        <v>Türkei</v>
      </c>
      <c r="E5" s="52" t="s">
        <v>21</v>
      </c>
      <c r="F5" s="88" t="str">
        <f>Y4</f>
        <v>Wales</v>
      </c>
      <c r="G5" s="87"/>
      <c r="H5" s="111">
        <f ca="1" t="shared" si="0"/>
        <v>5</v>
      </c>
      <c r="I5" s="12" t="s">
        <v>22</v>
      </c>
      <c r="J5" s="111">
        <f ca="1" t="shared" si="1"/>
        <v>3</v>
      </c>
      <c r="K5" s="8" t="s">
        <v>23</v>
      </c>
      <c r="L5" s="1"/>
      <c r="M5" s="10" t="str">
        <f>VLOOKUP(4,$X$2:$AC$5,2,FALSE)</f>
        <v>Schweiz</v>
      </c>
      <c r="N5" s="2">
        <f>VLOOKUP(4,$X$2:$AC$5,3,FALSE)</f>
        <v>3</v>
      </c>
      <c r="O5" s="2">
        <f>VLOOKUP(4,$X$2:$AC$5,4,FALSE)</f>
        <v>4</v>
      </c>
      <c r="P5" s="2">
        <f>VLOOKUP(4,$X$2:$AC$5,5,FALSE)</f>
        <v>8</v>
      </c>
      <c r="Q5" s="2">
        <f>VLOOKUP(4,$X$2:$AC$5,6,FALSE)</f>
        <v>-4</v>
      </c>
      <c r="S5" s="93">
        <f>IF(H7="",0,IF(K8=$B$65,IF(H7&gt;J7,3,IF(H7=J7,1,0)),0))</f>
        <v>3</v>
      </c>
      <c r="T5" s="93">
        <f>IF(J6="",0,IF(K6=$B$65,IF(H6&lt;J6,3,IF(H6=J6,1,0)),0))</f>
        <v>0</v>
      </c>
      <c r="U5" s="93">
        <f>IF(J4="",0,IF(K4=$B$65,IF(H4&lt;J4,3,IF(H4=J4,1,0)),0))</f>
        <v>0</v>
      </c>
      <c r="V5" s="92"/>
      <c r="W5" s="94"/>
      <c r="X5" s="94">
        <f>RANK(AD5,$AD$2:$AD$5)</f>
        <v>4</v>
      </c>
      <c r="Y5" s="10" t="s">
        <v>150</v>
      </c>
      <c r="Z5" s="94">
        <f>SUM(S5:V5)</f>
        <v>3</v>
      </c>
      <c r="AA5" s="94">
        <f>SUM(S9:V9)</f>
        <v>4</v>
      </c>
      <c r="AB5" s="94">
        <f>SUM(V6:V9)</f>
        <v>8</v>
      </c>
      <c r="AC5" s="94">
        <f>AA5-AB5</f>
        <v>-4</v>
      </c>
      <c r="AD5" s="28">
        <f>IF(P$8="",(((((((AE5*10+Z5)*100+AC5)*100+AA5)*10+AK5)*10+AJ5)*100+AP5)*100+AU5)*10+AV5,(((((((AE5*10+Z5)*10+AK5)*10+AJ5)*100+AP5)*100+AU5)*100+AC5)*100+AA5)*10+AV5)</f>
        <v>296959996041</v>
      </c>
      <c r="AE5" s="97"/>
      <c r="AF5" s="108">
        <f>IF($Z5=$Z2,$S5-$V2,0)</f>
        <v>0</v>
      </c>
      <c r="AG5" s="108">
        <f>IF($Z5=$Z3,$T5-$V3,0)</f>
        <v>0</v>
      </c>
      <c r="AH5" s="108">
        <f>IF($Z5=$Z4,$U5-$V4,0)</f>
        <v>-3</v>
      </c>
      <c r="AI5" s="108"/>
      <c r="AJ5" s="108">
        <f>SUM(AF5:AI5)</f>
        <v>-3</v>
      </c>
      <c r="AK5" s="97"/>
      <c r="AL5" s="108">
        <f>IF($Z5=$Z2,$S9-$V6,0)</f>
        <v>0</v>
      </c>
      <c r="AM5" s="108">
        <f>IF($Z5=$Z3,$T9-$V7,0)</f>
        <v>0</v>
      </c>
      <c r="AN5" s="108">
        <f>IF($Z5=$Z4,$U9-$V8,0)</f>
        <v>-4</v>
      </c>
      <c r="AO5" s="108"/>
      <c r="AP5" s="108">
        <f>SUM(AL5:AO5)</f>
        <v>-4</v>
      </c>
      <c r="AQ5" s="108">
        <f>IF($Z5=$Z2,$S9,0)</f>
        <v>0</v>
      </c>
      <c r="AR5" s="108">
        <f>IF($Z5=$Z3,$T9,0)</f>
        <v>0</v>
      </c>
      <c r="AS5" s="108">
        <f>IF($Z5=$Z4,$U9,0)</f>
        <v>0</v>
      </c>
      <c r="AT5" s="108"/>
      <c r="AU5" s="108">
        <f>SUM(AQ5:AT5)</f>
        <v>0</v>
      </c>
      <c r="AV5" s="97">
        <v>1</v>
      </c>
      <c r="AW5" s="96"/>
      <c r="BA5" s="2">
        <f>BA3+12</f>
        <v>19</v>
      </c>
      <c r="BB5" s="7">
        <v>44001.791666666664</v>
      </c>
      <c r="BC5" s="4" t="s">
        <v>139</v>
      </c>
      <c r="BD5" s="88" t="str">
        <f>BY2</f>
        <v>England</v>
      </c>
      <c r="BE5" s="52" t="s">
        <v>21</v>
      </c>
      <c r="BF5" s="88" t="str">
        <f>BY4</f>
        <v>Schottland</v>
      </c>
      <c r="BG5" s="87"/>
      <c r="BH5" s="111">
        <f ca="1" t="shared" si="2"/>
        <v>0</v>
      </c>
      <c r="BI5" s="12" t="s">
        <v>22</v>
      </c>
      <c r="BJ5" s="111">
        <f ca="1" t="shared" si="3"/>
        <v>1</v>
      </c>
      <c r="BK5" s="8" t="s">
        <v>23</v>
      </c>
      <c r="BL5" s="1"/>
      <c r="BM5" s="10" t="str">
        <f>VLOOKUP(4,$BX$2:$CC$5,2,FALSE)</f>
        <v>England</v>
      </c>
      <c r="BN5" s="2">
        <f>VLOOKUP(4,$BX$2:$CC$5,3,FALSE)</f>
        <v>0</v>
      </c>
      <c r="BO5" s="2">
        <f>VLOOKUP(4,$BX$2:$CC$5,4,FALSE)</f>
        <v>5</v>
      </c>
      <c r="BP5" s="2">
        <f>VLOOKUP(4,$BX$2:$CC$5,5,FALSE)</f>
        <v>10</v>
      </c>
      <c r="BQ5" s="2">
        <f>VLOOKUP(4,$BX$2:$CC$5,6,FALSE)</f>
        <v>-5</v>
      </c>
      <c r="BS5" s="93">
        <f>IF(BH7="",0,IF(BK8=$B$65,IF(BH7&gt;BJ7,3,IF(BH7=BJ7,1,0)),0))</f>
        <v>3</v>
      </c>
      <c r="BT5" s="93">
        <f>IF(BJ6="",0,IF(BK6=$B$65,IF(BH6&lt;BJ6,3,IF(BH6=BJ6,1,0)),0))</f>
        <v>0</v>
      </c>
      <c r="BU5" s="93">
        <f>IF(BJ4="",0,IF(BK4=$B$65,IF(BH4&lt;BJ4,3,IF(BH4=BJ4,1,0)),0))</f>
        <v>0</v>
      </c>
      <c r="BV5" s="92"/>
      <c r="BW5" s="1"/>
      <c r="BX5" s="1">
        <f>RANK(CD5,$CD$2:$CD$5)</f>
        <v>3</v>
      </c>
      <c r="BY5" s="95" t="s">
        <v>158</v>
      </c>
      <c r="BZ5" s="1">
        <f>SUM(BS5:BV5)</f>
        <v>3</v>
      </c>
      <c r="CA5" s="1">
        <f>SUM(BS9:BV9)</f>
        <v>7</v>
      </c>
      <c r="CB5" s="1">
        <f>SUM(BV6:BV9)</f>
        <v>10</v>
      </c>
      <c r="CC5" s="1">
        <f>CA5-CB5</f>
        <v>-3</v>
      </c>
      <c r="CD5" s="28">
        <f>IF(BP$8="",(((((((CE5*10+BZ5)*100+CC5)*100+CA5)*10+CK5)*10+CJ5)*100+CP5)*100+CU5)*10+CV5,(((((((CE5*10+BZ5)*10+CK5)*10+CJ5)*100+CP5)*100+CU5)*100+CC5)*100+CA5)*10+CV5)</f>
        <v>299999997071</v>
      </c>
      <c r="CE5" s="5"/>
      <c r="CF5" s="109">
        <f>IF($BZ5=$BZ2,$BS5-$BV2,0)</f>
        <v>0</v>
      </c>
      <c r="CG5" s="109">
        <f>IF($BZ5=$BZ3,$BT5-$BV3,0)</f>
        <v>0</v>
      </c>
      <c r="CH5" s="109">
        <f>IF($BZ5=$BZ4,$BU5-$BV4,0)</f>
        <v>0</v>
      </c>
      <c r="CI5" s="109"/>
      <c r="CJ5" s="109">
        <f>SUM(CF5:CI5)</f>
        <v>0</v>
      </c>
      <c r="CK5" s="5"/>
      <c r="CL5" s="109">
        <f>IF($BZ5=$BZ2,$BS9-$BV6,0)</f>
        <v>0</v>
      </c>
      <c r="CM5" s="109">
        <f>IF($BZ5=$BZ3,$BT9-$BV7,0)</f>
        <v>0</v>
      </c>
      <c r="CN5" s="109">
        <f>IF($BZ5=$BZ4,$BU9-$BV8,0)</f>
        <v>0</v>
      </c>
      <c r="CO5" s="109"/>
      <c r="CP5" s="109">
        <f>SUM(CL5:CO5)</f>
        <v>0</v>
      </c>
      <c r="CQ5" s="109">
        <f>IF($BZ5=$BZ2,$BS9,0)</f>
        <v>0</v>
      </c>
      <c r="CR5" s="109">
        <f>IF($BZ5=$BZ3,$BT9,0)</f>
        <v>0</v>
      </c>
      <c r="CS5" s="109">
        <f>IF($BZ5=$BZ4,$BU9,0)</f>
        <v>0</v>
      </c>
      <c r="CT5" s="109"/>
      <c r="CU5" s="109">
        <f>SUM(CQ5:CT5)</f>
        <v>0</v>
      </c>
      <c r="CV5" s="5">
        <v>1</v>
      </c>
    </row>
    <row r="6" spans="1:100" ht="12.75">
      <c r="A6" s="2">
        <f>A4+12</f>
        <v>14</v>
      </c>
      <c r="B6" s="4">
        <v>43999.875</v>
      </c>
      <c r="C6" s="4" t="s">
        <v>138</v>
      </c>
      <c r="D6" s="88" t="str">
        <f>Y3</f>
        <v>Italien</v>
      </c>
      <c r="E6" s="52" t="s">
        <v>21</v>
      </c>
      <c r="F6" s="88" t="str">
        <f>Y5</f>
        <v>Schweiz</v>
      </c>
      <c r="G6" s="87"/>
      <c r="H6" s="111">
        <f ca="1" t="shared" si="0"/>
        <v>3</v>
      </c>
      <c r="I6" s="12" t="s">
        <v>22</v>
      </c>
      <c r="J6" s="111">
        <f ca="1" t="shared" si="1"/>
        <v>0</v>
      </c>
      <c r="K6" s="8" t="s">
        <v>23</v>
      </c>
      <c r="L6" s="1"/>
      <c r="N6" s="1"/>
      <c r="O6" s="1"/>
      <c r="P6" s="1"/>
      <c r="S6" s="92"/>
      <c r="T6" s="93">
        <f>IF(K3=$B$65,H3,0)</f>
        <v>3</v>
      </c>
      <c r="U6" s="93">
        <f>IF(K5=$B$65,H5,0)</f>
        <v>5</v>
      </c>
      <c r="V6" s="93">
        <f>IF(K8=$B$65,J7,0)</f>
        <v>1</v>
      </c>
      <c r="W6" s="94"/>
      <c r="X6" s="94"/>
      <c r="Y6" s="94"/>
      <c r="Z6" s="94"/>
      <c r="AA6" s="94"/>
      <c r="AB6" s="94"/>
      <c r="AC6" s="94"/>
      <c r="AD6" s="98"/>
      <c r="AE6" s="99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V6" s="108"/>
      <c r="AW6" s="96"/>
      <c r="BA6" s="2">
        <f>BA4+12</f>
        <v>20</v>
      </c>
      <c r="BB6" s="7">
        <v>44001.75</v>
      </c>
      <c r="BC6" s="4" t="s">
        <v>146</v>
      </c>
      <c r="BD6" s="88" t="str">
        <f>BY3</f>
        <v>Kroatien</v>
      </c>
      <c r="BE6" s="52" t="s">
        <v>21</v>
      </c>
      <c r="BF6" s="88" t="str">
        <f>BY5</f>
        <v>Tschechien</v>
      </c>
      <c r="BG6" s="87"/>
      <c r="BH6" s="111">
        <f ca="1" t="shared" si="2"/>
        <v>1</v>
      </c>
      <c r="BI6" s="12" t="s">
        <v>22</v>
      </c>
      <c r="BJ6" s="111">
        <f ca="1" t="shared" si="3"/>
        <v>0</v>
      </c>
      <c r="BK6" s="8" t="s">
        <v>23</v>
      </c>
      <c r="BL6" s="1"/>
      <c r="BN6" s="1"/>
      <c r="BO6" s="1"/>
      <c r="BP6" s="1"/>
      <c r="BS6" s="92"/>
      <c r="BT6" s="93">
        <f>IF(BK3=$B$65,BH3,0)</f>
        <v>1</v>
      </c>
      <c r="BU6" s="93">
        <f>IF(BK5=$B$65,BH5,0)</f>
        <v>0</v>
      </c>
      <c r="BV6" s="93">
        <f>IF(BK8=$B$65,BJ7,0)</f>
        <v>4</v>
      </c>
      <c r="BW6" s="1"/>
      <c r="BX6" s="1"/>
      <c r="BY6" s="94"/>
      <c r="BZ6" s="1"/>
      <c r="CA6" s="1"/>
      <c r="CB6" s="1"/>
      <c r="CC6" s="1"/>
      <c r="CD6" s="6"/>
      <c r="CE6" s="8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V6" s="109"/>
    </row>
    <row r="7" spans="1:100" ht="12.75">
      <c r="A7" s="2">
        <f>A5+12</f>
        <v>25</v>
      </c>
      <c r="B7" s="7">
        <v>44003.75</v>
      </c>
      <c r="C7" s="4" t="s">
        <v>137</v>
      </c>
      <c r="D7" s="88" t="str">
        <f>Y5</f>
        <v>Schweiz</v>
      </c>
      <c r="E7" s="52" t="s">
        <v>21</v>
      </c>
      <c r="F7" s="88" t="str">
        <f>Y2</f>
        <v>Türkei</v>
      </c>
      <c r="G7" s="86"/>
      <c r="H7" s="110">
        <f ca="1" t="shared" si="0"/>
        <v>4</v>
      </c>
      <c r="I7" s="12" t="s">
        <v>22</v>
      </c>
      <c r="J7" s="110">
        <f ca="1" t="shared" si="1"/>
        <v>1</v>
      </c>
      <c r="K7" s="8" t="s">
        <v>23</v>
      </c>
      <c r="M7" s="44" t="str">
        <f>IF(N2&gt;0,M2,"")</f>
        <v>Türkei</v>
      </c>
      <c r="N7" s="2" t="s">
        <v>24</v>
      </c>
      <c r="P7" s="34"/>
      <c r="S7" s="93">
        <f>IF(K3=$B$65,J3,0)</f>
        <v>2</v>
      </c>
      <c r="T7" s="92"/>
      <c r="U7" s="93">
        <f>IF(K7=$B$65,H8,0)</f>
        <v>1</v>
      </c>
      <c r="V7" s="93">
        <f>IF(K6=$B$65,H6,0)</f>
        <v>3</v>
      </c>
      <c r="AD7" s="86" t="s">
        <v>118</v>
      </c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V7" s="112"/>
      <c r="AW7" s="96"/>
      <c r="BA7" s="2">
        <f>BA5+12</f>
        <v>31</v>
      </c>
      <c r="BB7" s="7">
        <v>44005.875</v>
      </c>
      <c r="BC7" s="4" t="s">
        <v>139</v>
      </c>
      <c r="BD7" s="88" t="str">
        <f>BY5</f>
        <v>Tschechien</v>
      </c>
      <c r="BE7" s="52" t="s">
        <v>21</v>
      </c>
      <c r="BF7" s="88" t="str">
        <f>BY2</f>
        <v>England</v>
      </c>
      <c r="BG7" s="86"/>
      <c r="BH7" s="110">
        <f ca="1" t="shared" si="2"/>
        <v>6</v>
      </c>
      <c r="BI7" s="14" t="s">
        <v>22</v>
      </c>
      <c r="BJ7" s="110">
        <f ca="1" t="shared" si="3"/>
        <v>4</v>
      </c>
      <c r="BK7" s="8" t="s">
        <v>23</v>
      </c>
      <c r="BM7" s="47" t="str">
        <f>IF(BN2&gt;0,BM2,"")</f>
        <v>Kroatien</v>
      </c>
      <c r="BN7" s="2" t="s">
        <v>33</v>
      </c>
      <c r="BP7" s="34"/>
      <c r="BS7" s="93">
        <f>IF(BK3=$B$65,BJ3,0)</f>
        <v>3</v>
      </c>
      <c r="BT7" s="92"/>
      <c r="BU7" s="93">
        <f>IF(BK7=$B$65,BH8,0)</f>
        <v>4</v>
      </c>
      <c r="BV7" s="93">
        <f>IF(BK6=$B$65,BH6,0)</f>
        <v>1</v>
      </c>
      <c r="CD7" s="2" t="s">
        <v>118</v>
      </c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V7" s="113"/>
    </row>
    <row r="8" spans="1:100" ht="12.75">
      <c r="A8" s="2">
        <f>A6+12</f>
        <v>26</v>
      </c>
      <c r="B8" s="7">
        <v>44003.75</v>
      </c>
      <c r="C8" s="4" t="s">
        <v>138</v>
      </c>
      <c r="D8" s="88" t="str">
        <f>Y3</f>
        <v>Italien</v>
      </c>
      <c r="E8" s="52" t="s">
        <v>21</v>
      </c>
      <c r="F8" s="88" t="str">
        <f>Y4</f>
        <v>Wales</v>
      </c>
      <c r="G8" s="86"/>
      <c r="H8" s="111">
        <f ca="1" t="shared" si="0"/>
        <v>1</v>
      </c>
      <c r="I8" s="12" t="s">
        <v>22</v>
      </c>
      <c r="J8" s="111">
        <f ca="1" t="shared" si="1"/>
        <v>0</v>
      </c>
      <c r="K8" s="8" t="s">
        <v>23</v>
      </c>
      <c r="M8" s="44" t="str">
        <f>IF(N3&gt;0,M3,"")</f>
        <v>Italien</v>
      </c>
      <c r="N8" s="2" t="s">
        <v>25</v>
      </c>
      <c r="O8" s="35"/>
      <c r="P8" s="36" t="s">
        <v>11</v>
      </c>
      <c r="S8" s="93">
        <f>IF(K5=$B$65,J5,0)</f>
        <v>3</v>
      </c>
      <c r="T8" s="93">
        <f>IF(K7=$B$65,J8,0)</f>
        <v>0</v>
      </c>
      <c r="U8" s="92"/>
      <c r="V8" s="93">
        <f>IF(K4=$B$65,H4,0)</f>
        <v>4</v>
      </c>
      <c r="AD8" s="86" t="s">
        <v>119</v>
      </c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V8" s="112"/>
      <c r="AW8" s="96"/>
      <c r="BA8" s="2">
        <f>BA6+12</f>
        <v>32</v>
      </c>
      <c r="BB8" s="7">
        <v>44005.875</v>
      </c>
      <c r="BC8" s="4" t="s">
        <v>146</v>
      </c>
      <c r="BD8" s="88" t="str">
        <f>BY3</f>
        <v>Kroatien</v>
      </c>
      <c r="BE8" s="52" t="s">
        <v>21</v>
      </c>
      <c r="BF8" s="88" t="str">
        <f>BY4</f>
        <v>Schottland</v>
      </c>
      <c r="BG8" s="86"/>
      <c r="BH8" s="111">
        <f ca="1" t="shared" si="2"/>
        <v>4</v>
      </c>
      <c r="BI8" s="12" t="s">
        <v>22</v>
      </c>
      <c r="BJ8" s="111">
        <f ca="1" t="shared" si="3"/>
        <v>3</v>
      </c>
      <c r="BK8" s="8" t="s">
        <v>23</v>
      </c>
      <c r="BM8" s="47" t="str">
        <f>IF(BN3&gt;0,BM3,"")</f>
        <v>Schottland</v>
      </c>
      <c r="BN8" s="2" t="s">
        <v>34</v>
      </c>
      <c r="BO8" s="35"/>
      <c r="BP8" s="36" t="s">
        <v>11</v>
      </c>
      <c r="BS8" s="93">
        <f>IF(BK5=$B$65,BJ5,0)</f>
        <v>1</v>
      </c>
      <c r="BT8" s="93">
        <f>IF(BK7=$B$65,BJ8,0)</f>
        <v>3</v>
      </c>
      <c r="BU8" s="92"/>
      <c r="BV8" s="93">
        <f>IF(BK4=$B$65,BH4,0)</f>
        <v>5</v>
      </c>
      <c r="CD8" s="2" t="s">
        <v>119</v>
      </c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V8" s="113"/>
    </row>
    <row r="9" spans="4:100" ht="12.75">
      <c r="D9" s="86"/>
      <c r="E9" s="86"/>
      <c r="F9" s="86"/>
      <c r="G9" s="86"/>
      <c r="M9" s="44" t="str">
        <f>IF(N4&gt;0,M4,"")</f>
        <v>Wales</v>
      </c>
      <c r="N9" s="2" t="s">
        <v>115</v>
      </c>
      <c r="S9" s="93">
        <f>IF(K8=$B$65,H7,0)</f>
        <v>4</v>
      </c>
      <c r="T9" s="93">
        <f>IF(K6=$B$65,J6,0)</f>
        <v>0</v>
      </c>
      <c r="U9" s="93">
        <f>IF(K4=$B$65,J4,0)</f>
        <v>0</v>
      </c>
      <c r="V9" s="92"/>
      <c r="AD9" s="86" t="s">
        <v>120</v>
      </c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V9" s="112"/>
      <c r="AW9" s="96"/>
      <c r="BD9" s="86"/>
      <c r="BE9" s="86"/>
      <c r="BF9" s="86"/>
      <c r="BG9" s="86"/>
      <c r="BM9" s="47" t="str">
        <f>IF(BN4&gt;0,BM4,"")</f>
        <v>Tschechien</v>
      </c>
      <c r="BN9" s="2" t="s">
        <v>116</v>
      </c>
      <c r="BS9" s="93">
        <f>IF(BK8=$B$65,BH7,0)</f>
        <v>6</v>
      </c>
      <c r="BT9" s="93">
        <f>IF(BK6=$B$65,BJ6,0)</f>
        <v>0</v>
      </c>
      <c r="BU9" s="93">
        <f>IF(BK4=$B$65,BJ4,0)</f>
        <v>1</v>
      </c>
      <c r="BV9" s="92"/>
      <c r="CD9" s="2" t="s">
        <v>120</v>
      </c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V9" s="113"/>
    </row>
    <row r="10" spans="4:100" ht="6" customHeight="1">
      <c r="D10" s="86"/>
      <c r="E10" s="89"/>
      <c r="F10" s="91"/>
      <c r="G10" s="91"/>
      <c r="H10" s="86"/>
      <c r="I10" s="86"/>
      <c r="J10" s="86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V10" s="112"/>
      <c r="AW10" s="96"/>
      <c r="BD10" s="86"/>
      <c r="BE10" s="89"/>
      <c r="BF10" s="91"/>
      <c r="BG10" s="91"/>
      <c r="BH10" s="86"/>
      <c r="BI10" s="86"/>
      <c r="BJ10" s="86"/>
      <c r="BS10" s="86"/>
      <c r="BT10" s="86"/>
      <c r="BU10" s="86"/>
      <c r="BV10" s="86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V10" s="113"/>
    </row>
    <row r="11" spans="2:100" s="11" customFormat="1" ht="12.75">
      <c r="B11" s="37" t="s">
        <v>0</v>
      </c>
      <c r="C11" s="38" t="s">
        <v>26</v>
      </c>
      <c r="D11" s="87" t="s">
        <v>2</v>
      </c>
      <c r="E11" s="101"/>
      <c r="F11" s="87"/>
      <c r="G11" s="87"/>
      <c r="H11" s="22"/>
      <c r="I11" s="21"/>
      <c r="J11" s="22"/>
      <c r="K11" s="23"/>
      <c r="L11" s="18"/>
      <c r="M11" s="43" t="s">
        <v>3</v>
      </c>
      <c r="N11" s="18" t="s">
        <v>4</v>
      </c>
      <c r="O11" s="18" t="s">
        <v>5</v>
      </c>
      <c r="P11" s="18" t="s">
        <v>6</v>
      </c>
      <c r="Q11" s="18" t="s">
        <v>7</v>
      </c>
      <c r="R11" s="18"/>
      <c r="S11" s="86"/>
      <c r="T11" s="86"/>
      <c r="U11" s="86"/>
      <c r="V11" s="86"/>
      <c r="W11" s="87"/>
      <c r="X11" s="87" t="s">
        <v>8</v>
      </c>
      <c r="Y11" s="88" t="s">
        <v>9</v>
      </c>
      <c r="Z11" s="87" t="s">
        <v>4</v>
      </c>
      <c r="AA11" s="87" t="s">
        <v>5</v>
      </c>
      <c r="AB11" s="87" t="s">
        <v>6</v>
      </c>
      <c r="AC11" s="87" t="s">
        <v>7</v>
      </c>
      <c r="AD11" s="87"/>
      <c r="AE11" s="21" t="s">
        <v>10</v>
      </c>
      <c r="AF11" s="52" t="s">
        <v>11</v>
      </c>
      <c r="AG11" s="52"/>
      <c r="AH11" s="52"/>
      <c r="AI11" s="52"/>
      <c r="AJ11" s="52" t="s">
        <v>12</v>
      </c>
      <c r="AK11" s="88" t="s">
        <v>13</v>
      </c>
      <c r="AL11" s="52" t="s">
        <v>14</v>
      </c>
      <c r="AM11" s="52"/>
      <c r="AN11" s="52"/>
      <c r="AO11" s="52"/>
      <c r="AP11" s="52" t="s">
        <v>15</v>
      </c>
      <c r="AQ11" s="52" t="s">
        <v>16</v>
      </c>
      <c r="AR11" s="52"/>
      <c r="AS11" s="52"/>
      <c r="AT11" s="52"/>
      <c r="AU11" s="89" t="s">
        <v>17</v>
      </c>
      <c r="AV11" s="88" t="s">
        <v>18</v>
      </c>
      <c r="AW11" s="90"/>
      <c r="AX11" s="91"/>
      <c r="AY11" s="91"/>
      <c r="AZ11" s="91"/>
      <c r="BB11" s="19" t="s">
        <v>0</v>
      </c>
      <c r="BC11" s="48" t="s">
        <v>35</v>
      </c>
      <c r="BD11" s="87" t="s">
        <v>2</v>
      </c>
      <c r="BE11" s="101"/>
      <c r="BF11" s="87"/>
      <c r="BG11" s="87"/>
      <c r="BH11" s="22"/>
      <c r="BI11" s="21"/>
      <c r="BJ11" s="22"/>
      <c r="BK11" s="23"/>
      <c r="BL11" s="18"/>
      <c r="BM11" s="43" t="s">
        <v>3</v>
      </c>
      <c r="BN11" s="18" t="s">
        <v>4</v>
      </c>
      <c r="BO11" s="18" t="s">
        <v>5</v>
      </c>
      <c r="BP11" s="18" t="s">
        <v>6</v>
      </c>
      <c r="BQ11" s="18" t="s">
        <v>7</v>
      </c>
      <c r="BR11" s="18"/>
      <c r="BS11" s="86"/>
      <c r="BT11" s="86"/>
      <c r="BU11" s="86"/>
      <c r="BV11" s="86"/>
      <c r="BW11" s="18"/>
      <c r="BX11" s="18" t="s">
        <v>8</v>
      </c>
      <c r="BY11" s="88" t="s">
        <v>9</v>
      </c>
      <c r="BZ11" s="18" t="s">
        <v>4</v>
      </c>
      <c r="CA11" s="18" t="s">
        <v>5</v>
      </c>
      <c r="CB11" s="18" t="s">
        <v>6</v>
      </c>
      <c r="CC11" s="18" t="s">
        <v>7</v>
      </c>
      <c r="CD11" s="18"/>
      <c r="CE11" s="23" t="s">
        <v>10</v>
      </c>
      <c r="CF11" s="16" t="s">
        <v>11</v>
      </c>
      <c r="CG11" s="16"/>
      <c r="CH11" s="16"/>
      <c r="CI11" s="16"/>
      <c r="CJ11" s="16" t="s">
        <v>12</v>
      </c>
      <c r="CK11" s="24" t="s">
        <v>13</v>
      </c>
      <c r="CL11" s="16" t="s">
        <v>14</v>
      </c>
      <c r="CM11" s="16"/>
      <c r="CN11" s="16"/>
      <c r="CO11" s="16"/>
      <c r="CP11" s="16" t="s">
        <v>15</v>
      </c>
      <c r="CQ11" s="16" t="s">
        <v>16</v>
      </c>
      <c r="CR11" s="16"/>
      <c r="CS11" s="16"/>
      <c r="CT11" s="16"/>
      <c r="CU11" s="17" t="s">
        <v>17</v>
      </c>
      <c r="CV11" s="24" t="s">
        <v>18</v>
      </c>
    </row>
    <row r="12" spans="2:100" ht="12.75">
      <c r="B12" s="3" t="s">
        <v>19</v>
      </c>
      <c r="C12" s="3" t="s">
        <v>20</v>
      </c>
      <c r="D12" s="86"/>
      <c r="E12" s="86"/>
      <c r="F12" s="86"/>
      <c r="G12" s="86"/>
      <c r="L12" s="1"/>
      <c r="M12" s="10" t="str">
        <f>VLOOKUP(1,$X$12:$AC$15,2,FALSE)</f>
        <v>Belgien</v>
      </c>
      <c r="N12" s="2">
        <f>VLOOKUP(1,$X$12:$AC$15,3,FALSE)</f>
        <v>6</v>
      </c>
      <c r="O12" s="2">
        <f>VLOOKUP(1,$X$12:$AC$15,4,FALSE)</f>
        <v>9</v>
      </c>
      <c r="P12" s="2">
        <f>VLOOKUP(1,$X$12:$AC$15,5,FALSE)</f>
        <v>7</v>
      </c>
      <c r="Q12" s="2">
        <f>VLOOKUP(1,$X$12:$AC$15,6,FALSE)</f>
        <v>2</v>
      </c>
      <c r="S12" s="92"/>
      <c r="T12" s="93">
        <f>IF(H13="",0,IF(K13=$B$65,IF(H13&gt;J13,3,IF(H13=J13,1,0)),0))</f>
        <v>0</v>
      </c>
      <c r="U12" s="93">
        <f>IF(H15="",0,IF(K15=$B$65,IF(H15&gt;J15,3,IF(H15=J15,1,0)),0))</f>
        <v>3</v>
      </c>
      <c r="V12" s="93">
        <f>IF(J17="",0,IF(K18=$B$65,IF(H17&lt;J17,3,IF(H17=J17,1,0)),0))</f>
        <v>0</v>
      </c>
      <c r="W12" s="94"/>
      <c r="X12" s="94">
        <f>RANK(AD12,$AD$12:$AD$15)</f>
        <v>4</v>
      </c>
      <c r="Y12" s="95" t="s">
        <v>151</v>
      </c>
      <c r="Z12" s="94">
        <f>SUM(S12:V12)</f>
        <v>3</v>
      </c>
      <c r="AA12" s="94">
        <f>SUM(S16:V16)</f>
        <v>6</v>
      </c>
      <c r="AB12" s="94">
        <f>SUM(S16:S19)</f>
        <v>10</v>
      </c>
      <c r="AC12" s="94">
        <f>AA12-AB12</f>
        <v>-4</v>
      </c>
      <c r="AD12" s="28">
        <f>IF(P$18="",(((((((AE12*10+Z12)*100+AC12)*100+AA12)*10+AK12)*10+AJ12)*100+AP12)*100+AU12)*10+AV12,(((((((AE12*10+Z12)*10+AK12)*10+AJ12)*100+AP12)*100+AU12)*100+AC12)*100+AA12)*10+AV12)</f>
        <v>296960096064</v>
      </c>
      <c r="AE12" s="97"/>
      <c r="AF12" s="108"/>
      <c r="AG12" s="108">
        <f>IF($Z12=$Z13,$T12-$S13,0)</f>
        <v>-3</v>
      </c>
      <c r="AH12" s="108">
        <f>IF($Z12=$Z14,$U12-$S14,0)</f>
        <v>0</v>
      </c>
      <c r="AI12" s="108">
        <f>IF($Z12=$Z15,$V12-$S15,0)</f>
        <v>0</v>
      </c>
      <c r="AJ12" s="108">
        <f>SUM(AF12:AI12)</f>
        <v>-3</v>
      </c>
      <c r="AK12" s="97"/>
      <c r="AL12" s="108"/>
      <c r="AM12" s="108">
        <f>IF($Z12=$Z13,$T16-$S17,0)</f>
        <v>-4</v>
      </c>
      <c r="AN12" s="108">
        <f>IF($Z12=$Z14,$U16-$S18,0)</f>
        <v>0</v>
      </c>
      <c r="AO12" s="108">
        <f>IF($Z12=$Z15,$V16-$S19,0)</f>
        <v>0</v>
      </c>
      <c r="AP12" s="108">
        <f>SUM(AL12:AO12)</f>
        <v>-4</v>
      </c>
      <c r="AQ12" s="108"/>
      <c r="AR12" s="108">
        <f>IF($Z12=$Z13,$T16,0)</f>
        <v>1</v>
      </c>
      <c r="AS12" s="108">
        <f>IF($Z12=$Z14,$U16,0)</f>
        <v>0</v>
      </c>
      <c r="AT12" s="108">
        <f>IF($Z12=$Z15,$V16,0)</f>
        <v>0</v>
      </c>
      <c r="AU12" s="108">
        <f>SUM(AQ12:AT12)</f>
        <v>1</v>
      </c>
      <c r="AV12" s="97">
        <v>4</v>
      </c>
      <c r="AW12" s="96"/>
      <c r="BB12" s="3" t="s">
        <v>19</v>
      </c>
      <c r="BC12" s="3" t="s">
        <v>20</v>
      </c>
      <c r="BD12" s="86"/>
      <c r="BE12" s="86"/>
      <c r="BF12" s="86"/>
      <c r="BG12" s="86"/>
      <c r="BL12" s="1"/>
      <c r="BM12" s="10" t="str">
        <f>VLOOKUP(1,$BX$12:$CC$15,2,FALSE)</f>
        <v>Spanien</v>
      </c>
      <c r="BN12" s="2">
        <f>VLOOKUP(1,$BX$12:$CC$15,3,FALSE)</f>
        <v>7</v>
      </c>
      <c r="BO12" s="2">
        <f>VLOOKUP(1,$BX$12:$CC$15,4,FALSE)</f>
        <v>12</v>
      </c>
      <c r="BP12" s="2">
        <f>VLOOKUP(1,$BX$12:$CC$15,5,FALSE)</f>
        <v>7</v>
      </c>
      <c r="BQ12" s="2">
        <f>VLOOKUP(1,$BX$12:$CC$15,6,FALSE)</f>
        <v>5</v>
      </c>
      <c r="BS12" s="92"/>
      <c r="BT12" s="93">
        <f>IF(BH13="",0,IF(BK13=$B$65,IF(BH13&gt;BJ13,3,IF(BH13=BJ13,1,0)),0))</f>
        <v>1</v>
      </c>
      <c r="BU12" s="93">
        <f>IF(BH15="",0,IF(BK15=$B$65,IF(BH15&gt;BJ15,3,IF(BH15=BJ15,1,0)),0))</f>
        <v>3</v>
      </c>
      <c r="BV12" s="93">
        <f>IF(BJ17="",0,IF(BK18=$B$65,IF(BH17&lt;BJ17,3,IF(BH17=BJ17,1,0)),0))</f>
        <v>3</v>
      </c>
      <c r="BW12" s="1"/>
      <c r="BX12" s="1">
        <f>RANK(CD12,$CD$12:$CD$15)</f>
        <v>1</v>
      </c>
      <c r="BY12" s="95" t="s">
        <v>64</v>
      </c>
      <c r="BZ12" s="1">
        <f>SUM(BS12:BV12)</f>
        <v>7</v>
      </c>
      <c r="CA12" s="1">
        <f>SUM(BS16:BV16)</f>
        <v>12</v>
      </c>
      <c r="CB12" s="1">
        <f>SUM(BS16:BS19)</f>
        <v>7</v>
      </c>
      <c r="CC12" s="1">
        <f>CA12-CB12</f>
        <v>5</v>
      </c>
      <c r="CD12" s="28">
        <f>IF(BP$18="",(((((((CE12*10+BZ12)*100+CC12)*100+CA12)*10+CK12)*10+CJ12)*100+CP12)*100+CU12)*10+CV12,(((((((CE12*10+BZ12)*10+CK12)*10+CJ12)*100+CP12)*100+CU12)*100+CC12)*100+CA12)*10+CV12)</f>
        <v>700000405124</v>
      </c>
      <c r="CE12" s="5"/>
      <c r="CF12" s="109"/>
      <c r="CG12" s="109">
        <f>IF($BZ12=$BZ13,$BT12-$BS13,0)</f>
        <v>0</v>
      </c>
      <c r="CH12" s="109">
        <f>IF($BZ12=$BZ14,$BU12-$BS14,0)</f>
        <v>0</v>
      </c>
      <c r="CI12" s="109">
        <f>IF($BZ12=$BZ15,$BV12-$BS15,0)</f>
        <v>0</v>
      </c>
      <c r="CJ12" s="109">
        <f>SUM(CF12:CI12)</f>
        <v>0</v>
      </c>
      <c r="CK12" s="5"/>
      <c r="CL12" s="109"/>
      <c r="CM12" s="109">
        <f>IF($BZ12=$BZ13,$BT16-$BS17,0)</f>
        <v>0</v>
      </c>
      <c r="CN12" s="109">
        <f>IF($BZ12=$BZ14,$BU16-$BS18,0)</f>
        <v>0</v>
      </c>
      <c r="CO12" s="109">
        <f>IF($BZ12=$BZ15,$BV16-$BS19,0)</f>
        <v>0</v>
      </c>
      <c r="CP12" s="109">
        <f>SUM(CL12:CO12)</f>
        <v>0</v>
      </c>
      <c r="CQ12" s="109"/>
      <c r="CR12" s="109">
        <f>IF($BZ12=$BZ13,$BT16,0)</f>
        <v>4</v>
      </c>
      <c r="CS12" s="109">
        <f>IF($BZ12=$BZ14,$BU16,0)</f>
        <v>0</v>
      </c>
      <c r="CT12" s="109">
        <f>IF($BZ12=$BZ15,$BV16,0)</f>
        <v>0</v>
      </c>
      <c r="CU12" s="109">
        <f>SUM(CQ12:CT12)</f>
        <v>4</v>
      </c>
      <c r="CV12" s="5">
        <v>4</v>
      </c>
    </row>
    <row r="13" spans="1:100" ht="12.75">
      <c r="A13" s="2">
        <v>3</v>
      </c>
      <c r="B13" s="7">
        <v>43995.75</v>
      </c>
      <c r="C13" s="4" t="s">
        <v>142</v>
      </c>
      <c r="D13" s="88" t="str">
        <f>Y12</f>
        <v>Dänemark</v>
      </c>
      <c r="E13" s="52" t="s">
        <v>21</v>
      </c>
      <c r="F13" s="88" t="str">
        <f>Y13</f>
        <v>Finnland</v>
      </c>
      <c r="G13" s="87"/>
      <c r="H13" s="110">
        <f aca="true" ca="1" t="shared" si="4" ref="H13:H18">IF($B$66="",1,INT(RAND()*5)+INT(RAND()*3)*INT(RAND()*2))</f>
        <v>1</v>
      </c>
      <c r="I13" s="12" t="s">
        <v>22</v>
      </c>
      <c r="J13" s="110">
        <f aca="true" ca="1" t="shared" si="5" ref="J13:J18">IF($B$66="",0,INT(RAND()*5)+INT(RAND()*3)*INT(RAND()*2))</f>
        <v>5</v>
      </c>
      <c r="K13" s="8" t="s">
        <v>23</v>
      </c>
      <c r="L13" s="1"/>
      <c r="M13" s="10" t="str">
        <f>VLOOKUP(2,$X$12:$AC$15,2,FALSE)</f>
        <v>Russland</v>
      </c>
      <c r="N13" s="2">
        <f>VLOOKUP(2,$X$12:$AC$15,3,FALSE)</f>
        <v>6</v>
      </c>
      <c r="O13" s="2">
        <f>VLOOKUP(2,$X$12:$AC$15,4,FALSE)</f>
        <v>8</v>
      </c>
      <c r="P13" s="2">
        <f>VLOOKUP(2,$X$12:$AC$15,5,FALSE)</f>
        <v>6</v>
      </c>
      <c r="Q13" s="2">
        <f>VLOOKUP(2,$X$12:$AC$15,6,FALSE)</f>
        <v>2</v>
      </c>
      <c r="S13" s="93">
        <f>IF(J13="",0,IF(K13=$B$65,IF(H13&lt;J13,3,IF(H13=J13,1,0)),0))</f>
        <v>3</v>
      </c>
      <c r="T13" s="92"/>
      <c r="U13" s="93">
        <f>IF(H18="",0,IF(K17=$B$65,IF(H18&gt;J18,3,IF(H18=J18,1,0)),0))</f>
        <v>0</v>
      </c>
      <c r="V13" s="93">
        <f>IF(H16="",0,IF(K16=$B$65,IF(H16&gt;J16,3,IF(H16=J16,1,0)),0))</f>
        <v>0</v>
      </c>
      <c r="W13" s="94"/>
      <c r="X13" s="94">
        <f>RANK(AD13,$AD$12:$AD$15)</f>
        <v>3</v>
      </c>
      <c r="Y13" s="95" t="s">
        <v>152</v>
      </c>
      <c r="Z13" s="94">
        <f>SUM(S13:V13)</f>
        <v>3</v>
      </c>
      <c r="AA13" s="94">
        <f>SUM(S17:V17)</f>
        <v>6</v>
      </c>
      <c r="AB13" s="94">
        <f>SUM(T16:T19)</f>
        <v>6</v>
      </c>
      <c r="AC13" s="94">
        <f>AA13-AB13</f>
        <v>0</v>
      </c>
      <c r="AD13" s="28">
        <f>IF(P$18="",(((((((AE13*10+Z13)*100+AC13)*100+AA13)*10+AK13)*10+AJ13)*100+AP13)*100+AU13)*10+AV13,(((((((AE13*10+Z13)*10+AK13)*10+AJ13)*100+AP13)*100+AU13)*100+AC13)*100+AA13)*10+AV13)</f>
        <v>303040500063</v>
      </c>
      <c r="AE13" s="97"/>
      <c r="AF13" s="108">
        <f>IF($Z13=$Z12,$S13-$T12,0)</f>
        <v>3</v>
      </c>
      <c r="AG13" s="108"/>
      <c r="AH13" s="108">
        <f>IF($Z13=$Z14,$U13-$T14,0)</f>
        <v>0</v>
      </c>
      <c r="AI13" s="108">
        <f>IF($Z13=$Z15,$V13-$T15,0)</f>
        <v>0</v>
      </c>
      <c r="AJ13" s="108">
        <f>SUM(AF13:AI13)</f>
        <v>3</v>
      </c>
      <c r="AK13" s="97"/>
      <c r="AL13" s="108">
        <f>IF($Z13=$Z12,$S17-$T16,0)</f>
        <v>4</v>
      </c>
      <c r="AM13" s="108"/>
      <c r="AN13" s="108">
        <f>IF($Z13=$Z14,$U17-$T18,0)</f>
        <v>0</v>
      </c>
      <c r="AO13" s="108">
        <f>IF($Z13=$Z15,$V17-$T19,0)</f>
        <v>0</v>
      </c>
      <c r="AP13" s="108">
        <f>SUM(AL13:AO13)</f>
        <v>4</v>
      </c>
      <c r="AQ13" s="108">
        <f>IF($Z13=$Z12,$S17,0)</f>
        <v>5</v>
      </c>
      <c r="AR13" s="108"/>
      <c r="AS13" s="108">
        <f>IF($Z13=$Z14,$U17,0)</f>
        <v>0</v>
      </c>
      <c r="AT13" s="108">
        <f>IF($Z13=$Z15,$V17,0)</f>
        <v>0</v>
      </c>
      <c r="AU13" s="108">
        <f>SUM(AQ13:AT13)</f>
        <v>5</v>
      </c>
      <c r="AV13" s="97">
        <v>3</v>
      </c>
      <c r="AW13" s="96"/>
      <c r="BA13" s="2">
        <v>9</v>
      </c>
      <c r="BB13" s="7">
        <v>43997.875</v>
      </c>
      <c r="BC13" s="4" t="s">
        <v>140</v>
      </c>
      <c r="BD13" s="88" t="str">
        <f>BY12</f>
        <v>Spanien</v>
      </c>
      <c r="BE13" s="52" t="s">
        <v>21</v>
      </c>
      <c r="BF13" s="88" t="str">
        <f>BY13</f>
        <v>Schweden</v>
      </c>
      <c r="BG13" s="87"/>
      <c r="BH13" s="110">
        <f aca="true" ca="1" t="shared" si="6" ref="BH13:BH18">IF($B$66="",1,INT(RAND()*5)+INT(RAND()*3)*INT(RAND()*2))</f>
        <v>4</v>
      </c>
      <c r="BI13" s="12" t="s">
        <v>22</v>
      </c>
      <c r="BJ13" s="110">
        <f aca="true" ca="1" t="shared" si="7" ref="BJ13:BJ18">IF($B$66="",0,INT(RAND()*5)+INT(RAND()*3)*INT(RAND()*2))</f>
        <v>4</v>
      </c>
      <c r="BK13" s="8" t="s">
        <v>23</v>
      </c>
      <c r="BL13" s="1"/>
      <c r="BM13" s="10" t="str">
        <f>VLOOKUP(2,$BX$12:$CC$15,2,FALSE)</f>
        <v>Schweden</v>
      </c>
      <c r="BN13" s="2">
        <f>VLOOKUP(2,$BX$12:$CC$15,3,FALSE)</f>
        <v>7</v>
      </c>
      <c r="BO13" s="2">
        <f>VLOOKUP(2,$BX$12:$CC$15,4,FALSE)</f>
        <v>11</v>
      </c>
      <c r="BP13" s="2">
        <f>VLOOKUP(2,$BX$12:$CC$15,5,FALSE)</f>
        <v>9</v>
      </c>
      <c r="BQ13" s="2">
        <f>VLOOKUP(2,$BX$12:$CC$15,6,FALSE)</f>
        <v>2</v>
      </c>
      <c r="BS13" s="93">
        <f>IF(BJ13="",0,IF(BK13=$B$65,IF(BH13&lt;BJ13,3,IF(BH13=BJ13,1,0)),0))</f>
        <v>1</v>
      </c>
      <c r="BT13" s="92"/>
      <c r="BU13" s="93">
        <f>IF(BH18="",0,IF(BK17=$B$65,IF(BH18&gt;BJ18,3,IF(BH18=BJ18,1,0)),0))</f>
        <v>3</v>
      </c>
      <c r="BV13" s="93">
        <f>IF(BH16="",0,IF(BK16=$B$65,IF(BH16&gt;BJ16,3,IF(BH16=BJ16,1,0)),0))</f>
        <v>3</v>
      </c>
      <c r="BW13" s="1"/>
      <c r="BX13" s="1">
        <f>RANK(CD13,$CD$12:$CD$15)</f>
        <v>2</v>
      </c>
      <c r="BY13" s="95" t="s">
        <v>101</v>
      </c>
      <c r="BZ13" s="1">
        <f>SUM(BS13:BV13)</f>
        <v>7</v>
      </c>
      <c r="CA13" s="1">
        <f>SUM(BS17:BV17)</f>
        <v>11</v>
      </c>
      <c r="CB13" s="1">
        <f>SUM(BT16:BT19)</f>
        <v>9</v>
      </c>
      <c r="CC13" s="1">
        <f>CA13-CB13</f>
        <v>2</v>
      </c>
      <c r="CD13" s="28">
        <f>IF(BP$18="",(((((((CE13*10+BZ13)*100+CC13)*100+CA13)*10+CK13)*10+CJ13)*100+CP13)*100+CU13)*10+CV13,(((((((CE13*10+BZ13)*10+CK13)*10+CJ13)*100+CP13)*100+CU13)*100+CC13)*100+CA13)*10+CV13)</f>
        <v>700000402113</v>
      </c>
      <c r="CE13" s="5"/>
      <c r="CF13" s="109">
        <f>IF($BZ13=$BZ12,$BS13-$BT12,0)</f>
        <v>0</v>
      </c>
      <c r="CG13" s="109"/>
      <c r="CH13" s="109">
        <f>IF($BZ13=$BZ14,$BU13-$BT14,0)</f>
        <v>0</v>
      </c>
      <c r="CI13" s="109">
        <f>IF($BZ13=$BZ15,$BV13-$BT15,0)</f>
        <v>0</v>
      </c>
      <c r="CJ13" s="109">
        <f>SUM(CF13:CI13)</f>
        <v>0</v>
      </c>
      <c r="CK13" s="5"/>
      <c r="CL13" s="109">
        <f>IF($BZ13=$BZ12,$BS17-$BT16,0)</f>
        <v>0</v>
      </c>
      <c r="CM13" s="109"/>
      <c r="CN13" s="109">
        <f>IF($BZ13=$BZ14,$BU17-$BT18,0)</f>
        <v>0</v>
      </c>
      <c r="CO13" s="109">
        <f>IF($BZ13=$BZ15,$BV17-$BT19,0)</f>
        <v>0</v>
      </c>
      <c r="CP13" s="109">
        <f>SUM(CL13:CO13)</f>
        <v>0</v>
      </c>
      <c r="CQ13" s="109">
        <f>IF($BZ13=$BZ12,$BS17,0)</f>
        <v>4</v>
      </c>
      <c r="CR13" s="109"/>
      <c r="CS13" s="109">
        <f>IF($BZ13=$BZ14,$BU17,0)</f>
        <v>0</v>
      </c>
      <c r="CT13" s="109">
        <f>IF($BZ13=$BZ15,$BV17,0)</f>
        <v>0</v>
      </c>
      <c r="CU13" s="109">
        <f>SUM(CQ13:CT13)</f>
        <v>4</v>
      </c>
      <c r="CV13" s="5">
        <v>3</v>
      </c>
    </row>
    <row r="14" spans="1:100" ht="12.75">
      <c r="A14" s="2">
        <v>4</v>
      </c>
      <c r="B14" s="7">
        <v>43995.875</v>
      </c>
      <c r="C14" s="4" t="s">
        <v>135</v>
      </c>
      <c r="D14" s="88" t="str">
        <f>Y14</f>
        <v>Belgien</v>
      </c>
      <c r="E14" s="52" t="s">
        <v>21</v>
      </c>
      <c r="F14" s="88" t="str">
        <f>Y15</f>
        <v>Russland</v>
      </c>
      <c r="G14" s="87"/>
      <c r="H14" s="111">
        <f ca="1" t="shared" si="4"/>
        <v>4</v>
      </c>
      <c r="I14" s="12" t="s">
        <v>22</v>
      </c>
      <c r="J14" s="111">
        <f ca="1" t="shared" si="5"/>
        <v>3</v>
      </c>
      <c r="K14" s="8" t="s">
        <v>23</v>
      </c>
      <c r="L14" s="1"/>
      <c r="M14" s="10" t="str">
        <f>VLOOKUP(3,$X$12:$AC$15,2,FALSE)</f>
        <v>Finnland</v>
      </c>
      <c r="N14" s="2">
        <f>VLOOKUP(3,$X$12:$AC$15,3,FALSE)</f>
        <v>3</v>
      </c>
      <c r="O14" s="2">
        <f>VLOOKUP(3,$X$12:$AC$15,4,FALSE)</f>
        <v>6</v>
      </c>
      <c r="P14" s="2">
        <f>VLOOKUP(3,$X$12:$AC$15,5,FALSE)</f>
        <v>6</v>
      </c>
      <c r="Q14" s="2">
        <f>VLOOKUP(3,$X$12:$AC$15,6,FALSE)</f>
        <v>0</v>
      </c>
      <c r="S14" s="93">
        <f>IF(J15="",0,IF(K15=$B$65,IF(H15&lt;J15,3,IF(H15=J15,1,0)),0))</f>
        <v>0</v>
      </c>
      <c r="T14" s="93">
        <f>IF(J18="",0,IF(K17=$B$65,IF(H18&lt;J18,3,IF(H18=J18,1,0)),0))</f>
        <v>3</v>
      </c>
      <c r="U14" s="92"/>
      <c r="V14" s="93">
        <f>IF(H14="",0,IF(K14=$B$65,IF(H14&gt;J14,3,IF(H14=J14,1,0)),0))</f>
        <v>3</v>
      </c>
      <c r="W14" s="94"/>
      <c r="X14" s="94">
        <f>RANK(AD14,$AD$12:$AD$15)</f>
        <v>1</v>
      </c>
      <c r="Y14" s="95" t="s">
        <v>154</v>
      </c>
      <c r="Z14" s="94">
        <f>SUM(S14:V14)</f>
        <v>6</v>
      </c>
      <c r="AA14" s="94">
        <f>SUM(S18:V18)</f>
        <v>9</v>
      </c>
      <c r="AB14" s="94">
        <f>SUM(U16:U19)</f>
        <v>7</v>
      </c>
      <c r="AC14" s="94">
        <f>AA14-AB14</f>
        <v>2</v>
      </c>
      <c r="AD14" s="28">
        <f>IF(P$18="",(((((((AE14*10+Z14)*100+AC14)*100+AA14)*10+AK14)*10+AJ14)*100+AP14)*100+AU14)*10+AV14,(((((((AE14*10+Z14)*10+AK14)*10+AJ14)*100+AP14)*100+AU14)*100+AC14)*100+AA14)*10+AV14)</f>
        <v>603010402092</v>
      </c>
      <c r="AE14" s="97"/>
      <c r="AF14" s="108">
        <f>IF($Z14=$Z12,$S14-$U12,0)</f>
        <v>0</v>
      </c>
      <c r="AG14" s="108">
        <f>IF($Z14=$Z13,$T14-$U13,0)</f>
        <v>0</v>
      </c>
      <c r="AH14" s="108"/>
      <c r="AI14" s="108">
        <f>IF($Z14=$Z15,$V14-$U15,0)</f>
        <v>3</v>
      </c>
      <c r="AJ14" s="108">
        <f>SUM(AF14:AI14)</f>
        <v>3</v>
      </c>
      <c r="AK14" s="97"/>
      <c r="AL14" s="108">
        <f>IF($Z14=$Z12,$S18-$U16,0)</f>
        <v>0</v>
      </c>
      <c r="AM14" s="108">
        <f>IF($Z14=$Z13,$T18-$U17,0)</f>
        <v>0</v>
      </c>
      <c r="AN14" s="108"/>
      <c r="AO14" s="108">
        <f>IF($Z14=$Z15,$V18-$U19,0)</f>
        <v>1</v>
      </c>
      <c r="AP14" s="108">
        <f>SUM(AL14:AO14)</f>
        <v>1</v>
      </c>
      <c r="AQ14" s="108">
        <f>IF($Z14=$Z12,$S18,0)</f>
        <v>0</v>
      </c>
      <c r="AR14" s="108">
        <f>IF($Z14=$Z13,$T18,0)</f>
        <v>0</v>
      </c>
      <c r="AS14" s="108"/>
      <c r="AT14" s="108">
        <f>IF($Z14=$Z15,$V18,0)</f>
        <v>4</v>
      </c>
      <c r="AU14" s="108">
        <f>SUM(AQ14:AT14)</f>
        <v>4</v>
      </c>
      <c r="AV14" s="97">
        <v>2</v>
      </c>
      <c r="AW14" s="96"/>
      <c r="BA14" s="2">
        <v>10</v>
      </c>
      <c r="BB14" s="7">
        <v>43997.75</v>
      </c>
      <c r="BC14" s="4" t="s">
        <v>145</v>
      </c>
      <c r="BD14" s="88" t="str">
        <f>BY14</f>
        <v>Polen</v>
      </c>
      <c r="BE14" s="52" t="s">
        <v>21</v>
      </c>
      <c r="BF14" s="88" t="str">
        <f>BY15</f>
        <v>Irland</v>
      </c>
      <c r="BG14" s="87"/>
      <c r="BH14" s="111">
        <f ca="1" t="shared" si="6"/>
        <v>0</v>
      </c>
      <c r="BI14" s="12" t="s">
        <v>22</v>
      </c>
      <c r="BJ14" s="111">
        <f ca="1" t="shared" si="7"/>
        <v>2</v>
      </c>
      <c r="BK14" s="8" t="s">
        <v>23</v>
      </c>
      <c r="BL14" s="1"/>
      <c r="BM14" s="10" t="str">
        <f>VLOOKUP(3,$BX$12:$CC$15,2,FALSE)</f>
        <v>Irland</v>
      </c>
      <c r="BN14" s="2">
        <f>VLOOKUP(3,$BX$12:$CC$15,3,FALSE)</f>
        <v>3</v>
      </c>
      <c r="BO14" s="2">
        <f>VLOOKUP(3,$BX$12:$CC$15,4,FALSE)</f>
        <v>7</v>
      </c>
      <c r="BP14" s="2">
        <f>VLOOKUP(3,$BX$12:$CC$15,5,FALSE)</f>
        <v>9</v>
      </c>
      <c r="BQ14" s="2">
        <f>VLOOKUP(3,$BX$12:$CC$15,6,FALSE)</f>
        <v>-2</v>
      </c>
      <c r="BS14" s="93">
        <f>IF(BJ15="",0,IF(BK15=$B$65,IF(BH15&lt;BJ15,3,IF(BH15=BJ15,1,0)),0))</f>
        <v>0</v>
      </c>
      <c r="BT14" s="93">
        <f>IF(BJ18="",0,IF(BK17=$B$65,IF(BH18&lt;BJ18,3,IF(BH18=BJ18,1,0)),0))</f>
        <v>0</v>
      </c>
      <c r="BU14" s="92"/>
      <c r="BV14" s="93">
        <f>IF(BH14="",0,IF(BK14=$B$65,IF(BH14&gt;BJ14,3,IF(BH14=BJ14,1,0)),0))</f>
        <v>0</v>
      </c>
      <c r="BW14" s="1"/>
      <c r="BX14" s="1">
        <f>RANK(CD14,$CD$12:$CD$15)</f>
        <v>4</v>
      </c>
      <c r="BY14" s="95" t="s">
        <v>159</v>
      </c>
      <c r="BZ14" s="1">
        <f>SUM(BS14:BV14)</f>
        <v>0</v>
      </c>
      <c r="CA14" s="1">
        <f>SUM(BS18:BV18)</f>
        <v>3</v>
      </c>
      <c r="CB14" s="1">
        <f>SUM(BU16:BU19)</f>
        <v>8</v>
      </c>
      <c r="CC14" s="1">
        <f>CA14-CB14</f>
        <v>-5</v>
      </c>
      <c r="CD14" s="28">
        <f>IF(BP$18="",(((((((CE14*10+BZ14)*100+CC14)*100+CA14)*10+CK14)*10+CJ14)*100+CP14)*100+CU14)*10+CV14,(((((((CE14*10+BZ14)*10+CK14)*10+CJ14)*100+CP14)*100+CU14)*100+CC14)*100+CA14)*10+CV14)</f>
        <v>-4968</v>
      </c>
      <c r="CE14" s="5"/>
      <c r="CF14" s="109">
        <f>IF($BZ14=$BZ12,$BS14-$BU12,0)</f>
        <v>0</v>
      </c>
      <c r="CG14" s="109">
        <f>IF($BZ14=$BZ13,$BT14-$BU13,0)</f>
        <v>0</v>
      </c>
      <c r="CH14" s="109"/>
      <c r="CI14" s="109">
        <f>IF($BZ14=$BZ15,$BV14-$BU15,0)</f>
        <v>0</v>
      </c>
      <c r="CJ14" s="109">
        <f>SUM(CF14:CI14)</f>
        <v>0</v>
      </c>
      <c r="CK14" s="5"/>
      <c r="CL14" s="109">
        <f>IF($BZ14=$BZ12,$BS18-$BU16,0)</f>
        <v>0</v>
      </c>
      <c r="CM14" s="109">
        <f>IF($BZ14=$BZ13,$BT18-$BU17,0)</f>
        <v>0</v>
      </c>
      <c r="CN14" s="109"/>
      <c r="CO14" s="109">
        <f>IF($BZ14=$BZ15,$BV18-$BU19,0)</f>
        <v>0</v>
      </c>
      <c r="CP14" s="109">
        <f>SUM(CL14:CO14)</f>
        <v>0</v>
      </c>
      <c r="CQ14" s="109">
        <f>IF($BZ14=$BZ12,$BS18,0)</f>
        <v>0</v>
      </c>
      <c r="CR14" s="109">
        <f>IF($BZ14=$BZ13,$BT18,0)</f>
        <v>0</v>
      </c>
      <c r="CS14" s="109"/>
      <c r="CT14" s="109">
        <f>IF($BZ14=$BZ15,$BV18,0)</f>
        <v>0</v>
      </c>
      <c r="CU14" s="109">
        <f>SUM(CQ14:CT14)</f>
        <v>0</v>
      </c>
      <c r="CV14" s="5">
        <v>2</v>
      </c>
    </row>
    <row r="15" spans="1:100" ht="12.75">
      <c r="A15" s="2">
        <f>A13+12</f>
        <v>15</v>
      </c>
      <c r="B15" s="7">
        <v>44000.75</v>
      </c>
      <c r="C15" s="4" t="s">
        <v>142</v>
      </c>
      <c r="D15" s="88" t="str">
        <f>Y12</f>
        <v>Dänemark</v>
      </c>
      <c r="E15" s="52" t="s">
        <v>21</v>
      </c>
      <c r="F15" s="88" t="str">
        <f>Y14</f>
        <v>Belgien</v>
      </c>
      <c r="G15" s="87"/>
      <c r="H15" s="111">
        <f ca="1" t="shared" si="4"/>
        <v>4</v>
      </c>
      <c r="I15" s="12" t="s">
        <v>22</v>
      </c>
      <c r="J15" s="111">
        <f ca="1" t="shared" si="5"/>
        <v>3</v>
      </c>
      <c r="K15" s="8" t="s">
        <v>23</v>
      </c>
      <c r="L15" s="1"/>
      <c r="M15" s="10" t="str">
        <f>VLOOKUP(4,$X$12:$AC$15,2,FALSE)</f>
        <v>Dänemark</v>
      </c>
      <c r="N15" s="2">
        <f>VLOOKUP(4,$X$12:$AC$15,3,FALSE)</f>
        <v>3</v>
      </c>
      <c r="O15" s="2">
        <f>VLOOKUP(4,$X$12:$AC$15,4,FALSE)</f>
        <v>6</v>
      </c>
      <c r="P15" s="2">
        <f>VLOOKUP(4,$X$12:$AC$15,5,FALSE)</f>
        <v>10</v>
      </c>
      <c r="Q15" s="2">
        <f>VLOOKUP(4,$X$12:$AC$15,6,FALSE)</f>
        <v>-4</v>
      </c>
      <c r="S15" s="93">
        <f>IF(H17="",0,IF(K18=$B$65,IF(H17&gt;J17,3,IF(H17=J17,1,0)),0))</f>
        <v>3</v>
      </c>
      <c r="T15" s="93">
        <f>IF(J16="",0,IF(K16=$B$65,IF(H16&lt;J16,3,IF(H16=J16,1,0)),0))</f>
        <v>3</v>
      </c>
      <c r="U15" s="93">
        <f>IF(J14="",0,IF(K14=$B$65,IF(H14&lt;J14,3,IF(H14=J14,1,0)),0))</f>
        <v>0</v>
      </c>
      <c r="V15" s="92"/>
      <c r="W15" s="94"/>
      <c r="X15" s="94">
        <f>RANK(AD15,$AD$12:$AD$15)</f>
        <v>2</v>
      </c>
      <c r="Y15" s="95" t="s">
        <v>153</v>
      </c>
      <c r="Z15" s="94">
        <f>SUM(S15:V15)</f>
        <v>6</v>
      </c>
      <c r="AA15" s="94">
        <f>SUM(S19:V19)</f>
        <v>8</v>
      </c>
      <c r="AB15" s="94">
        <f>SUM(V16:V19)</f>
        <v>6</v>
      </c>
      <c r="AC15" s="94">
        <f>AA15-AB15</f>
        <v>2</v>
      </c>
      <c r="AD15" s="28">
        <f>IF(P$18="",(((((((AE15*10+Z15)*100+AC15)*100+AA15)*10+AK15)*10+AJ15)*100+AP15)*100+AU15)*10+AV15,(((((((AE15*10+Z15)*10+AK15)*10+AJ15)*100+AP15)*100+AU15)*100+AC15)*100+AA15)*10+AV15)</f>
        <v>596990302081</v>
      </c>
      <c r="AE15" s="97"/>
      <c r="AF15" s="108">
        <f>IF($Z15=$Z12,$S15-$V12,0)</f>
        <v>0</v>
      </c>
      <c r="AG15" s="108">
        <f>IF($Z15=$Z13,$T15-$V13,0)</f>
        <v>0</v>
      </c>
      <c r="AH15" s="108">
        <f>IF($Z15=$Z14,$U15-$V14,0)</f>
        <v>-3</v>
      </c>
      <c r="AI15" s="108"/>
      <c r="AJ15" s="108">
        <f>SUM(AF15:AI15)</f>
        <v>-3</v>
      </c>
      <c r="AK15" s="97"/>
      <c r="AL15" s="108">
        <f>IF($Z15=$Z12,$S19-$V16,0)</f>
        <v>0</v>
      </c>
      <c r="AM15" s="108">
        <f>IF($Z15=$Z13,$T19-$V17,0)</f>
        <v>0</v>
      </c>
      <c r="AN15" s="108">
        <f>IF($Z15=$Z14,$U19-$V18,0)</f>
        <v>-1</v>
      </c>
      <c r="AO15" s="108"/>
      <c r="AP15" s="108">
        <f>SUM(AL15:AO15)</f>
        <v>-1</v>
      </c>
      <c r="AQ15" s="108">
        <f>IF($Z15=$Z12,$S19,0)</f>
        <v>0</v>
      </c>
      <c r="AR15" s="108">
        <f>IF($Z15=$Z13,$T19,0)</f>
        <v>0</v>
      </c>
      <c r="AS15" s="108">
        <f>IF($Z15=$Z14,$U19,0)</f>
        <v>3</v>
      </c>
      <c r="AT15" s="108"/>
      <c r="AU15" s="108">
        <f>SUM(AQ15:AT15)</f>
        <v>3</v>
      </c>
      <c r="AV15" s="97">
        <v>1</v>
      </c>
      <c r="AW15" s="96"/>
      <c r="BA15" s="2">
        <f>BA13+12</f>
        <v>21</v>
      </c>
      <c r="BB15" s="7">
        <v>44002.875</v>
      </c>
      <c r="BC15" s="4" t="s">
        <v>140</v>
      </c>
      <c r="BD15" s="88" t="str">
        <f>BY12</f>
        <v>Spanien</v>
      </c>
      <c r="BE15" s="52" t="s">
        <v>21</v>
      </c>
      <c r="BF15" s="88" t="str">
        <f>BY14</f>
        <v>Polen</v>
      </c>
      <c r="BG15" s="87"/>
      <c r="BH15" s="111">
        <f ca="1" t="shared" si="6"/>
        <v>3</v>
      </c>
      <c r="BI15" s="12" t="s">
        <v>22</v>
      </c>
      <c r="BJ15" s="111">
        <f ca="1" t="shared" si="7"/>
        <v>1</v>
      </c>
      <c r="BK15" s="8" t="s">
        <v>23</v>
      </c>
      <c r="BL15" s="1"/>
      <c r="BM15" s="10" t="str">
        <f>VLOOKUP(4,$BX$12:CC$15,2,FALSE)</f>
        <v>Polen</v>
      </c>
      <c r="BN15" s="2">
        <f>VLOOKUP(4,$BX$12:$CC$15,3,FALSE)</f>
        <v>0</v>
      </c>
      <c r="BO15" s="2">
        <f>VLOOKUP(4,$BX$12:$CC$15,4,FALSE)</f>
        <v>3</v>
      </c>
      <c r="BP15" s="2">
        <f>VLOOKUP(4,$BX$12:$CC$15,5,FALSE)</f>
        <v>8</v>
      </c>
      <c r="BQ15" s="2">
        <f>VLOOKUP(4,$BX$12:$CC$15,6,FALSE)</f>
        <v>-5</v>
      </c>
      <c r="BS15" s="93">
        <f>IF(BH17="",0,IF(BK18=$B$65,IF(BH17&gt;BJ17,3,IF(BH17=BJ17,1,0)),0))</f>
        <v>0</v>
      </c>
      <c r="BT15" s="93">
        <f>IF(BJ16="",0,IF(BK16=$B$65,IF(BH16&lt;BJ16,3,IF(BH16=BJ16,1,0)),0))</f>
        <v>0</v>
      </c>
      <c r="BU15" s="93">
        <f>IF(BJ14="",0,IF(BK14=$B$65,IF(BH14&lt;BJ14,3,IF(BH14=BJ14,1,0)),0))</f>
        <v>3</v>
      </c>
      <c r="BV15" s="92"/>
      <c r="BW15" s="1"/>
      <c r="BX15" s="1">
        <f>RANK(CD15,$CD$12:$CD$15)</f>
        <v>3</v>
      </c>
      <c r="BY15" s="95" t="s">
        <v>162</v>
      </c>
      <c r="BZ15" s="1">
        <f>SUM(BS15:BV15)</f>
        <v>3</v>
      </c>
      <c r="CA15" s="1">
        <f>SUM(BS19:BV19)</f>
        <v>7</v>
      </c>
      <c r="CB15" s="1">
        <f>SUM(BV16:BV19)</f>
        <v>9</v>
      </c>
      <c r="CC15" s="1">
        <f>CA15-CB15</f>
        <v>-2</v>
      </c>
      <c r="CD15" s="28">
        <f>IF(BP$18="",(((((((CE15*10+BZ15)*100+CC15)*100+CA15)*10+CK15)*10+CJ15)*100+CP15)*100+CU15)*10+CV15,(((((((CE15*10+BZ15)*10+CK15)*10+CJ15)*100+CP15)*100+CU15)*100+CC15)*100+CA15)*10+CV15)</f>
        <v>299999998071</v>
      </c>
      <c r="CE15" s="5"/>
      <c r="CF15" s="109">
        <f>IF($BZ15=$BZ12,$BS15-$BV12,0)</f>
        <v>0</v>
      </c>
      <c r="CG15" s="109">
        <f>IF($BZ15=$BZ13,$BT15-$BV13,0)</f>
        <v>0</v>
      </c>
      <c r="CH15" s="109">
        <f>IF($BZ15=$BZ14,$BU15-$BV14,0)</f>
        <v>0</v>
      </c>
      <c r="CI15" s="109"/>
      <c r="CJ15" s="109">
        <f>SUM(CF15:CI15)</f>
        <v>0</v>
      </c>
      <c r="CK15" s="5"/>
      <c r="CL15" s="109">
        <f>IF($BZ15=$BZ12,$BS19-$BV16,0)</f>
        <v>0</v>
      </c>
      <c r="CM15" s="109">
        <f>IF($BZ15=$BZ13,$BT19-$BV17,0)</f>
        <v>0</v>
      </c>
      <c r="CN15" s="109">
        <f>IF($BZ15=$BZ14,$BU19-$BV18,0)</f>
        <v>0</v>
      </c>
      <c r="CO15" s="109"/>
      <c r="CP15" s="109">
        <f>SUM(CL15:CO15)</f>
        <v>0</v>
      </c>
      <c r="CQ15" s="109">
        <f>IF($BZ15=$BZ12,$BS19,0)</f>
        <v>0</v>
      </c>
      <c r="CR15" s="109">
        <f>IF($BZ15=$BZ13,$BT19,0)</f>
        <v>0</v>
      </c>
      <c r="CS15" s="109">
        <f>IF($BZ15=$BZ14,$BU19,0)</f>
        <v>0</v>
      </c>
      <c r="CT15" s="109"/>
      <c r="CU15" s="109">
        <f>SUM(CQ15:CT15)</f>
        <v>0</v>
      </c>
      <c r="CV15" s="5">
        <v>1</v>
      </c>
    </row>
    <row r="16" spans="1:100" ht="12.75">
      <c r="A16" s="2">
        <f>A14+12</f>
        <v>16</v>
      </c>
      <c r="B16" s="4">
        <v>43999.625</v>
      </c>
      <c r="C16" s="4" t="s">
        <v>135</v>
      </c>
      <c r="D16" s="88" t="str">
        <f>Y13</f>
        <v>Finnland</v>
      </c>
      <c r="E16" s="52" t="s">
        <v>21</v>
      </c>
      <c r="F16" s="88" t="str">
        <f>Y15</f>
        <v>Russland</v>
      </c>
      <c r="G16" s="87"/>
      <c r="H16" s="111">
        <f ca="1" t="shared" si="4"/>
        <v>1</v>
      </c>
      <c r="I16" s="12" t="s">
        <v>22</v>
      </c>
      <c r="J16" s="111">
        <f ca="1" t="shared" si="5"/>
        <v>3</v>
      </c>
      <c r="K16" s="8" t="s">
        <v>23</v>
      </c>
      <c r="L16" s="1"/>
      <c r="N16" s="1"/>
      <c r="O16" s="1"/>
      <c r="P16" s="1"/>
      <c r="S16" s="92"/>
      <c r="T16" s="93">
        <f>IF(K13=$B$65,H13,0)</f>
        <v>1</v>
      </c>
      <c r="U16" s="93">
        <f>IF(K15=$B$65,H15,0)</f>
        <v>4</v>
      </c>
      <c r="V16" s="93">
        <f>IF(K18=$B$65,J17,0)</f>
        <v>1</v>
      </c>
      <c r="W16" s="94"/>
      <c r="X16" s="94"/>
      <c r="Y16" s="94"/>
      <c r="Z16" s="94"/>
      <c r="AA16" s="94"/>
      <c r="AB16" s="94"/>
      <c r="AC16" s="94"/>
      <c r="AD16" s="98"/>
      <c r="AE16" s="99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V16" s="108"/>
      <c r="AW16" s="96"/>
      <c r="BA16" s="2">
        <f>BA14+12</f>
        <v>22</v>
      </c>
      <c r="BB16" s="7">
        <v>44001.625</v>
      </c>
      <c r="BC16" s="4" t="s">
        <v>145</v>
      </c>
      <c r="BD16" s="88" t="str">
        <f>BY13</f>
        <v>Schweden</v>
      </c>
      <c r="BE16" s="52" t="s">
        <v>21</v>
      </c>
      <c r="BF16" s="88" t="str">
        <f>BY15</f>
        <v>Irland</v>
      </c>
      <c r="BG16" s="87"/>
      <c r="BH16" s="111">
        <f ca="1" t="shared" si="6"/>
        <v>4</v>
      </c>
      <c r="BI16" s="12" t="s">
        <v>22</v>
      </c>
      <c r="BJ16" s="111">
        <f ca="1" t="shared" si="7"/>
        <v>3</v>
      </c>
      <c r="BK16" s="8" t="s">
        <v>23</v>
      </c>
      <c r="BL16" s="1"/>
      <c r="BN16" s="1"/>
      <c r="BO16" s="1"/>
      <c r="BP16" s="1"/>
      <c r="BS16" s="92"/>
      <c r="BT16" s="93">
        <f>IF(BK13=$B$65,BH13,0)</f>
        <v>4</v>
      </c>
      <c r="BU16" s="93">
        <f>IF(BK15=$B$65,BH15,0)</f>
        <v>3</v>
      </c>
      <c r="BV16" s="93">
        <f>IF(BK18=$B$65,BJ17,0)</f>
        <v>5</v>
      </c>
      <c r="BW16" s="1"/>
      <c r="BX16" s="1"/>
      <c r="BY16" s="94"/>
      <c r="BZ16" s="1"/>
      <c r="CA16" s="1"/>
      <c r="CB16" s="1"/>
      <c r="CC16" s="1"/>
      <c r="CD16" s="6"/>
      <c r="CE16" s="8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V16" s="109"/>
    </row>
    <row r="17" spans="1:100" ht="12.75">
      <c r="A17" s="2">
        <f>A15+12</f>
        <v>27</v>
      </c>
      <c r="B17" s="7">
        <v>44004.875</v>
      </c>
      <c r="C17" s="4" t="s">
        <v>142</v>
      </c>
      <c r="D17" s="88" t="str">
        <f>Y15</f>
        <v>Russland</v>
      </c>
      <c r="E17" s="52" t="s">
        <v>21</v>
      </c>
      <c r="F17" s="88" t="str">
        <f>Y12</f>
        <v>Dänemark</v>
      </c>
      <c r="G17" s="86"/>
      <c r="H17" s="110">
        <f ca="1" t="shared" si="4"/>
        <v>2</v>
      </c>
      <c r="I17" s="14" t="s">
        <v>22</v>
      </c>
      <c r="J17" s="110">
        <f ca="1" t="shared" si="5"/>
        <v>1</v>
      </c>
      <c r="K17" s="8" t="s">
        <v>23</v>
      </c>
      <c r="M17" s="45" t="str">
        <f>IF(N12&gt;0,M12,"")</f>
        <v>Belgien</v>
      </c>
      <c r="N17" s="2" t="s">
        <v>27</v>
      </c>
      <c r="P17" s="34"/>
      <c r="S17" s="93">
        <f>IF(K13=$B$65,J13,0)</f>
        <v>5</v>
      </c>
      <c r="T17" s="92"/>
      <c r="U17" s="93">
        <f>IF(K17=$B$65,H18,0)</f>
        <v>0</v>
      </c>
      <c r="V17" s="93">
        <f>IF(K16=$B$65,H16,0)</f>
        <v>1</v>
      </c>
      <c r="AD17" s="86" t="s">
        <v>118</v>
      </c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V17" s="112"/>
      <c r="AW17" s="96"/>
      <c r="BA17" s="2">
        <f>BA15+12</f>
        <v>33</v>
      </c>
      <c r="BB17" s="7">
        <v>44006.75</v>
      </c>
      <c r="BC17" s="4" t="s">
        <v>140</v>
      </c>
      <c r="BD17" s="88" t="str">
        <f>BY15</f>
        <v>Irland</v>
      </c>
      <c r="BE17" s="52" t="s">
        <v>21</v>
      </c>
      <c r="BF17" s="88" t="str">
        <f>BY12</f>
        <v>Spanien</v>
      </c>
      <c r="BG17" s="86"/>
      <c r="BH17" s="110">
        <f ca="1" t="shared" si="6"/>
        <v>2</v>
      </c>
      <c r="BI17" s="14" t="s">
        <v>22</v>
      </c>
      <c r="BJ17" s="110">
        <f ca="1" t="shared" si="7"/>
        <v>5</v>
      </c>
      <c r="BK17" s="8" t="s">
        <v>23</v>
      </c>
      <c r="BM17" s="48" t="str">
        <f>IF(BN12&gt;0,BM12,"")</f>
        <v>Spanien</v>
      </c>
      <c r="BN17" s="2" t="s">
        <v>36</v>
      </c>
      <c r="BP17" s="34"/>
      <c r="BS17" s="93">
        <f>IF(BK13=$B$65,BJ13,0)</f>
        <v>4</v>
      </c>
      <c r="BT17" s="92"/>
      <c r="BU17" s="93">
        <f>IF(BK17=$B$65,BH18,0)</f>
        <v>3</v>
      </c>
      <c r="BV17" s="93">
        <f>IF(BK16=$B$65,BH16,0)</f>
        <v>4</v>
      </c>
      <c r="CD17" s="2" t="s">
        <v>118</v>
      </c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V17" s="113"/>
    </row>
    <row r="18" spans="1:100" ht="12.75">
      <c r="A18" s="2">
        <f>A16+12</f>
        <v>28</v>
      </c>
      <c r="B18" s="7">
        <v>44004.875</v>
      </c>
      <c r="C18" s="4" t="s">
        <v>135</v>
      </c>
      <c r="D18" s="88" t="str">
        <f>Y13</f>
        <v>Finnland</v>
      </c>
      <c r="E18" s="52" t="s">
        <v>21</v>
      </c>
      <c r="F18" s="88" t="str">
        <f>Y14</f>
        <v>Belgien</v>
      </c>
      <c r="G18" s="86"/>
      <c r="H18" s="111">
        <f ca="1" t="shared" si="4"/>
        <v>0</v>
      </c>
      <c r="I18" s="12" t="s">
        <v>22</v>
      </c>
      <c r="J18" s="111">
        <f ca="1" t="shared" si="5"/>
        <v>2</v>
      </c>
      <c r="K18" s="8" t="s">
        <v>23</v>
      </c>
      <c r="M18" s="45" t="str">
        <f>IF(N13&gt;0,M13,"")</f>
        <v>Russland</v>
      </c>
      <c r="N18" s="2" t="s">
        <v>28</v>
      </c>
      <c r="O18" s="35"/>
      <c r="P18" s="36" t="s">
        <v>11</v>
      </c>
      <c r="S18" s="93">
        <f>IF(K15=$B$65,J15,0)</f>
        <v>3</v>
      </c>
      <c r="T18" s="93">
        <f>IF(K17=$B$65,J18,0)</f>
        <v>2</v>
      </c>
      <c r="U18" s="92"/>
      <c r="V18" s="93">
        <f>IF(K14=$B$65,H14,0)</f>
        <v>4</v>
      </c>
      <c r="AD18" s="86" t="s">
        <v>119</v>
      </c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V18" s="112"/>
      <c r="AW18" s="96"/>
      <c r="BA18" s="2">
        <f>BA16+12</f>
        <v>34</v>
      </c>
      <c r="BB18" s="7">
        <v>44006.75</v>
      </c>
      <c r="BC18" s="4" t="s">
        <v>145</v>
      </c>
      <c r="BD18" s="88" t="str">
        <f>BY13</f>
        <v>Schweden</v>
      </c>
      <c r="BE18" s="52" t="s">
        <v>21</v>
      </c>
      <c r="BF18" s="88" t="str">
        <f>BY14</f>
        <v>Polen</v>
      </c>
      <c r="BG18" s="86"/>
      <c r="BH18" s="111">
        <f ca="1" t="shared" si="6"/>
        <v>3</v>
      </c>
      <c r="BI18" s="12" t="s">
        <v>22</v>
      </c>
      <c r="BJ18" s="111">
        <f ca="1" t="shared" si="7"/>
        <v>2</v>
      </c>
      <c r="BK18" s="8" t="s">
        <v>23</v>
      </c>
      <c r="BM18" s="48" t="str">
        <f>IF(BN13&gt;0,BM13,"")</f>
        <v>Schweden</v>
      </c>
      <c r="BN18" s="2" t="s">
        <v>37</v>
      </c>
      <c r="BO18" s="35"/>
      <c r="BP18" s="36" t="s">
        <v>11</v>
      </c>
      <c r="BS18" s="93">
        <f>IF(BK15=$B$65,BJ15,0)</f>
        <v>1</v>
      </c>
      <c r="BT18" s="93">
        <f>IF(BK17=$B$65,BJ18,0)</f>
        <v>2</v>
      </c>
      <c r="BU18" s="92"/>
      <c r="BV18" s="93">
        <f>IF(BK14=$B$65,BH14,0)</f>
        <v>0</v>
      </c>
      <c r="CD18" s="2" t="s">
        <v>119</v>
      </c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V18" s="113"/>
    </row>
    <row r="19" spans="4:100" ht="12.75">
      <c r="D19" s="86"/>
      <c r="E19" s="86"/>
      <c r="F19" s="86"/>
      <c r="G19" s="86"/>
      <c r="M19" s="45" t="str">
        <f>IF(N14&gt;0,M14,"")</f>
        <v>Finnland</v>
      </c>
      <c r="N19" s="2" t="s">
        <v>74</v>
      </c>
      <c r="S19" s="93">
        <f>IF(K18=$B$65,H17,0)</f>
        <v>2</v>
      </c>
      <c r="T19" s="93">
        <f>IF(K16=$B$65,J16,0)</f>
        <v>3</v>
      </c>
      <c r="U19" s="93">
        <f>IF(K14=$B$65,J14,0)</f>
        <v>3</v>
      </c>
      <c r="V19" s="92"/>
      <c r="AD19" s="86" t="s">
        <v>120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V19" s="112"/>
      <c r="AW19" s="96"/>
      <c r="BB19" s="2" t="s">
        <v>2</v>
      </c>
      <c r="BD19" s="86"/>
      <c r="BE19" s="86"/>
      <c r="BF19" s="86"/>
      <c r="BG19" s="86"/>
      <c r="BM19" s="48" t="str">
        <f>IF(BN14&gt;0,BM14,"")</f>
        <v>Irland</v>
      </c>
      <c r="BN19" s="2" t="s">
        <v>75</v>
      </c>
      <c r="BS19" s="93">
        <f>IF(BK18=$B$65,BH17,0)</f>
        <v>2</v>
      </c>
      <c r="BT19" s="93">
        <f>IF(BK16=$B$65,BJ16,0)</f>
        <v>3</v>
      </c>
      <c r="BU19" s="93">
        <f>IF(BK14=$B$65,BJ14,0)</f>
        <v>2</v>
      </c>
      <c r="BV19" s="92"/>
      <c r="CD19" s="2" t="s">
        <v>120</v>
      </c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V19" s="113"/>
    </row>
    <row r="20" spans="4:100" ht="6" customHeight="1">
      <c r="D20" s="86"/>
      <c r="E20" s="89"/>
      <c r="F20" s="91"/>
      <c r="G20" s="91"/>
      <c r="H20" s="86"/>
      <c r="I20" s="86"/>
      <c r="J20" s="86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V20" s="112"/>
      <c r="AW20" s="96"/>
      <c r="BD20" s="86"/>
      <c r="BE20" s="89"/>
      <c r="BF20" s="91"/>
      <c r="BG20" s="91"/>
      <c r="BH20" s="86"/>
      <c r="BI20" s="86"/>
      <c r="BJ20" s="86"/>
      <c r="BS20" s="86"/>
      <c r="BT20" s="86"/>
      <c r="BU20" s="86"/>
      <c r="BV20" s="86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V20" s="113"/>
    </row>
    <row r="21" spans="2:100" s="11" customFormat="1" ht="12.75">
      <c r="B21" s="31" t="s">
        <v>0</v>
      </c>
      <c r="C21" s="29" t="s">
        <v>29</v>
      </c>
      <c r="D21" s="87" t="s">
        <v>2</v>
      </c>
      <c r="E21" s="101"/>
      <c r="F21" s="87"/>
      <c r="G21" s="87"/>
      <c r="H21" s="22"/>
      <c r="I21" s="21"/>
      <c r="J21" s="22"/>
      <c r="K21" s="23"/>
      <c r="L21" s="18"/>
      <c r="M21" s="43" t="s">
        <v>3</v>
      </c>
      <c r="N21" s="18" t="s">
        <v>4</v>
      </c>
      <c r="O21" s="18" t="s">
        <v>5</v>
      </c>
      <c r="P21" s="18" t="s">
        <v>6</v>
      </c>
      <c r="Q21" s="18" t="s">
        <v>7</v>
      </c>
      <c r="R21" s="18"/>
      <c r="S21" s="86"/>
      <c r="T21" s="86"/>
      <c r="U21" s="86"/>
      <c r="V21" s="86"/>
      <c r="W21" s="87"/>
      <c r="X21" s="87" t="s">
        <v>8</v>
      </c>
      <c r="Y21" s="88" t="s">
        <v>9</v>
      </c>
      <c r="Z21" s="87" t="s">
        <v>4</v>
      </c>
      <c r="AA21" s="87" t="s">
        <v>5</v>
      </c>
      <c r="AB21" s="87" t="s">
        <v>6</v>
      </c>
      <c r="AC21" s="87" t="s">
        <v>7</v>
      </c>
      <c r="AD21" s="87"/>
      <c r="AE21" s="21" t="s">
        <v>10</v>
      </c>
      <c r="AF21" s="52" t="s">
        <v>11</v>
      </c>
      <c r="AG21" s="52"/>
      <c r="AH21" s="52"/>
      <c r="AI21" s="52"/>
      <c r="AJ21" s="52" t="s">
        <v>12</v>
      </c>
      <c r="AK21" s="88" t="s">
        <v>13</v>
      </c>
      <c r="AL21" s="52" t="s">
        <v>14</v>
      </c>
      <c r="AM21" s="52"/>
      <c r="AN21" s="52"/>
      <c r="AO21" s="52"/>
      <c r="AP21" s="52" t="s">
        <v>15</v>
      </c>
      <c r="AQ21" s="52" t="s">
        <v>16</v>
      </c>
      <c r="AR21" s="52"/>
      <c r="AS21" s="52"/>
      <c r="AT21" s="52"/>
      <c r="AU21" s="89" t="s">
        <v>17</v>
      </c>
      <c r="AV21" s="88" t="s">
        <v>18</v>
      </c>
      <c r="AW21" s="90"/>
      <c r="AX21" s="91"/>
      <c r="AY21" s="91"/>
      <c r="AZ21" s="91"/>
      <c r="BB21" s="39" t="s">
        <v>0</v>
      </c>
      <c r="BC21" s="49" t="s">
        <v>38</v>
      </c>
      <c r="BD21" s="87" t="s">
        <v>2</v>
      </c>
      <c r="BE21" s="101"/>
      <c r="BF21" s="87"/>
      <c r="BG21" s="87"/>
      <c r="BH21" s="22"/>
      <c r="BI21" s="21"/>
      <c r="BJ21" s="22"/>
      <c r="BK21" s="23"/>
      <c r="BL21" s="18"/>
      <c r="BM21" s="43" t="s">
        <v>3</v>
      </c>
      <c r="BN21" s="18" t="s">
        <v>4</v>
      </c>
      <c r="BO21" s="18" t="s">
        <v>5</v>
      </c>
      <c r="BP21" s="18" t="s">
        <v>6</v>
      </c>
      <c r="BQ21" s="18" t="s">
        <v>7</v>
      </c>
      <c r="BR21" s="18"/>
      <c r="BS21" s="86"/>
      <c r="BT21" s="86"/>
      <c r="BU21" s="86"/>
      <c r="BV21" s="86"/>
      <c r="BW21" s="18"/>
      <c r="BX21" s="18" t="s">
        <v>8</v>
      </c>
      <c r="BY21" s="88" t="s">
        <v>9</v>
      </c>
      <c r="BZ21" s="18" t="s">
        <v>4</v>
      </c>
      <c r="CA21" s="18" t="s">
        <v>5</v>
      </c>
      <c r="CB21" s="18" t="s">
        <v>6</v>
      </c>
      <c r="CC21" s="18" t="s">
        <v>7</v>
      </c>
      <c r="CD21" s="18"/>
      <c r="CE21" s="23" t="s">
        <v>10</v>
      </c>
      <c r="CF21" s="16" t="s">
        <v>11</v>
      </c>
      <c r="CG21" s="16"/>
      <c r="CH21" s="16"/>
      <c r="CI21" s="16"/>
      <c r="CJ21" s="16" t="s">
        <v>12</v>
      </c>
      <c r="CK21" s="24" t="s">
        <v>13</v>
      </c>
      <c r="CL21" s="16" t="s">
        <v>14</v>
      </c>
      <c r="CM21" s="16"/>
      <c r="CN21" s="16"/>
      <c r="CO21" s="16"/>
      <c r="CP21" s="16" t="s">
        <v>15</v>
      </c>
      <c r="CQ21" s="16" t="s">
        <v>16</v>
      </c>
      <c r="CR21" s="16"/>
      <c r="CS21" s="16"/>
      <c r="CT21" s="16"/>
      <c r="CU21" s="17" t="s">
        <v>17</v>
      </c>
      <c r="CV21" s="24" t="s">
        <v>18</v>
      </c>
    </row>
    <row r="22" spans="2:100" ht="12.75">
      <c r="B22" s="3" t="s">
        <v>19</v>
      </c>
      <c r="C22" s="3" t="s">
        <v>20</v>
      </c>
      <c r="D22" s="86"/>
      <c r="E22" s="86"/>
      <c r="F22" s="86"/>
      <c r="G22" s="86"/>
      <c r="L22" s="1"/>
      <c r="M22" s="10" t="str">
        <f>VLOOKUP(1,$X$22:$AC$25,2,FALSE)</f>
        <v>Ukraine</v>
      </c>
      <c r="N22" s="2">
        <f>VLOOKUP(1,$X$22:$AC$25,3,FALSE)</f>
        <v>9</v>
      </c>
      <c r="O22" s="2">
        <f>VLOOKUP(1,$X$22:$AC$25,4,FALSE)</f>
        <v>11</v>
      </c>
      <c r="P22" s="2">
        <f>VLOOKUP(1,$X$22:$AC$25,5,FALSE)</f>
        <v>2</v>
      </c>
      <c r="Q22" s="2">
        <f>VLOOKUP(1,$X$22:$AC$25,6,FALSE)</f>
        <v>9</v>
      </c>
      <c r="S22" s="92"/>
      <c r="T22" s="93">
        <f>IF(H23="",0,IF(K23=$B$65,IF(H23&gt;J23,3,IF(H23=J23,1,0)),0))</f>
        <v>0</v>
      </c>
      <c r="U22" s="93">
        <f>IF(H25="",0,IF(K25=$B$65,IF(H25&gt;J25,3,IF(H25=J25,1,0)),0))</f>
        <v>0</v>
      </c>
      <c r="V22" s="93">
        <f>IF(J27="",0,IF(K28=$B$65,IF(H27&lt;J27,3,IF(H27=J27,1,0)),0))</f>
        <v>3</v>
      </c>
      <c r="W22" s="94"/>
      <c r="X22" s="94">
        <f>RANK(AD22,$AD$22:$AD$25)</f>
        <v>3</v>
      </c>
      <c r="Y22" s="95" t="s">
        <v>68</v>
      </c>
      <c r="Z22" s="94">
        <f>SUM(S22:V22)</f>
        <v>3</v>
      </c>
      <c r="AA22" s="94">
        <f>SUM(S26:V26)</f>
        <v>4</v>
      </c>
      <c r="AB22" s="94">
        <f>SUM(S26:S29)</f>
        <v>9</v>
      </c>
      <c r="AC22" s="94">
        <f>AA22-AB22</f>
        <v>-5</v>
      </c>
      <c r="AD22" s="28">
        <f>IF(P$28="",(((((((AE22*10+Z22)*100+AC22)*100+AA22)*10+AK22)*10+AJ22)*100+AP22)*100+AU22)*10+AV22,(((((((AE22*10+Z22)*10+AK22)*10+AJ22)*100+AP22)*100+AU22)*100+AC22)*100+AA22)*10+AV22)</f>
        <v>299999995044</v>
      </c>
      <c r="AE22" s="97"/>
      <c r="AF22" s="108"/>
      <c r="AG22" s="108">
        <f>IF($Z22=$Z23,$T22-$S23,0)</f>
        <v>0</v>
      </c>
      <c r="AH22" s="108">
        <f>IF($Z22=$Z24,$U22-$S24,0)</f>
        <v>0</v>
      </c>
      <c r="AI22" s="108">
        <f>IF($Z22=$Z25,$V22-$S25,0)</f>
        <v>0</v>
      </c>
      <c r="AJ22" s="108">
        <f>SUM(AF22:AI22)</f>
        <v>0</v>
      </c>
      <c r="AK22" s="97"/>
      <c r="AL22" s="108"/>
      <c r="AM22" s="108">
        <f>IF($Z22=$Z23,$T26-$S27,0)</f>
        <v>0</v>
      </c>
      <c r="AN22" s="108">
        <f>IF($Z22=$Z24,$U26-$S28,0)</f>
        <v>0</v>
      </c>
      <c r="AO22" s="108">
        <f>IF($Z22=$Z25,$V26-$S29,0)</f>
        <v>0</v>
      </c>
      <c r="AP22" s="108">
        <f>SUM(AL22:AO22)</f>
        <v>0</v>
      </c>
      <c r="AQ22" s="108"/>
      <c r="AR22" s="108">
        <f>IF($Z22=$Z23,$T26,0)</f>
        <v>0</v>
      </c>
      <c r="AS22" s="108">
        <f>IF($Z22=$Z24,$U26,0)</f>
        <v>0</v>
      </c>
      <c r="AT22" s="108">
        <f>IF($Z22=$Z25,$V26,0)</f>
        <v>0</v>
      </c>
      <c r="AU22" s="108">
        <f>SUM(AQ22:AT22)</f>
        <v>0</v>
      </c>
      <c r="AV22" s="97">
        <v>4</v>
      </c>
      <c r="AW22" s="96"/>
      <c r="BB22" s="3" t="s">
        <v>19</v>
      </c>
      <c r="BC22" s="3" t="s">
        <v>20</v>
      </c>
      <c r="BD22" s="86"/>
      <c r="BE22" s="86"/>
      <c r="BF22" s="86"/>
      <c r="BG22" s="86"/>
      <c r="BL22" s="1"/>
      <c r="BM22" s="10" t="str">
        <f>VLOOKUP(1,$BX$22:$CC$25,2,FALSE)</f>
        <v>Deutschland</v>
      </c>
      <c r="BN22" s="2">
        <f>VLOOKUP(1,$BX$22:$CC$25,3,FALSE)</f>
        <v>9</v>
      </c>
      <c r="BO22" s="2">
        <f>VLOOKUP(1,$BX$22:$CC$25,4,FALSE)</f>
        <v>10</v>
      </c>
      <c r="BP22" s="2">
        <f>VLOOKUP(1,$BX$22:$CC$25,5,FALSE)</f>
        <v>4</v>
      </c>
      <c r="BQ22" s="2">
        <f>VLOOKUP(1,$BX$22:$CC$25,6,FALSE)</f>
        <v>6</v>
      </c>
      <c r="BS22" s="92"/>
      <c r="BT22" s="93">
        <f>IF(BH23="",0,IF(BK23=$B$65,IF(BH23&gt;BJ23,3,IF(BH23=BJ23,1,0)),0))</f>
        <v>0</v>
      </c>
      <c r="BU22" s="93">
        <f>IF(BH25="",0,IF(BK25=$B$65,IF(BH25&gt;BJ25,3,IF(BH25=BJ25,1,0)),0))</f>
        <v>3</v>
      </c>
      <c r="BV22" s="93">
        <f>IF(BJ27="",0,IF(BK28=$B$65,IF(BH27&lt;BJ27,3,IF(BH27=BJ27,1,0)),0))</f>
        <v>0</v>
      </c>
      <c r="BW22" s="1"/>
      <c r="BX22" s="1">
        <f>RANK(CD22,$CD$22:$CD$25)</f>
        <v>3</v>
      </c>
      <c r="BY22" s="95" t="s">
        <v>161</v>
      </c>
      <c r="BZ22" s="1">
        <f>SUM(BS22:BV22)</f>
        <v>3</v>
      </c>
      <c r="CA22" s="1">
        <f>SUM(BS26:BV26)</f>
        <v>7</v>
      </c>
      <c r="CB22" s="1">
        <f>SUM(BS26:BS29)</f>
        <v>8</v>
      </c>
      <c r="CC22" s="1">
        <f>CA22-CB22</f>
        <v>-1</v>
      </c>
      <c r="CD22" s="28">
        <f>IF(BP$28="",(((((((CE22*10+BZ22)*100+CC22)*100+CA22)*10+CK22)*10+CJ22)*100+CP22)*100+CU22)*10+CV22,(((((((CE22*10+BZ22)*10+CK22)*10+CJ22)*100+CP22)*100+CU22)*100+CC22)*100+CA22)*10+CV22)</f>
        <v>299999999074</v>
      </c>
      <c r="CE22" s="5"/>
      <c r="CF22" s="109"/>
      <c r="CG22" s="109">
        <f>IF($BZ22=$BZ23,$BT22-$BS23,0)</f>
        <v>0</v>
      </c>
      <c r="CH22" s="109">
        <f>IF($BZ22=$BZ24,$BU22-$BS24,0)</f>
        <v>0</v>
      </c>
      <c r="CI22" s="109">
        <f>IF($BZ22=$BZ25,$BV22-$BS25,0)</f>
        <v>0</v>
      </c>
      <c r="CJ22" s="109">
        <f>SUM(CF22:CI22)</f>
        <v>0</v>
      </c>
      <c r="CK22" s="5"/>
      <c r="CL22" s="109"/>
      <c r="CM22" s="109">
        <f>IF($BZ22=$BZ23,$BT26-$BS27,0)</f>
        <v>0</v>
      </c>
      <c r="CN22" s="109">
        <f>IF($BZ22=$BZ24,$BU26-$BS28,0)</f>
        <v>0</v>
      </c>
      <c r="CO22" s="109">
        <f>IF($BZ22=$BZ25,$BV26-$BS29,0)</f>
        <v>0</v>
      </c>
      <c r="CP22" s="109">
        <f>SUM(CL22:CO22)</f>
        <v>0</v>
      </c>
      <c r="CQ22" s="109"/>
      <c r="CR22" s="109">
        <f>IF($BZ22=$BZ23,$BT26,0)</f>
        <v>0</v>
      </c>
      <c r="CS22" s="109">
        <f>IF($BZ22=$BZ24,$BU26,0)</f>
        <v>0</v>
      </c>
      <c r="CT22" s="109">
        <f>IF($BZ22=$BZ25,$BV26,0)</f>
        <v>0</v>
      </c>
      <c r="CU22" s="109">
        <f>SUM(CQ22:CT22)</f>
        <v>0</v>
      </c>
      <c r="CV22" s="5">
        <v>4</v>
      </c>
    </row>
    <row r="23" spans="1:100" ht="12.75">
      <c r="A23" s="2">
        <v>5</v>
      </c>
      <c r="B23" s="7">
        <v>43996.875</v>
      </c>
      <c r="C23" s="4" t="s">
        <v>144</v>
      </c>
      <c r="D23" s="88" t="str">
        <f>Y22</f>
        <v>Niederlande</v>
      </c>
      <c r="E23" s="52" t="s">
        <v>21</v>
      </c>
      <c r="F23" s="88" t="str">
        <f>Y23</f>
        <v>Ukraine</v>
      </c>
      <c r="G23" s="87"/>
      <c r="H23" s="110">
        <f aca="true" ca="1" t="shared" si="8" ref="H23:H28">IF($B$66="",1,INT(RAND()*5)+INT(RAND()*3)*INT(RAND()*2))</f>
        <v>0</v>
      </c>
      <c r="I23" s="12" t="s">
        <v>22</v>
      </c>
      <c r="J23" s="110">
        <f aca="true" ca="1" t="shared" si="9" ref="J23:J28">IF($B$66="",0,INT(RAND()*5)+INT(RAND()*3)*INT(RAND()*2))</f>
        <v>4</v>
      </c>
      <c r="K23" s="8" t="s">
        <v>23</v>
      </c>
      <c r="L23" s="1"/>
      <c r="M23" s="10" t="str">
        <f>VLOOKUP(2,$X$22:$AC$25,2,FALSE)</f>
        <v>Österreich</v>
      </c>
      <c r="N23" s="2">
        <f>VLOOKUP(2,$X$22:$AC$25,3,FALSE)</f>
        <v>6</v>
      </c>
      <c r="O23" s="2">
        <f>VLOOKUP(2,$X$22:$AC$25,4,FALSE)</f>
        <v>9</v>
      </c>
      <c r="P23" s="2">
        <f>VLOOKUP(2,$X$22:$AC$25,5,FALSE)</f>
        <v>7</v>
      </c>
      <c r="Q23" s="2">
        <f>VLOOKUP(2,$X$22:$AC$25,6,FALSE)</f>
        <v>2</v>
      </c>
      <c r="S23" s="93">
        <f>IF(J23="",0,IF(K23=$B$65,IF(H23&lt;J23,3,IF(H23=J23,1,0)),0))</f>
        <v>3</v>
      </c>
      <c r="T23" s="92"/>
      <c r="U23" s="93">
        <f>IF(H28="",0,IF(K27=$B$65,IF(H28&gt;J28,3,IF(H28=J28,1,0)),0))</f>
        <v>3</v>
      </c>
      <c r="V23" s="93">
        <f>IF(H26="",0,IF(K26=$B$65,IF(H26&gt;J26,3,IF(H26=J26,1,0)),0))</f>
        <v>3</v>
      </c>
      <c r="W23" s="94"/>
      <c r="X23" s="94">
        <f>RANK(AD23,$AD$22:$AD$25)</f>
        <v>1</v>
      </c>
      <c r="Y23" s="95" t="s">
        <v>155</v>
      </c>
      <c r="Z23" s="94">
        <f>SUM(S23:V23)</f>
        <v>9</v>
      </c>
      <c r="AA23" s="94">
        <f>SUM(S27:V27)</f>
        <v>11</v>
      </c>
      <c r="AB23" s="94">
        <f>SUM(T26:T29)</f>
        <v>2</v>
      </c>
      <c r="AC23" s="94">
        <f>AA23-AB23</f>
        <v>9</v>
      </c>
      <c r="AD23" s="28">
        <f>IF(P$28="",(((((((AE23*10+Z23)*100+AC23)*100+AA23)*10+AK23)*10+AJ23)*100+AP23)*100+AU23)*10+AV23,(((((((AE23*10+Z23)*10+AK23)*10+AJ23)*100+AP23)*100+AU23)*100+AC23)*100+AA23)*10+AV23)</f>
        <v>900000009113</v>
      </c>
      <c r="AE23" s="97"/>
      <c r="AF23" s="108">
        <f>IF($Z23=$Z22,$S23-$T22,0)</f>
        <v>0</v>
      </c>
      <c r="AG23" s="108"/>
      <c r="AH23" s="108">
        <f>IF($Z23=$Z24,$U23-$T24,0)</f>
        <v>0</v>
      </c>
      <c r="AI23" s="108">
        <f>IF($Z23=$Z25,$V23-$T25,0)</f>
        <v>0</v>
      </c>
      <c r="AJ23" s="108">
        <f>SUM(AF23:AI23)</f>
        <v>0</v>
      </c>
      <c r="AK23" s="97"/>
      <c r="AL23" s="108">
        <f>IF($Z23=$Z22,$S27-$T26,0)</f>
        <v>0</v>
      </c>
      <c r="AM23" s="108"/>
      <c r="AN23" s="108">
        <f>IF($Z23=$Z24,$U27-$T28,0)</f>
        <v>0</v>
      </c>
      <c r="AO23" s="108">
        <f>IF($Z23=$Z25,$V27-$T29,0)</f>
        <v>0</v>
      </c>
      <c r="AP23" s="108">
        <f>SUM(AL23:AO23)</f>
        <v>0</v>
      </c>
      <c r="AQ23" s="108">
        <f>IF($Z23=$Z22,$S27,0)</f>
        <v>0</v>
      </c>
      <c r="AR23" s="108"/>
      <c r="AS23" s="108">
        <f>IF($Z23=$Z24,$U27,0)</f>
        <v>0</v>
      </c>
      <c r="AT23" s="108">
        <f>IF($Z23=$Z25,$V27,0)</f>
        <v>0</v>
      </c>
      <c r="AU23" s="108">
        <f>SUM(AQ23:AT23)</f>
        <v>0</v>
      </c>
      <c r="AV23" s="97">
        <v>3</v>
      </c>
      <c r="AW23" s="96"/>
      <c r="BA23" s="2">
        <v>11</v>
      </c>
      <c r="BB23" s="7">
        <v>43998.75</v>
      </c>
      <c r="BC23" s="4" t="s">
        <v>143</v>
      </c>
      <c r="BD23" s="88" t="str">
        <f>BY22</f>
        <v>Ungarn</v>
      </c>
      <c r="BE23" s="52" t="s">
        <v>21</v>
      </c>
      <c r="BF23" s="88" t="str">
        <f>BY23</f>
        <v>Portugal</v>
      </c>
      <c r="BG23" s="87"/>
      <c r="BH23" s="110">
        <f aca="true" ca="1" t="shared" si="10" ref="BH23:BH28">IF($B$66="",1,INT(RAND()*5)+INT(RAND()*3)*INT(RAND()*2))</f>
        <v>1</v>
      </c>
      <c r="BI23" s="12" t="s">
        <v>22</v>
      </c>
      <c r="BJ23" s="110">
        <f aca="true" ca="1" t="shared" si="11" ref="BJ23:BJ28">IF($B$66="",0,INT(RAND()*5)+INT(RAND()*3)*INT(RAND()*2))</f>
        <v>3</v>
      </c>
      <c r="BK23" s="8" t="s">
        <v>23</v>
      </c>
      <c r="BL23" s="1"/>
      <c r="BM23" s="10" t="str">
        <f>VLOOKUP(2,$BX$22:$CC$25,2,FALSE)</f>
        <v>Portugal</v>
      </c>
      <c r="BN23" s="2">
        <f>VLOOKUP(2,$BX$22:$CC$25,3,FALSE)</f>
        <v>6</v>
      </c>
      <c r="BO23" s="2">
        <f>VLOOKUP(2,$BX$22:$CC$25,4,FALSE)</f>
        <v>8</v>
      </c>
      <c r="BP23" s="2">
        <f>VLOOKUP(2,$BX$22:$CC$25,5,FALSE)</f>
        <v>5</v>
      </c>
      <c r="BQ23" s="2">
        <f>VLOOKUP(2,$BX$22:$CC$25,6,FALSE)</f>
        <v>3</v>
      </c>
      <c r="BS23" s="93">
        <f>IF(BJ23="",0,IF(BK23=$B$65,IF(BH23&lt;BJ23,3,IF(BH23=BJ23,1,0)),0))</f>
        <v>3</v>
      </c>
      <c r="BT23" s="92"/>
      <c r="BU23" s="93">
        <f>IF(BH28="",0,IF(BK27=$B$65,IF(BH28&gt;BJ28,3,IF(BH28=BJ28,1,0)),0))</f>
        <v>3</v>
      </c>
      <c r="BV23" s="93">
        <f>IF(BH26="",0,IF(BK26=$B$65,IF(BH26&gt;BJ26,3,IF(BH26=BJ26,1,0)),0))</f>
        <v>0</v>
      </c>
      <c r="BW23" s="1"/>
      <c r="BX23" s="1">
        <f>RANK(CD23,$CD$22:$CD$25)</f>
        <v>2</v>
      </c>
      <c r="BY23" s="95" t="s">
        <v>160</v>
      </c>
      <c r="BZ23" s="1">
        <f>SUM(BS23:BV23)</f>
        <v>6</v>
      </c>
      <c r="CA23" s="1">
        <f>SUM(BS27:BV27)</f>
        <v>8</v>
      </c>
      <c r="CB23" s="1">
        <f>SUM(BT26:BT29)</f>
        <v>5</v>
      </c>
      <c r="CC23" s="1">
        <f>CA23-CB23</f>
        <v>3</v>
      </c>
      <c r="CD23" s="28">
        <f>IF(BP$28="",(((((((CE23*10+BZ23)*100+CC23)*100+CA23)*10+CK23)*10+CJ23)*100+CP23)*100+CU23)*10+CV23,(((((((CE23*10+BZ23)*10+CK23)*10+CJ23)*100+CP23)*100+CU23)*100+CC23)*100+CA23)*10+CV23)</f>
        <v>600000003083</v>
      </c>
      <c r="CE23" s="5"/>
      <c r="CF23" s="109">
        <f>IF($BZ23=$BZ22,$BS23-$BT22,0)</f>
        <v>0</v>
      </c>
      <c r="CG23" s="109"/>
      <c r="CH23" s="109">
        <f>IF($BZ23=$BZ24,$BU23-$BT24,0)</f>
        <v>0</v>
      </c>
      <c r="CI23" s="109">
        <f>IF($BZ23=$BZ25,$BV23-$BT25,0)</f>
        <v>0</v>
      </c>
      <c r="CJ23" s="109">
        <f>SUM(CF23:CI23)</f>
        <v>0</v>
      </c>
      <c r="CK23" s="5"/>
      <c r="CL23" s="109">
        <f>IF($BZ23=$BZ22,$BS27-$BT26,0)</f>
        <v>0</v>
      </c>
      <c r="CM23" s="109"/>
      <c r="CN23" s="109">
        <f>IF($BZ23=$BZ24,$BU27-$BT28,0)</f>
        <v>0</v>
      </c>
      <c r="CO23" s="109">
        <f>IF($BZ23=$BZ25,$BV27-$BT29,0)</f>
        <v>0</v>
      </c>
      <c r="CP23" s="109">
        <f>SUM(CL23:CO23)</f>
        <v>0</v>
      </c>
      <c r="CQ23" s="109">
        <f>IF($BZ23=$BZ22,$BS27,0)</f>
        <v>0</v>
      </c>
      <c r="CR23" s="109"/>
      <c r="CS23" s="109">
        <f>IF($BZ23=$BZ24,$BU27,0)</f>
        <v>0</v>
      </c>
      <c r="CT23" s="109">
        <f>IF($BZ23=$BZ25,$BV27,0)</f>
        <v>0</v>
      </c>
      <c r="CU23" s="109">
        <f>SUM(CQ23:CT23)</f>
        <v>0</v>
      </c>
      <c r="CV23" s="5">
        <v>3</v>
      </c>
    </row>
    <row r="24" spans="1:100" ht="12.75">
      <c r="A24" s="2">
        <v>6</v>
      </c>
      <c r="B24" s="7">
        <v>43996.75</v>
      </c>
      <c r="C24" s="4" t="s">
        <v>141</v>
      </c>
      <c r="D24" s="88" t="str">
        <f>Y24</f>
        <v>Österreich</v>
      </c>
      <c r="E24" s="52" t="s">
        <v>21</v>
      </c>
      <c r="F24" s="88" t="str">
        <f>Y25</f>
        <v>Weißrussland</v>
      </c>
      <c r="G24" s="87"/>
      <c r="H24" s="111">
        <f ca="1" t="shared" si="8"/>
        <v>3</v>
      </c>
      <c r="I24" s="12" t="s">
        <v>22</v>
      </c>
      <c r="J24" s="111">
        <f ca="1" t="shared" si="9"/>
        <v>2</v>
      </c>
      <c r="K24" s="8" t="s">
        <v>23</v>
      </c>
      <c r="L24" s="1"/>
      <c r="M24" s="10" t="str">
        <f>VLOOKUP(3,$X$22:$AC$25,2,FALSE)</f>
        <v>Niederlande</v>
      </c>
      <c r="N24" s="2">
        <f>VLOOKUP(3,$X$22:$AC$25,3,FALSE)</f>
        <v>3</v>
      </c>
      <c r="O24" s="2">
        <f>VLOOKUP(3,$X$22:$AC$25,4,FALSE)</f>
        <v>4</v>
      </c>
      <c r="P24" s="2">
        <f>VLOOKUP(3,$X$22:$AC$25,5,FALSE)</f>
        <v>9</v>
      </c>
      <c r="Q24" s="2">
        <f>VLOOKUP(3,$X$22:$AC$25,6,FALSE)</f>
        <v>-5</v>
      </c>
      <c r="S24" s="93">
        <f>IF(J25="",0,IF(K25=$B$65,IF(H25&lt;J25,3,IF(H25=J25,1,0)),0))</f>
        <v>3</v>
      </c>
      <c r="T24" s="93">
        <f>IF(J28="",0,IF(K27=$B$65,IF(H28&lt;J28,3,IF(H28=J28,1,0)),0))</f>
        <v>0</v>
      </c>
      <c r="U24" s="92"/>
      <c r="V24" s="93">
        <f>IF(H24="",0,IF(K24=$B$65,IF(H24&gt;J24,3,IF(H24=J24,1,0)),0))</f>
        <v>3</v>
      </c>
      <c r="W24" s="94"/>
      <c r="X24" s="94">
        <f>RANK(AD24,$AD$22:$AD$25)</f>
        <v>2</v>
      </c>
      <c r="Y24" s="95" t="s">
        <v>156</v>
      </c>
      <c r="Z24" s="94">
        <f>SUM(S24:V24)</f>
        <v>6</v>
      </c>
      <c r="AA24" s="94">
        <f>SUM(S28:V28)</f>
        <v>9</v>
      </c>
      <c r="AB24" s="94">
        <f>SUM(U26:U29)</f>
        <v>7</v>
      </c>
      <c r="AC24" s="94">
        <f>AA24-AB24</f>
        <v>2</v>
      </c>
      <c r="AD24" s="28">
        <f>IF(P$28="",(((((((AE24*10+Z24)*100+AC24)*100+AA24)*10+AK24)*10+AJ24)*100+AP24)*100+AU24)*10+AV24,(((((((AE24*10+Z24)*10+AK24)*10+AJ24)*100+AP24)*100+AU24)*100+AC24)*100+AA24)*10+AV24)</f>
        <v>600000002092</v>
      </c>
      <c r="AE24" s="97"/>
      <c r="AF24" s="108">
        <f>IF($Z24=$Z22,$S24-$U22,0)</f>
        <v>0</v>
      </c>
      <c r="AG24" s="108">
        <f>IF($Z24=$Z23,$T24-$U23,0)</f>
        <v>0</v>
      </c>
      <c r="AH24" s="108"/>
      <c r="AI24" s="108">
        <f>IF($Z24=$Z25,$V24-$U25,0)</f>
        <v>0</v>
      </c>
      <c r="AJ24" s="108">
        <f>SUM(AF24:AI24)</f>
        <v>0</v>
      </c>
      <c r="AK24" s="97"/>
      <c r="AL24" s="108">
        <f>IF($Z24=$Z22,$S28-$U26,0)</f>
        <v>0</v>
      </c>
      <c r="AM24" s="108">
        <f>IF($Z24=$Z23,$T28-$U27,0)</f>
        <v>0</v>
      </c>
      <c r="AN24" s="108"/>
      <c r="AO24" s="108">
        <f>IF($Z24=$Z25,$V28-$U29,0)</f>
        <v>0</v>
      </c>
      <c r="AP24" s="108">
        <f>SUM(AL24:AO24)</f>
        <v>0</v>
      </c>
      <c r="AQ24" s="108">
        <f>IF($Z24=$Z22,$S28,0)</f>
        <v>0</v>
      </c>
      <c r="AR24" s="108">
        <f>IF($Z24=$Z23,$T28,0)</f>
        <v>0</v>
      </c>
      <c r="AS24" s="108"/>
      <c r="AT24" s="108">
        <f>IF($Z24=$Z25,$V28,0)</f>
        <v>0</v>
      </c>
      <c r="AU24" s="108">
        <f>SUM(AQ24:AT24)</f>
        <v>0</v>
      </c>
      <c r="AV24" s="97">
        <v>2</v>
      </c>
      <c r="AW24" s="96"/>
      <c r="BA24" s="2">
        <v>12</v>
      </c>
      <c r="BB24" s="4">
        <v>43998.875</v>
      </c>
      <c r="BC24" s="4" t="s">
        <v>136</v>
      </c>
      <c r="BD24" s="88" t="str">
        <f>BY24</f>
        <v>Frankreich</v>
      </c>
      <c r="BE24" s="52" t="s">
        <v>21</v>
      </c>
      <c r="BF24" s="88" t="str">
        <f>BY25</f>
        <v>Deutschland</v>
      </c>
      <c r="BG24" s="87"/>
      <c r="BH24" s="111">
        <f ca="1" t="shared" si="10"/>
        <v>2</v>
      </c>
      <c r="BI24" s="12" t="s">
        <v>22</v>
      </c>
      <c r="BJ24" s="111">
        <f ca="1" t="shared" si="11"/>
        <v>4</v>
      </c>
      <c r="BK24" s="8" t="s">
        <v>23</v>
      </c>
      <c r="BL24" s="1"/>
      <c r="BM24" s="10" t="str">
        <f>VLOOKUP(3,$BX$22:$CC$25,2,FALSE)</f>
        <v>Ungarn</v>
      </c>
      <c r="BN24" s="2">
        <f>VLOOKUP(3,$BX$22:$CC$25,3,FALSE)</f>
        <v>3</v>
      </c>
      <c r="BO24" s="2">
        <f>VLOOKUP(3,$BX$22:$CC$25,4,FALSE)</f>
        <v>7</v>
      </c>
      <c r="BP24" s="2">
        <f>VLOOKUP(3,$BX$22:$CC$25,5,FALSE)</f>
        <v>8</v>
      </c>
      <c r="BQ24" s="2">
        <f>VLOOKUP(3,$BX$22:$CC$25,6,FALSE)</f>
        <v>-1</v>
      </c>
      <c r="BS24" s="93">
        <f>IF(BJ25="",0,IF(BK25=$B$65,IF(BH25&lt;BJ25,3,IF(BH25=BJ25,1,0)),0))</f>
        <v>0</v>
      </c>
      <c r="BT24" s="93">
        <f>IF(BJ28="",0,IF(BK27=$B$65,IF(BH28&lt;BJ28,3,IF(BH28=BJ28,1,0)),0))</f>
        <v>0</v>
      </c>
      <c r="BU24" s="92"/>
      <c r="BV24" s="93">
        <f>IF(BH24="",0,IF(BK24=$B$65,IF(BH24&gt;BJ24,3,IF(BH24=BJ24,1,0)),0))</f>
        <v>0</v>
      </c>
      <c r="BW24" s="1"/>
      <c r="BX24" s="1">
        <f>RANK(CD24,$CD$22:$CD$25)</f>
        <v>4</v>
      </c>
      <c r="BY24" s="95" t="s">
        <v>66</v>
      </c>
      <c r="BZ24" s="1">
        <f>SUM(BS24:BV24)</f>
        <v>0</v>
      </c>
      <c r="CA24" s="1">
        <f>SUM(BS28:BV28)</f>
        <v>5</v>
      </c>
      <c r="CB24" s="1">
        <f>SUM(BU26:BU29)</f>
        <v>13</v>
      </c>
      <c r="CC24" s="1">
        <f>CA24-CB24</f>
        <v>-8</v>
      </c>
      <c r="CD24" s="28">
        <f>IF(BP$28="",(((((((CE24*10+BZ24)*100+CC24)*100+CA24)*10+CK24)*10+CJ24)*100+CP24)*100+CU24)*10+CV24,(((((((CE24*10+BZ24)*10+CK24)*10+CJ24)*100+CP24)*100+CU24)*100+CC24)*100+CA24)*10+CV24)</f>
        <v>-7948</v>
      </c>
      <c r="CE24" s="5"/>
      <c r="CF24" s="109">
        <f>IF($BZ24=$BZ22,$BS24-$BU22,0)</f>
        <v>0</v>
      </c>
      <c r="CG24" s="109">
        <f>IF($BZ24=$BZ23,$BT24-$BU23,0)</f>
        <v>0</v>
      </c>
      <c r="CH24" s="109"/>
      <c r="CI24" s="109">
        <f>IF($BZ24=$BZ25,$BV24-$BU25,0)</f>
        <v>0</v>
      </c>
      <c r="CJ24" s="109">
        <f>SUM(CF24:CI24)</f>
        <v>0</v>
      </c>
      <c r="CK24" s="5"/>
      <c r="CL24" s="109">
        <f>IF($BZ24=$BZ22,$BS28-$BU26,0)</f>
        <v>0</v>
      </c>
      <c r="CM24" s="109">
        <f>IF($BZ24=$BZ23,$BT28-$BU27,0)</f>
        <v>0</v>
      </c>
      <c r="CN24" s="109"/>
      <c r="CO24" s="109">
        <f>IF($BZ24=$BZ25,$BV28-$BU29,0)</f>
        <v>0</v>
      </c>
      <c r="CP24" s="109">
        <f>SUM(CL24:CO24)</f>
        <v>0</v>
      </c>
      <c r="CQ24" s="109">
        <f>IF($BZ24=$BZ22,$BS28,0)</f>
        <v>0</v>
      </c>
      <c r="CR24" s="109">
        <f>IF($BZ24=$BZ23,$BT28,0)</f>
        <v>0</v>
      </c>
      <c r="CS24" s="109"/>
      <c r="CT24" s="109">
        <f>IF($BZ24=$BZ25,$BV28,0)</f>
        <v>0</v>
      </c>
      <c r="CU24" s="109">
        <f>SUM(CQ24:CT24)</f>
        <v>0</v>
      </c>
      <c r="CV24" s="5">
        <v>2</v>
      </c>
    </row>
    <row r="25" spans="1:100" ht="12.75">
      <c r="A25" s="2">
        <f>A23+12</f>
        <v>17</v>
      </c>
      <c r="B25" s="7">
        <v>44000.875</v>
      </c>
      <c r="C25" s="4" t="s">
        <v>144</v>
      </c>
      <c r="D25" s="88" t="str">
        <f>Y22</f>
        <v>Niederlande</v>
      </c>
      <c r="E25" s="52" t="s">
        <v>21</v>
      </c>
      <c r="F25" s="88" t="str">
        <f>Y24</f>
        <v>Österreich</v>
      </c>
      <c r="G25" s="87"/>
      <c r="H25" s="111">
        <f ca="1" t="shared" si="8"/>
        <v>1</v>
      </c>
      <c r="I25" s="12" t="s">
        <v>22</v>
      </c>
      <c r="J25" s="111">
        <f ca="1" t="shared" si="9"/>
        <v>4</v>
      </c>
      <c r="K25" s="8" t="s">
        <v>23</v>
      </c>
      <c r="L25" s="1"/>
      <c r="M25" s="10" t="str">
        <f>VLOOKUP(4,$X$22:$AC$25,2,FALSE)</f>
        <v>Weißrussland</v>
      </c>
      <c r="N25" s="2">
        <f>VLOOKUP(4,$X$22:$AC$25,3,FALSE)</f>
        <v>0</v>
      </c>
      <c r="O25" s="2">
        <f>VLOOKUP(4,$X$22:$AC$25,4,FALSE)</f>
        <v>3</v>
      </c>
      <c r="P25" s="2">
        <f>VLOOKUP(4,$X$22:$AC$25,5,FALSE)</f>
        <v>9</v>
      </c>
      <c r="Q25" s="2">
        <f>VLOOKUP(4,$X$22:$AC$25,6,FALSE)</f>
        <v>-6</v>
      </c>
      <c r="S25" s="93">
        <f>IF(H27="",0,IF(K28=$B$65,IF(H27&gt;J27,3,IF(H27=J27,1,0)),0))</f>
        <v>0</v>
      </c>
      <c r="T25" s="93">
        <f>IF(J26="",0,IF(K26=$B$65,IF(H26&lt;J26,3,IF(H26=J26,1,0)),0))</f>
        <v>0</v>
      </c>
      <c r="U25" s="93">
        <f>IF(J24="",0,IF(K24=$B$65,IF(H24&lt;J24,3,IF(H24=J24,1,0)),0))</f>
        <v>0</v>
      </c>
      <c r="V25" s="92"/>
      <c r="W25" s="94"/>
      <c r="X25" s="94">
        <f>RANK(AD25,$AD$22:$AD$25)</f>
        <v>4</v>
      </c>
      <c r="Y25" s="95" t="s">
        <v>164</v>
      </c>
      <c r="Z25" s="94">
        <f>SUM(S25:V25)</f>
        <v>0</v>
      </c>
      <c r="AA25" s="94">
        <f>SUM(S29:V29)</f>
        <v>3</v>
      </c>
      <c r="AB25" s="94">
        <f>SUM(V26:V29)</f>
        <v>9</v>
      </c>
      <c r="AC25" s="94">
        <f>AA25-AB25</f>
        <v>-6</v>
      </c>
      <c r="AD25" s="28">
        <f>IF(P$28="",(((((((AE25*10+Z25)*100+AC25)*100+AA25)*10+AK25)*10+AJ25)*100+AP25)*100+AU25)*10+AV25,(((((((AE25*10+Z25)*10+AK25)*10+AJ25)*100+AP25)*100+AU25)*100+AC25)*100+AA25)*10+AV25)</f>
        <v>-5969</v>
      </c>
      <c r="AE25" s="97"/>
      <c r="AF25" s="108">
        <f>IF($Z25=$Z22,$S25-$V22,0)</f>
        <v>0</v>
      </c>
      <c r="AG25" s="108">
        <f>IF($Z25=$Z23,$T25-$V23,0)</f>
        <v>0</v>
      </c>
      <c r="AH25" s="108">
        <f>IF($Z25=$Z24,$U25-$V24,0)</f>
        <v>0</v>
      </c>
      <c r="AI25" s="108"/>
      <c r="AJ25" s="108">
        <f>SUM(AF25:AI25)</f>
        <v>0</v>
      </c>
      <c r="AK25" s="97"/>
      <c r="AL25" s="108">
        <f>IF($Z25=$Z22,$S29-$V26,0)</f>
        <v>0</v>
      </c>
      <c r="AM25" s="108">
        <f>IF($Z25=$Z23,$T29-$V27,0)</f>
        <v>0</v>
      </c>
      <c r="AN25" s="108">
        <f>IF($Z25=$Z24,$U29-$V28,0)</f>
        <v>0</v>
      </c>
      <c r="AO25" s="108"/>
      <c r="AP25" s="108">
        <f>SUM(AL25:AO25)</f>
        <v>0</v>
      </c>
      <c r="AQ25" s="108">
        <f>IF($Z25=$Z22,$S29,0)</f>
        <v>0</v>
      </c>
      <c r="AR25" s="108">
        <f>IF($Z25=$Z23,$T29,0)</f>
        <v>0</v>
      </c>
      <c r="AS25" s="108">
        <f>IF($Z25=$Z24,$U29,0)</f>
        <v>0</v>
      </c>
      <c r="AT25" s="108"/>
      <c r="AU25" s="108">
        <f>SUM(AQ25:AT25)</f>
        <v>0</v>
      </c>
      <c r="AV25" s="97">
        <v>1</v>
      </c>
      <c r="AW25" s="96"/>
      <c r="BA25" s="2">
        <f>BA23+12</f>
        <v>23</v>
      </c>
      <c r="BB25" s="7">
        <v>44002.625</v>
      </c>
      <c r="BC25" s="4" t="s">
        <v>143</v>
      </c>
      <c r="BD25" s="88" t="str">
        <f>BY22</f>
        <v>Ungarn</v>
      </c>
      <c r="BE25" s="52" t="s">
        <v>21</v>
      </c>
      <c r="BF25" s="88" t="str">
        <f>BY24</f>
        <v>Frankreich</v>
      </c>
      <c r="BG25" s="87"/>
      <c r="BH25" s="111">
        <f ca="1" t="shared" si="10"/>
        <v>6</v>
      </c>
      <c r="BI25" s="12" t="s">
        <v>22</v>
      </c>
      <c r="BJ25" s="111">
        <f ca="1" t="shared" si="11"/>
        <v>2</v>
      </c>
      <c r="BK25" s="8" t="s">
        <v>23</v>
      </c>
      <c r="BL25" s="1"/>
      <c r="BM25" s="10" t="str">
        <f>VLOOKUP(4,$BX$22:$CC$25,2,FALSE)</f>
        <v>Frankreich</v>
      </c>
      <c r="BN25" s="2">
        <f>VLOOKUP(4,$BX$22:$CC$25,3,FALSE)</f>
        <v>0</v>
      </c>
      <c r="BO25" s="2">
        <f>VLOOKUP(4,$BX$22:$CC$25,4,FALSE)</f>
        <v>5</v>
      </c>
      <c r="BP25" s="2">
        <f>VLOOKUP(4,$BX$22:$CC$25,5,FALSE)</f>
        <v>13</v>
      </c>
      <c r="BQ25" s="2">
        <f>VLOOKUP(4,$BX$22:$CC$25,6,FALSE)</f>
        <v>-8</v>
      </c>
      <c r="BS25" s="93">
        <f>IF(BH27="",0,IF(BK28=$B$65,IF(BH27&gt;BJ27,3,IF(BH27=BJ27,1,0)),0))</f>
        <v>3</v>
      </c>
      <c r="BT25" s="93">
        <f>IF(BJ26="",0,IF(BK26=$B$65,IF(BH26&lt;BJ26,3,IF(BH26=BJ26,1,0)),0))</f>
        <v>3</v>
      </c>
      <c r="BU25" s="93">
        <f>IF(BJ24="",0,IF(BK24=$B$65,IF(BH24&lt;BJ24,3,IF(BH24=BJ24,1,0)),0))</f>
        <v>3</v>
      </c>
      <c r="BV25" s="92"/>
      <c r="BW25" s="1"/>
      <c r="BX25" s="1">
        <f>RANK(CD25,$CD$22:$CD$25)</f>
        <v>1</v>
      </c>
      <c r="BY25" s="95" t="s">
        <v>65</v>
      </c>
      <c r="BZ25" s="1">
        <f>SUM(BS25:BV25)</f>
        <v>9</v>
      </c>
      <c r="CA25" s="1">
        <f>SUM(BS29:BV29)</f>
        <v>10</v>
      </c>
      <c r="CB25" s="1">
        <f>SUM(BV26:BV29)</f>
        <v>4</v>
      </c>
      <c r="CC25" s="1">
        <f>CA25-CB25</f>
        <v>6</v>
      </c>
      <c r="CD25" s="28">
        <f>IF(BP$28="",(((((((CE25*10+BZ25)*100+CC25)*100+CA25)*10+CK25)*10+CJ25)*100+CP25)*100+CU25)*10+CV25,(((((((CE25*10+BZ25)*10+CK25)*10+CJ25)*100+CP25)*100+CU25)*100+CC25)*100+CA25)*10+CV25)</f>
        <v>900000006101</v>
      </c>
      <c r="CE25" s="5"/>
      <c r="CF25" s="109">
        <f>IF($BZ25=$BZ22,$BS25-$BV22,0)</f>
        <v>0</v>
      </c>
      <c r="CG25" s="109">
        <f>IF($BZ25=$BZ23,$BT25-$BV23,0)</f>
        <v>0</v>
      </c>
      <c r="CH25" s="109">
        <f>IF($BZ25=$BZ24,$BU25-$BV24,0)</f>
        <v>0</v>
      </c>
      <c r="CI25" s="109"/>
      <c r="CJ25" s="109">
        <f>SUM(CF25:CI25)</f>
        <v>0</v>
      </c>
      <c r="CK25" s="5"/>
      <c r="CL25" s="109">
        <f>IF($BZ25=$BZ22,$BS29-$BV26,0)</f>
        <v>0</v>
      </c>
      <c r="CM25" s="109">
        <f>IF($BZ25=$BZ23,$BT29-$BV27,0)</f>
        <v>0</v>
      </c>
      <c r="CN25" s="109">
        <f>IF($BZ25=$BZ24,$BU29-$BV28,0)</f>
        <v>0</v>
      </c>
      <c r="CO25" s="109"/>
      <c r="CP25" s="109">
        <f>SUM(CL25:CO25)</f>
        <v>0</v>
      </c>
      <c r="CQ25" s="109">
        <f>IF($BZ25=$BZ22,$BS29,0)</f>
        <v>0</v>
      </c>
      <c r="CR25" s="109">
        <f>IF($BZ25=$BZ23,$BT29,0)</f>
        <v>0</v>
      </c>
      <c r="CS25" s="109">
        <f>IF($BZ25=$BZ24,$BU29,0)</f>
        <v>0</v>
      </c>
      <c r="CT25" s="109"/>
      <c r="CU25" s="109">
        <f>SUM(CQ25:CT25)</f>
        <v>0</v>
      </c>
      <c r="CV25" s="5">
        <v>1</v>
      </c>
    </row>
    <row r="26" spans="1:100" ht="12.75">
      <c r="A26" s="2">
        <f>A24+12</f>
        <v>18</v>
      </c>
      <c r="B26" s="7">
        <v>44000.625</v>
      </c>
      <c r="C26" s="4" t="s">
        <v>141</v>
      </c>
      <c r="D26" s="88" t="str">
        <f>Y23</f>
        <v>Ukraine</v>
      </c>
      <c r="E26" s="52" t="s">
        <v>21</v>
      </c>
      <c r="F26" s="88" t="str">
        <f>Y25</f>
        <v>Weißrussland</v>
      </c>
      <c r="G26" s="87"/>
      <c r="H26" s="111">
        <f ca="1" t="shared" si="8"/>
        <v>3</v>
      </c>
      <c r="I26" s="12" t="s">
        <v>22</v>
      </c>
      <c r="J26" s="111">
        <f ca="1" t="shared" si="9"/>
        <v>0</v>
      </c>
      <c r="K26" s="8" t="s">
        <v>23</v>
      </c>
      <c r="L26" s="1"/>
      <c r="N26" s="1"/>
      <c r="O26" s="1"/>
      <c r="P26" s="1"/>
      <c r="S26" s="92"/>
      <c r="T26" s="93">
        <f>IF(K23=$B$65,H23,0)</f>
        <v>0</v>
      </c>
      <c r="U26" s="93">
        <f>IF(K25=$B$65,H25,0)</f>
        <v>1</v>
      </c>
      <c r="V26" s="93">
        <f>IF(K28=$B$65,J27,0)</f>
        <v>3</v>
      </c>
      <c r="W26" s="94"/>
      <c r="X26" s="94"/>
      <c r="Y26" s="94"/>
      <c r="Z26" s="94"/>
      <c r="AA26" s="94"/>
      <c r="AB26" s="94"/>
      <c r="AC26" s="94"/>
      <c r="AD26" s="98"/>
      <c r="AE26" s="99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V26" s="108"/>
      <c r="AW26" s="96"/>
      <c r="BA26" s="2">
        <f>BA24+12</f>
        <v>24</v>
      </c>
      <c r="BB26" s="7">
        <v>44002.75</v>
      </c>
      <c r="BC26" s="4" t="s">
        <v>136</v>
      </c>
      <c r="BD26" s="88" t="str">
        <f>BY23</f>
        <v>Portugal</v>
      </c>
      <c r="BE26" s="52" t="s">
        <v>21</v>
      </c>
      <c r="BF26" s="88" t="str">
        <f>BY25</f>
        <v>Deutschland</v>
      </c>
      <c r="BG26" s="87"/>
      <c r="BH26" s="111">
        <f ca="1" t="shared" si="10"/>
        <v>2</v>
      </c>
      <c r="BI26" s="12" t="s">
        <v>22</v>
      </c>
      <c r="BJ26" s="111">
        <f ca="1" t="shared" si="11"/>
        <v>3</v>
      </c>
      <c r="BK26" s="8" t="s">
        <v>23</v>
      </c>
      <c r="BL26" s="1"/>
      <c r="BN26" s="1"/>
      <c r="BO26" s="1"/>
      <c r="BP26" s="1"/>
      <c r="BS26" s="92"/>
      <c r="BT26" s="93">
        <f>IF(BK23=$B$65,BH23,0)</f>
        <v>1</v>
      </c>
      <c r="BU26" s="93">
        <f>IF(BK25=$B$65,BH25,0)</f>
        <v>6</v>
      </c>
      <c r="BV26" s="93">
        <f>IF(BK28=$B$65,BJ27,0)</f>
        <v>0</v>
      </c>
      <c r="BW26" s="1"/>
      <c r="BX26" s="1"/>
      <c r="BY26" s="94"/>
      <c r="BZ26" s="1"/>
      <c r="CA26" s="1"/>
      <c r="CB26" s="1"/>
      <c r="CC26" s="1"/>
      <c r="CD26" s="6"/>
      <c r="CE26" s="8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V26" s="109"/>
    </row>
    <row r="27" spans="1:100" ht="12.75">
      <c r="A27" s="2">
        <f>A25+12</f>
        <v>29</v>
      </c>
      <c r="B27" s="7">
        <v>44004.75</v>
      </c>
      <c r="C27" s="4" t="s">
        <v>144</v>
      </c>
      <c r="D27" s="88" t="str">
        <f>Y25</f>
        <v>Weißrussland</v>
      </c>
      <c r="E27" s="52" t="s">
        <v>21</v>
      </c>
      <c r="F27" s="88" t="str">
        <f>Y22</f>
        <v>Niederlande</v>
      </c>
      <c r="G27" s="86"/>
      <c r="H27" s="110">
        <f ca="1" t="shared" si="8"/>
        <v>1</v>
      </c>
      <c r="I27" s="14" t="s">
        <v>22</v>
      </c>
      <c r="J27" s="110">
        <f ca="1" t="shared" si="9"/>
        <v>3</v>
      </c>
      <c r="K27" s="8" t="s">
        <v>23</v>
      </c>
      <c r="M27" s="46" t="str">
        <f>IF(N22&gt;0,M22,"")</f>
        <v>Ukraine</v>
      </c>
      <c r="N27" s="2" t="s">
        <v>30</v>
      </c>
      <c r="P27" s="34"/>
      <c r="S27" s="93">
        <f>IF(K23=$B$65,J23,0)</f>
        <v>4</v>
      </c>
      <c r="T27" s="92"/>
      <c r="U27" s="93">
        <f>IF(K27=$B$65,H28,0)</f>
        <v>4</v>
      </c>
      <c r="V27" s="93">
        <f>IF(K26=$B$65,H26,0)</f>
        <v>3</v>
      </c>
      <c r="AD27" s="86" t="s">
        <v>118</v>
      </c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V27" s="112"/>
      <c r="AW27" s="96"/>
      <c r="BA27" s="2">
        <f>BA25+12</f>
        <v>35</v>
      </c>
      <c r="BB27" s="7">
        <v>44006.875</v>
      </c>
      <c r="BC27" s="4" t="s">
        <v>136</v>
      </c>
      <c r="BD27" s="88" t="str">
        <f>BY25</f>
        <v>Deutschland</v>
      </c>
      <c r="BE27" s="52" t="s">
        <v>21</v>
      </c>
      <c r="BF27" s="88" t="str">
        <f>BY22</f>
        <v>Ungarn</v>
      </c>
      <c r="BG27" s="86"/>
      <c r="BH27" s="110">
        <f ca="1" t="shared" si="10"/>
        <v>3</v>
      </c>
      <c r="BI27" s="14" t="s">
        <v>22</v>
      </c>
      <c r="BJ27" s="110">
        <f ca="1" t="shared" si="11"/>
        <v>0</v>
      </c>
      <c r="BK27" s="8" t="s">
        <v>23</v>
      </c>
      <c r="BM27" s="49" t="str">
        <f>IF(BN22&gt;0,BM22,"")</f>
        <v>Deutschland</v>
      </c>
      <c r="BN27" s="2" t="s">
        <v>39</v>
      </c>
      <c r="BP27" s="34"/>
      <c r="BS27" s="93">
        <f>IF(BK23=$B$65,BJ23,0)</f>
        <v>3</v>
      </c>
      <c r="BT27" s="92"/>
      <c r="BU27" s="93">
        <f>IF(BK27=$B$65,BH28,0)</f>
        <v>3</v>
      </c>
      <c r="BV27" s="93">
        <f>IF(BK26=$B$65,BH26,0)</f>
        <v>2</v>
      </c>
      <c r="CD27" s="2" t="s">
        <v>118</v>
      </c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V27" s="113"/>
    </row>
    <row r="28" spans="1:100" ht="12.75">
      <c r="A28" s="2">
        <f>A26+12</f>
        <v>30</v>
      </c>
      <c r="B28" s="7">
        <v>44004.75</v>
      </c>
      <c r="C28" s="4" t="s">
        <v>141</v>
      </c>
      <c r="D28" s="88" t="str">
        <f>Y23</f>
        <v>Ukraine</v>
      </c>
      <c r="E28" s="52" t="s">
        <v>21</v>
      </c>
      <c r="F28" s="88" t="str">
        <f>Y24</f>
        <v>Österreich</v>
      </c>
      <c r="G28" s="86"/>
      <c r="H28" s="111">
        <f ca="1" t="shared" si="8"/>
        <v>4</v>
      </c>
      <c r="I28" s="12" t="s">
        <v>22</v>
      </c>
      <c r="J28" s="111">
        <f ca="1" t="shared" si="9"/>
        <v>2</v>
      </c>
      <c r="K28" s="8" t="s">
        <v>23</v>
      </c>
      <c r="M28" s="46" t="str">
        <f>IF(N23&gt;0,M23,"")</f>
        <v>Österreich</v>
      </c>
      <c r="N28" s="2" t="s">
        <v>31</v>
      </c>
      <c r="O28" s="35"/>
      <c r="P28" s="36" t="s">
        <v>11</v>
      </c>
      <c r="S28" s="93">
        <f>IF(K25=$B$65,J25,0)</f>
        <v>4</v>
      </c>
      <c r="T28" s="93">
        <f>IF(K27=$B$65,J28,0)</f>
        <v>2</v>
      </c>
      <c r="U28" s="92"/>
      <c r="V28" s="93">
        <f>IF(K24=$B$65,H24,0)</f>
        <v>3</v>
      </c>
      <c r="AD28" s="86" t="s">
        <v>119</v>
      </c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V28" s="112"/>
      <c r="AW28" s="96"/>
      <c r="BA28" s="2">
        <f>BA26+12</f>
        <v>36</v>
      </c>
      <c r="BB28" s="7">
        <v>43636.875</v>
      </c>
      <c r="BC28" s="4" t="s">
        <v>143</v>
      </c>
      <c r="BD28" s="88" t="str">
        <f>BY23</f>
        <v>Portugal</v>
      </c>
      <c r="BE28" s="52" t="s">
        <v>21</v>
      </c>
      <c r="BF28" s="88" t="str">
        <f>BY24</f>
        <v>Frankreich</v>
      </c>
      <c r="BG28" s="86"/>
      <c r="BH28" s="111">
        <f ca="1" t="shared" si="10"/>
        <v>3</v>
      </c>
      <c r="BI28" s="12" t="s">
        <v>22</v>
      </c>
      <c r="BJ28" s="111">
        <f ca="1" t="shared" si="11"/>
        <v>1</v>
      </c>
      <c r="BK28" s="8" t="s">
        <v>23</v>
      </c>
      <c r="BM28" s="49" t="str">
        <f>IF(BN23&gt;0,BM23,"")</f>
        <v>Portugal</v>
      </c>
      <c r="BN28" s="2" t="s">
        <v>40</v>
      </c>
      <c r="BO28" s="35"/>
      <c r="BP28" s="36" t="s">
        <v>11</v>
      </c>
      <c r="BS28" s="93">
        <f>IF(BK25=$B$65,BJ25,0)</f>
        <v>2</v>
      </c>
      <c r="BT28" s="93">
        <f>IF(BK27=$B$65,BJ28,0)</f>
        <v>1</v>
      </c>
      <c r="BU28" s="92"/>
      <c r="BV28" s="93">
        <f>IF(BK24=$B$65,BH24,0)</f>
        <v>2</v>
      </c>
      <c r="CD28" s="2" t="s">
        <v>119</v>
      </c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V28" s="113"/>
    </row>
    <row r="29" spans="4:100" ht="12.75">
      <c r="D29" s="86"/>
      <c r="E29" s="86"/>
      <c r="F29" s="86"/>
      <c r="G29" s="86"/>
      <c r="M29" s="46" t="str">
        <f>IF(N24&gt;0,M24,"")</f>
        <v>Niederlande</v>
      </c>
      <c r="N29" s="2" t="s">
        <v>72</v>
      </c>
      <c r="S29" s="93">
        <f>IF(K28=$B$65,H27,0)</f>
        <v>1</v>
      </c>
      <c r="T29" s="93">
        <f>IF(K26=$B$65,J26,0)</f>
        <v>0</v>
      </c>
      <c r="U29" s="93">
        <f>IF(K24=$B$65,J24,0)</f>
        <v>2</v>
      </c>
      <c r="V29" s="92"/>
      <c r="AD29" s="86" t="s">
        <v>120</v>
      </c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V29" s="112"/>
      <c r="AW29" s="96"/>
      <c r="BD29" s="86"/>
      <c r="BE29" s="86"/>
      <c r="BF29" s="86"/>
      <c r="BG29" s="86"/>
      <c r="BM29" s="49" t="str">
        <f>IF(BN24&gt;0,BM24,"")</f>
        <v>Ungarn</v>
      </c>
      <c r="BN29" s="2" t="s">
        <v>73</v>
      </c>
      <c r="BS29" s="93">
        <f>IF(BK28=$B$65,BH27,0)</f>
        <v>3</v>
      </c>
      <c r="BT29" s="93">
        <f>IF(BK26=$B$65,BJ26,0)</f>
        <v>3</v>
      </c>
      <c r="BU29" s="93">
        <f>IF(BK24=$B$65,BJ24,0)</f>
        <v>4</v>
      </c>
      <c r="BV29" s="92"/>
      <c r="CD29" s="2" t="s">
        <v>120</v>
      </c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V29" s="113"/>
    </row>
    <row r="30" spans="4:100" ht="6" customHeight="1">
      <c r="D30" s="86"/>
      <c r="E30" s="89"/>
      <c r="F30" s="91"/>
      <c r="G30" s="91"/>
      <c r="H30" s="86"/>
      <c r="I30" s="86"/>
      <c r="J30" s="86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V30" s="112"/>
      <c r="AW30" s="96"/>
      <c r="BD30" s="86"/>
      <c r="BE30" s="89"/>
      <c r="BF30" s="91"/>
      <c r="BG30" s="91"/>
      <c r="BH30" s="86"/>
      <c r="BI30" s="86"/>
      <c r="BJ30" s="86"/>
      <c r="BS30" s="86"/>
      <c r="BT30" s="86"/>
      <c r="BU30" s="86"/>
      <c r="BV30" s="86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V30" s="113"/>
    </row>
    <row r="31" spans="2:95" ht="12.75" hidden="1">
      <c r="B31" s="41" t="s">
        <v>117</v>
      </c>
      <c r="C31" s="85" t="str">
        <f>CONCATENATE(D35,D36,D37,D38)</f>
        <v>ABEF</v>
      </c>
      <c r="AW31" s="96"/>
      <c r="BJ31"/>
      <c r="BK31"/>
      <c r="BL31"/>
      <c r="BM31"/>
      <c r="BN31"/>
      <c r="BO31"/>
      <c r="BP31"/>
      <c r="BQ31"/>
      <c r="BR31"/>
      <c r="BS31" s="80"/>
      <c r="BT31" s="80"/>
      <c r="BU31" s="80"/>
      <c r="CE31"/>
      <c r="CF31" s="80" t="s">
        <v>27</v>
      </c>
      <c r="CG31" s="80"/>
      <c r="CH31" s="80"/>
      <c r="CI31"/>
      <c r="CJ31" t="s">
        <v>30</v>
      </c>
      <c r="CK31"/>
      <c r="CL31"/>
      <c r="CM31" t="s">
        <v>36</v>
      </c>
      <c r="CN31"/>
      <c r="CO31"/>
      <c r="CP31"/>
      <c r="CQ31" t="s">
        <v>39</v>
      </c>
    </row>
    <row r="32" spans="13:97" ht="12.75" hidden="1">
      <c r="M32" s="43" t="s">
        <v>126</v>
      </c>
      <c r="AW32" s="96"/>
      <c r="BJ32"/>
      <c r="BK32"/>
      <c r="BL32"/>
      <c r="BM32"/>
      <c r="BN32"/>
      <c r="BO32"/>
      <c r="BP32"/>
      <c r="BQ32"/>
      <c r="BR32"/>
      <c r="BS32" s="102"/>
      <c r="BT32" s="102"/>
      <c r="BU32" s="102"/>
      <c r="CE32"/>
      <c r="CF32" s="80" t="s">
        <v>95</v>
      </c>
      <c r="CG32" s="80" t="s">
        <v>97</v>
      </c>
      <c r="CH32" s="80" t="s">
        <v>98</v>
      </c>
      <c r="CI32" t="s">
        <v>100</v>
      </c>
      <c r="CJ32" t="s">
        <v>97</v>
      </c>
      <c r="CK32" t="s">
        <v>98</v>
      </c>
      <c r="CL32" t="s">
        <v>100</v>
      </c>
      <c r="CM32" t="s">
        <v>95</v>
      </c>
      <c r="CN32" t="s">
        <v>99</v>
      </c>
      <c r="CO32" t="s">
        <v>96</v>
      </c>
      <c r="CP32" t="s">
        <v>97</v>
      </c>
      <c r="CQ32" t="s">
        <v>95</v>
      </c>
      <c r="CR32" s="2" t="s">
        <v>99</v>
      </c>
      <c r="CS32" s="2" t="s">
        <v>96</v>
      </c>
    </row>
    <row r="33" spans="4:98" ht="12.75" hidden="1">
      <c r="D33" s="26" t="s">
        <v>127</v>
      </c>
      <c r="F33" s="26" t="s">
        <v>128</v>
      </c>
      <c r="M33" s="43"/>
      <c r="AW33" s="96"/>
      <c r="BJ33"/>
      <c r="BK33"/>
      <c r="BL33"/>
      <c r="BM33"/>
      <c r="BN33"/>
      <c r="BO33"/>
      <c r="BP33"/>
      <c r="BQ33"/>
      <c r="BR33"/>
      <c r="BS33" s="102"/>
      <c r="BT33" s="102"/>
      <c r="BU33" s="102"/>
      <c r="CE33"/>
      <c r="CF33" s="103" t="s">
        <v>80</v>
      </c>
      <c r="CG33" s="103" t="s">
        <v>83</v>
      </c>
      <c r="CH33" s="103" t="s">
        <v>85</v>
      </c>
      <c r="CI33" s="104" t="s">
        <v>87</v>
      </c>
      <c r="CJ33" s="104" t="s">
        <v>80</v>
      </c>
      <c r="CK33" s="104" t="s">
        <v>81</v>
      </c>
      <c r="CL33" s="104" t="s">
        <v>82</v>
      </c>
      <c r="CM33" s="104" t="s">
        <v>83</v>
      </c>
      <c r="CN33" s="104" t="s">
        <v>80</v>
      </c>
      <c r="CO33" s="104" t="s">
        <v>86</v>
      </c>
      <c r="CP33" s="104" t="s">
        <v>89</v>
      </c>
      <c r="CQ33" s="104" t="s">
        <v>85</v>
      </c>
      <c r="CR33" s="104" t="s">
        <v>83</v>
      </c>
      <c r="CS33" s="104" t="s">
        <v>80</v>
      </c>
      <c r="CT33" s="103"/>
    </row>
    <row r="34" spans="1:100" s="11" customFormat="1" ht="12.75" hidden="1">
      <c r="A34" s="27"/>
      <c r="D34" s="18" t="s">
        <v>129</v>
      </c>
      <c r="F34" s="18" t="s">
        <v>95</v>
      </c>
      <c r="L34" s="18"/>
      <c r="M34" s="43" t="s">
        <v>3</v>
      </c>
      <c r="N34" s="18" t="s">
        <v>4</v>
      </c>
      <c r="O34" s="18" t="s">
        <v>5</v>
      </c>
      <c r="P34" s="18" t="s">
        <v>6</v>
      </c>
      <c r="Q34" s="18" t="s">
        <v>7</v>
      </c>
      <c r="R34" s="18" t="s">
        <v>8</v>
      </c>
      <c r="S34" s="91"/>
      <c r="T34" s="91" t="s">
        <v>96</v>
      </c>
      <c r="U34" s="91"/>
      <c r="V34" s="91"/>
      <c r="W34" s="91"/>
      <c r="X34" s="87" t="s">
        <v>121</v>
      </c>
      <c r="Y34" s="91" t="s">
        <v>117</v>
      </c>
      <c r="Z34" s="91"/>
      <c r="AA34" s="91"/>
      <c r="AB34" s="91"/>
      <c r="AC34" s="91"/>
      <c r="AD34" s="91"/>
      <c r="AE34" s="21" t="s">
        <v>10</v>
      </c>
      <c r="AF34" s="87" t="s">
        <v>8</v>
      </c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88" t="s">
        <v>18</v>
      </c>
      <c r="AW34" s="91"/>
      <c r="BJ34"/>
      <c r="BK34"/>
      <c r="BL34"/>
      <c r="BM34"/>
      <c r="BN34"/>
      <c r="BO34"/>
      <c r="BP34"/>
      <c r="BQ34"/>
      <c r="BR34"/>
      <c r="BS34" s="102"/>
      <c r="BT34" s="102"/>
      <c r="BU34" s="102"/>
      <c r="CE34"/>
      <c r="CF34" s="103" t="s">
        <v>81</v>
      </c>
      <c r="CG34" s="103" t="s">
        <v>84</v>
      </c>
      <c r="CH34" s="103" t="s">
        <v>86</v>
      </c>
      <c r="CI34" s="104" t="s">
        <v>91</v>
      </c>
      <c r="CJ34" s="104" t="s">
        <v>86</v>
      </c>
      <c r="CK34" s="104" t="s">
        <v>83</v>
      </c>
      <c r="CL34" s="104" t="s">
        <v>84</v>
      </c>
      <c r="CM34" s="104" t="s">
        <v>84</v>
      </c>
      <c r="CN34" s="104" t="s">
        <v>81</v>
      </c>
      <c r="CO34" s="104" t="s">
        <v>87</v>
      </c>
      <c r="CP34" s="104" t="s">
        <v>93</v>
      </c>
      <c r="CQ34" s="104" t="s">
        <v>86</v>
      </c>
      <c r="CR34" s="104" t="s">
        <v>84</v>
      </c>
      <c r="CS34" s="104" t="s">
        <v>81</v>
      </c>
      <c r="CV34" s="2"/>
    </row>
    <row r="35" spans="1:97" ht="12.75" hidden="1">
      <c r="A35" s="28"/>
      <c r="B35" s="41" t="str">
        <f>CONCATENATE("3",D35)</f>
        <v>3A</v>
      </c>
      <c r="C35" s="42" t="str">
        <f>IF(AND(N$35=0,N$36=0,N$37=0,N$38=0),"",VLOOKUP(1,$F$35:$M$43,8,FALSE))</f>
        <v>Wales</v>
      </c>
      <c r="D35" s="1" t="str">
        <f>IF(AND(N$35=0,N$36=0,N$37=0,N$38=0),"",VLOOKUP(1,$F$35:$M$38,7,FALSE))</f>
        <v>A</v>
      </c>
      <c r="F35" s="1">
        <f>RANK(T35,$T$35:$T$38)</f>
        <v>1</v>
      </c>
      <c r="I35" s="2"/>
      <c r="K35" s="10"/>
      <c r="L35" s="81" t="str">
        <f aca="true" t="shared" si="12" ref="L35:L40">MID(R35,2,1)</f>
        <v>A</v>
      </c>
      <c r="M35" s="82" t="str">
        <f>VLOOKUP(1,$X$35:$AC$40,2,FALSE)</f>
        <v>Wales</v>
      </c>
      <c r="N35" s="2">
        <f>VLOOKUP(1,$X$35:$AC$40,3,FALSE)</f>
        <v>3</v>
      </c>
      <c r="O35" s="2">
        <f>VLOOKUP(1,$X$35:$AC$40,4,FALSE)</f>
        <v>7</v>
      </c>
      <c r="P35" s="2">
        <f>VLOOKUP(1,$X$35:$AC$40,5,FALSE)</f>
        <v>6</v>
      </c>
      <c r="Q35" s="2">
        <f>VLOOKUP(1,$X$35:$AC$40,6,FALSE)</f>
        <v>1</v>
      </c>
      <c r="R35" s="15" t="str">
        <f>VLOOKUP(1,$X$35:$AF$40,9,FALSE)</f>
        <v>3A</v>
      </c>
      <c r="T35" s="86">
        <f>71-CODE(L35)</f>
        <v>6</v>
      </c>
      <c r="X35" s="94">
        <f aca="true" t="shared" si="13" ref="X35:X40">RANK(AD35,$AD$35:$AD$40)</f>
        <v>1</v>
      </c>
      <c r="Y35" s="105" t="str">
        <f>M4</f>
        <v>Wales</v>
      </c>
      <c r="Z35" s="86">
        <f>N4</f>
        <v>3</v>
      </c>
      <c r="AA35" s="86">
        <f>O4</f>
        <v>7</v>
      </c>
      <c r="AB35" s="86">
        <f>P4</f>
        <v>6</v>
      </c>
      <c r="AC35" s="86">
        <f>Q4</f>
        <v>1</v>
      </c>
      <c r="AD35" s="96">
        <f aca="true" t="shared" si="14" ref="AD35:AD40">AE35*10000000000000000+Z35*100000000000000+AC35*1000000000000+AA35*10000000000+AV35</f>
        <v>301070000000006</v>
      </c>
      <c r="AE35" s="97"/>
      <c r="AF35" s="86" t="str">
        <f>N9</f>
        <v>3A</v>
      </c>
      <c r="AV35" s="97">
        <v>6</v>
      </c>
      <c r="BJ35"/>
      <c r="BK35"/>
      <c r="BL35"/>
      <c r="BM35"/>
      <c r="BN35"/>
      <c r="BO35"/>
      <c r="BP35"/>
      <c r="BQ35"/>
      <c r="BR35"/>
      <c r="BS35" s="102"/>
      <c r="BT35" s="102"/>
      <c r="BU35" s="102"/>
      <c r="CE35"/>
      <c r="CF35" s="103" t="s">
        <v>82</v>
      </c>
      <c r="CG35" s="103"/>
      <c r="CH35" s="103" t="s">
        <v>88</v>
      </c>
      <c r="CI35" s="104" t="s">
        <v>92</v>
      </c>
      <c r="CJ35" s="104" t="s">
        <v>87</v>
      </c>
      <c r="CK35" s="104" t="s">
        <v>92</v>
      </c>
      <c r="CL35" s="104" t="s">
        <v>85</v>
      </c>
      <c r="CM35" s="104"/>
      <c r="CN35" s="104" t="s">
        <v>82</v>
      </c>
      <c r="CO35" s="104" t="s">
        <v>88</v>
      </c>
      <c r="CP35" s="104" t="s">
        <v>94</v>
      </c>
      <c r="CQ35" s="104" t="s">
        <v>87</v>
      </c>
      <c r="CR35" s="104" t="s">
        <v>91</v>
      </c>
      <c r="CS35" s="104" t="s">
        <v>82</v>
      </c>
    </row>
    <row r="36" spans="1:97" ht="12.75" hidden="1">
      <c r="A36" s="28"/>
      <c r="B36" s="41" t="str">
        <f>CONCATENATE("3",D36)</f>
        <v>3B</v>
      </c>
      <c r="C36" s="42" t="str">
        <f>IF(AND(N$35=0,N$36=0,N$37=0,N$38=0),"",VLOOKUP(2,$F$35:$M$43,8,FALSE))</f>
        <v>Finnland</v>
      </c>
      <c r="D36" s="1" t="str">
        <f>IF(AND(N$35=0,N$36=0,N$37=0,N$38=0),"",VLOOKUP(2,$F$35:$M$38,7,FALSE))</f>
        <v>B</v>
      </c>
      <c r="F36" s="1">
        <f>RANK(T36,$T$35:$T$38)</f>
        <v>2</v>
      </c>
      <c r="I36" s="2"/>
      <c r="K36" s="10"/>
      <c r="L36" s="81" t="str">
        <f t="shared" si="12"/>
        <v>B</v>
      </c>
      <c r="M36" s="82" t="str">
        <f>VLOOKUP(2,$X$35:$AC$40,2,FALSE)</f>
        <v>Finnland</v>
      </c>
      <c r="N36" s="2">
        <f>VLOOKUP(2,$X$35:$AC$40,3,FALSE)</f>
        <v>3</v>
      </c>
      <c r="O36" s="2">
        <f>VLOOKUP(2,$X$35:$AC$40,4,FALSE)</f>
        <v>6</v>
      </c>
      <c r="P36" s="2">
        <f>VLOOKUP(2,$X$35:$AC$40,5,FALSE)</f>
        <v>6</v>
      </c>
      <c r="Q36" s="2">
        <f>VLOOKUP(2,$X$35:$AC$40,6,FALSE)</f>
        <v>0</v>
      </c>
      <c r="R36" s="15" t="str">
        <f>VLOOKUP(2,$X$35:$AF$40,9,FALSE)</f>
        <v>3B</v>
      </c>
      <c r="T36" s="86">
        <f>71-CODE(L36)</f>
        <v>5</v>
      </c>
      <c r="X36" s="94">
        <f t="shared" si="13"/>
        <v>2</v>
      </c>
      <c r="Y36" s="105" t="str">
        <f>M14</f>
        <v>Finnland</v>
      </c>
      <c r="Z36" s="86">
        <f>N14</f>
        <v>3</v>
      </c>
      <c r="AA36" s="86">
        <f>O14</f>
        <v>6</v>
      </c>
      <c r="AB36" s="86">
        <f>P14</f>
        <v>6</v>
      </c>
      <c r="AC36" s="86">
        <f>Q14</f>
        <v>0</v>
      </c>
      <c r="AD36" s="96">
        <f t="shared" si="14"/>
        <v>300060000000005</v>
      </c>
      <c r="AE36" s="97"/>
      <c r="AF36" s="86" t="str">
        <f>N19</f>
        <v>3B</v>
      </c>
      <c r="AV36" s="97">
        <v>5</v>
      </c>
      <c r="BJ36"/>
      <c r="BK36"/>
      <c r="BL36"/>
      <c r="BM36"/>
      <c r="BN36"/>
      <c r="BO36"/>
      <c r="BP36"/>
      <c r="BQ36"/>
      <c r="BR36"/>
      <c r="BS36" s="102"/>
      <c r="BT36" s="102"/>
      <c r="BU36" s="102"/>
      <c r="CE36"/>
      <c r="CF36" s="103"/>
      <c r="CG36" s="103"/>
      <c r="CH36" s="103" t="s">
        <v>89</v>
      </c>
      <c r="CI36" s="104" t="s">
        <v>93</v>
      </c>
      <c r="CJ36" s="104" t="s">
        <v>90</v>
      </c>
      <c r="CK36" s="104" t="s">
        <v>93</v>
      </c>
      <c r="CL36" s="104" t="s">
        <v>88</v>
      </c>
      <c r="CM36" s="104"/>
      <c r="CN36" s="104" t="s">
        <v>85</v>
      </c>
      <c r="CO36" s="104" t="s">
        <v>91</v>
      </c>
      <c r="CP36" s="104"/>
      <c r="CQ36" s="104" t="s">
        <v>88</v>
      </c>
      <c r="CR36" s="104" t="s">
        <v>92</v>
      </c>
      <c r="CS36" s="104" t="s">
        <v>90</v>
      </c>
    </row>
    <row r="37" spans="1:97" ht="12.75" hidden="1">
      <c r="A37" s="28"/>
      <c r="B37" s="41" t="str">
        <f>CONCATENATE("3",D37)</f>
        <v>3E</v>
      </c>
      <c r="C37" s="42" t="str">
        <f>IF(AND(N$35=0,N$36=0,N$37=0,N$38=0),"",VLOOKUP(3,$F$35:$M$43,8,FALSE))</f>
        <v>Irland</v>
      </c>
      <c r="D37" s="1" t="str">
        <f>IF(AND(N$35=0,N$36=0,N$37=0,N$38=0),"",VLOOKUP(3,$F$35:$M$38,7,FALSE))</f>
        <v>E</v>
      </c>
      <c r="F37" s="1">
        <f>RANK(T37,$T$35:$T$38)</f>
        <v>4</v>
      </c>
      <c r="I37" s="2"/>
      <c r="K37" s="10"/>
      <c r="L37" s="81" t="str">
        <f t="shared" si="12"/>
        <v>F</v>
      </c>
      <c r="M37" s="82" t="str">
        <f>VLOOKUP(3,$X$35:$AC$40,2,FALSE)</f>
        <v>Ungarn</v>
      </c>
      <c r="N37" s="2">
        <f>VLOOKUP(3,$X$35:$AC$40,3,FALSE)</f>
        <v>3</v>
      </c>
      <c r="O37" s="2">
        <f>VLOOKUP(3,$X$35:$AC$40,4,FALSE)</f>
        <v>7</v>
      </c>
      <c r="P37" s="2">
        <f>VLOOKUP(3,$X$35:$AC$40,5,FALSE)</f>
        <v>8</v>
      </c>
      <c r="Q37" s="2">
        <f>VLOOKUP(3,$X$35:$AC$40,6,FALSE)</f>
        <v>-1</v>
      </c>
      <c r="R37" s="15" t="str">
        <f>VLOOKUP(3,$X$35:$AF$40,9,FALSE)</f>
        <v>3F</v>
      </c>
      <c r="T37" s="86">
        <f>71-CODE(L37)</f>
        <v>1</v>
      </c>
      <c r="X37" s="94">
        <f t="shared" si="13"/>
        <v>6</v>
      </c>
      <c r="Y37" s="105" t="str">
        <f>M24</f>
        <v>Niederlande</v>
      </c>
      <c r="Z37" s="86">
        <f>N24</f>
        <v>3</v>
      </c>
      <c r="AA37" s="86">
        <f>O24</f>
        <v>4</v>
      </c>
      <c r="AB37" s="86">
        <f>P24</f>
        <v>9</v>
      </c>
      <c r="AC37" s="86">
        <f>Q24</f>
        <v>-5</v>
      </c>
      <c r="AD37" s="96">
        <f t="shared" si="14"/>
        <v>295040000000004</v>
      </c>
      <c r="AE37" s="97"/>
      <c r="AF37" s="86" t="str">
        <f>N29</f>
        <v>3C</v>
      </c>
      <c r="AV37" s="97">
        <v>4</v>
      </c>
      <c r="BJ37"/>
      <c r="BK37"/>
      <c r="BL37"/>
      <c r="BM37"/>
      <c r="BN37"/>
      <c r="BO37"/>
      <c r="BP37"/>
      <c r="BQ37"/>
      <c r="BR37"/>
      <c r="BS37" s="102"/>
      <c r="BT37" s="102"/>
      <c r="BU37" s="102"/>
      <c r="CE37"/>
      <c r="CF37" s="103"/>
      <c r="CG37" s="103"/>
      <c r="CH37" s="103" t="s">
        <v>90</v>
      </c>
      <c r="CI37" s="104" t="s">
        <v>94</v>
      </c>
      <c r="CJ37" s="104" t="s">
        <v>91</v>
      </c>
      <c r="CK37" s="104" t="s">
        <v>94</v>
      </c>
      <c r="CL37" s="104" t="s">
        <v>89</v>
      </c>
      <c r="CM37" s="104"/>
      <c r="CN37" s="104" t="s">
        <v>90</v>
      </c>
      <c r="CO37" s="104" t="s">
        <v>92</v>
      </c>
      <c r="CP37" s="104"/>
      <c r="CQ37" s="104" t="s">
        <v>89</v>
      </c>
      <c r="CR37" s="104" t="s">
        <v>93</v>
      </c>
      <c r="CS37" s="104" t="s">
        <v>94</v>
      </c>
    </row>
    <row r="38" spans="1:95" ht="12.75" hidden="1">
      <c r="A38" s="28"/>
      <c r="B38" s="41" t="str">
        <f>CONCATENATE("3",D38)</f>
        <v>3F</v>
      </c>
      <c r="C38" s="42" t="str">
        <f>IF(AND(N$35=0,N$36=0,N$37=0,N$38=0),"",VLOOKUP(4,$F$35:$M$43,8,FALSE))</f>
        <v>Ungarn</v>
      </c>
      <c r="D38" s="1" t="str">
        <f>IF(AND(N$35=0,N$36=0,N$37=0,N$38=0),"",VLOOKUP(4,$F$35:$M$38,7,FALSE))</f>
        <v>F</v>
      </c>
      <c r="F38" s="1">
        <f>RANK(T38,$T$35:$T$38)</f>
        <v>3</v>
      </c>
      <c r="I38" s="2"/>
      <c r="K38" s="10"/>
      <c r="L38" s="81" t="str">
        <f t="shared" si="12"/>
        <v>E</v>
      </c>
      <c r="M38" s="82" t="str">
        <f>VLOOKUP(4,$X$35:$AC$40,2,FALSE)</f>
        <v>Irland</v>
      </c>
      <c r="N38" s="2">
        <f>VLOOKUP(4,$X$35:$AC$40,3,FALSE)</f>
        <v>3</v>
      </c>
      <c r="O38" s="2">
        <f>VLOOKUP(4,$X$35:$AC$40,4,FALSE)</f>
        <v>7</v>
      </c>
      <c r="P38" s="2">
        <f>VLOOKUP(4,$X$35:$AC$40,5,FALSE)</f>
        <v>9</v>
      </c>
      <c r="Q38" s="2">
        <f>VLOOKUP(4,$X$35:$AC$40,6,FALSE)</f>
        <v>-2</v>
      </c>
      <c r="R38" s="15" t="str">
        <f>VLOOKUP(4,$X$35:$AF$40,9,FALSE)</f>
        <v>3E</v>
      </c>
      <c r="T38" s="86">
        <f>71-CODE(L38)</f>
        <v>2</v>
      </c>
      <c r="X38" s="94">
        <f t="shared" si="13"/>
        <v>5</v>
      </c>
      <c r="Y38" s="105" t="str">
        <f>BM4</f>
        <v>Tschechien</v>
      </c>
      <c r="Z38" s="86">
        <f>BN4</f>
        <v>3</v>
      </c>
      <c r="AA38" s="86">
        <f>BO4</f>
        <v>7</v>
      </c>
      <c r="AB38" s="86">
        <f>BP4</f>
        <v>10</v>
      </c>
      <c r="AC38" s="86">
        <f>BQ4</f>
        <v>-3</v>
      </c>
      <c r="AD38" s="96">
        <f t="shared" si="14"/>
        <v>297070000000003</v>
      </c>
      <c r="AE38" s="97"/>
      <c r="AF38" s="86" t="str">
        <f>BN9</f>
        <v>3D</v>
      </c>
      <c r="AV38" s="97">
        <v>3</v>
      </c>
      <c r="BJ38"/>
      <c r="BK38"/>
      <c r="BL38"/>
      <c r="BM38"/>
      <c r="BN38"/>
      <c r="BO38"/>
      <c r="BP38"/>
      <c r="BQ38"/>
      <c r="BR38"/>
      <c r="BS38" s="102"/>
      <c r="BT38" s="102"/>
      <c r="BU38" s="102"/>
      <c r="CE38"/>
      <c r="CF38" s="103"/>
      <c r="CG38" s="103"/>
      <c r="CH38" s="103"/>
      <c r="CI38" s="104"/>
      <c r="CJ38" s="104"/>
      <c r="CK38" s="104"/>
      <c r="CL38" s="104"/>
      <c r="CM38" s="104"/>
      <c r="CN38" s="104"/>
      <c r="CO38" s="104"/>
      <c r="CP38" s="104"/>
      <c r="CQ38" s="104"/>
    </row>
    <row r="39" spans="1:95" ht="12.75" hidden="1">
      <c r="A39" s="28"/>
      <c r="H39" s="2"/>
      <c r="I39" s="2"/>
      <c r="K39" s="10"/>
      <c r="L39" s="1" t="str">
        <f t="shared" si="12"/>
        <v>D</v>
      </c>
      <c r="M39" s="10" t="str">
        <f>VLOOKUP(5,$X$35:$AC$40,2,FALSE)</f>
        <v>Tschechien</v>
      </c>
      <c r="N39" s="2">
        <f>VLOOKUP(5,$X$35:$AC$40,3,FALSE)</f>
        <v>3</v>
      </c>
      <c r="O39" s="2">
        <f>VLOOKUP(5,$X$35:$AC$40,4,FALSE)</f>
        <v>7</v>
      </c>
      <c r="P39" s="2">
        <f>VLOOKUP(5,$X$35:$AC$40,5,FALSE)</f>
        <v>10</v>
      </c>
      <c r="Q39" s="2">
        <f>VLOOKUP(5,$X$35:$AC$40,6,FALSE)</f>
        <v>-3</v>
      </c>
      <c r="R39" s="15" t="str">
        <f>VLOOKUP(5,$X$35:$AF$40,9,FALSE)</f>
        <v>3D</v>
      </c>
      <c r="X39" s="94">
        <f t="shared" si="13"/>
        <v>4</v>
      </c>
      <c r="Y39" s="105" t="str">
        <f>BM14</f>
        <v>Irland</v>
      </c>
      <c r="Z39" s="86">
        <f>BN14</f>
        <v>3</v>
      </c>
      <c r="AA39" s="86">
        <f>BO14</f>
        <v>7</v>
      </c>
      <c r="AB39" s="86">
        <f>BP14</f>
        <v>9</v>
      </c>
      <c r="AC39" s="86">
        <f>BQ14</f>
        <v>-2</v>
      </c>
      <c r="AD39" s="96">
        <f t="shared" si="14"/>
        <v>298070000000002</v>
      </c>
      <c r="AE39" s="97"/>
      <c r="AF39" s="86" t="str">
        <f>BN19</f>
        <v>3E</v>
      </c>
      <c r="AV39" s="97">
        <v>2</v>
      </c>
      <c r="BJ39"/>
      <c r="BK39"/>
      <c r="BL39"/>
      <c r="BM39"/>
      <c r="BN39"/>
      <c r="BO39"/>
      <c r="BP39"/>
      <c r="BQ39"/>
      <c r="BR39"/>
      <c r="BS39" s="102"/>
      <c r="BT39" s="102"/>
      <c r="BU39" s="102"/>
      <c r="CE39"/>
      <c r="CF39" s="103"/>
      <c r="CG39" s="103"/>
      <c r="CH39" s="103"/>
      <c r="CI39" s="104"/>
      <c r="CJ39" s="104"/>
      <c r="CK39" s="104"/>
      <c r="CL39" s="104"/>
      <c r="CM39" s="104"/>
      <c r="CN39" s="104"/>
      <c r="CO39" s="104"/>
      <c r="CP39" s="104"/>
      <c r="CQ39" s="104"/>
    </row>
    <row r="40" spans="1:95" ht="12.75" hidden="1">
      <c r="A40" s="28"/>
      <c r="H40" s="2"/>
      <c r="I40" s="2"/>
      <c r="K40" s="10"/>
      <c r="L40" s="1" t="str">
        <f t="shared" si="12"/>
        <v>C</v>
      </c>
      <c r="M40" s="10" t="str">
        <f>VLOOKUP(6,$X$35:$AC$40,2,FALSE)</f>
        <v>Niederlande</v>
      </c>
      <c r="N40" s="2">
        <f>VLOOKUP(6,$X$35:$AC$40,3,FALSE)</f>
        <v>3</v>
      </c>
      <c r="O40" s="2">
        <f>VLOOKUP(6,$X$35:$AC$40,4,FALSE)</f>
        <v>4</v>
      </c>
      <c r="P40" s="2">
        <f>VLOOKUP(6,$X$35:$AC$40,5,FALSE)</f>
        <v>9</v>
      </c>
      <c r="Q40" s="2">
        <f>VLOOKUP(6,$X$35:$AC$40,6,FALSE)</f>
        <v>-5</v>
      </c>
      <c r="R40" s="15" t="str">
        <f>VLOOKUP(6,$X$35:$AF$40,9,FALSE)</f>
        <v>3C</v>
      </c>
      <c r="X40" s="94">
        <f t="shared" si="13"/>
        <v>3</v>
      </c>
      <c r="Y40" s="105" t="str">
        <f>BM24</f>
        <v>Ungarn</v>
      </c>
      <c r="Z40" s="86">
        <f>BN24</f>
        <v>3</v>
      </c>
      <c r="AA40" s="86">
        <f>BO24</f>
        <v>7</v>
      </c>
      <c r="AB40" s="86">
        <f>BP24</f>
        <v>8</v>
      </c>
      <c r="AC40" s="86">
        <f>BQ24</f>
        <v>-1</v>
      </c>
      <c r="AD40" s="96">
        <f t="shared" si="14"/>
        <v>299070000000001</v>
      </c>
      <c r="AE40" s="97"/>
      <c r="AF40" s="86" t="str">
        <f>BN29</f>
        <v>3F</v>
      </c>
      <c r="AV40" s="97">
        <v>1</v>
      </c>
      <c r="BJ40"/>
      <c r="BK40"/>
      <c r="BL40"/>
      <c r="BM40"/>
      <c r="BN40"/>
      <c r="BO40"/>
      <c r="BP40"/>
      <c r="BQ40"/>
      <c r="BR40"/>
      <c r="BS40" s="102"/>
      <c r="BT40" s="102"/>
      <c r="BU40" s="102"/>
      <c r="CE40"/>
      <c r="CF40" s="103"/>
      <c r="CG40" s="103"/>
      <c r="CH40" s="103"/>
      <c r="CI40" s="104"/>
      <c r="CJ40" s="104"/>
      <c r="CK40" s="104"/>
      <c r="CL40" s="104"/>
      <c r="CM40" s="104"/>
      <c r="CN40" s="104"/>
      <c r="CO40" s="104"/>
      <c r="CP40" s="104"/>
      <c r="CQ40" s="104"/>
    </row>
    <row r="41" spans="1:95" ht="12.75" hidden="1">
      <c r="A41" s="28"/>
      <c r="H41" s="2"/>
      <c r="I41" s="2"/>
      <c r="J41" s="1"/>
      <c r="K41" s="2"/>
      <c r="M41" s="2"/>
      <c r="AE41" s="86"/>
      <c r="BJ41"/>
      <c r="BK41"/>
      <c r="BL41"/>
      <c r="BM41"/>
      <c r="BN41"/>
      <c r="BO41"/>
      <c r="BP41"/>
      <c r="BQ41"/>
      <c r="BR41"/>
      <c r="BS41" s="102"/>
      <c r="BT41" s="102"/>
      <c r="BU41" s="102"/>
      <c r="CE41"/>
      <c r="CF41" s="103"/>
      <c r="CG41" s="103"/>
      <c r="CH41" s="103"/>
      <c r="CI41" s="104"/>
      <c r="CJ41" s="104"/>
      <c r="CK41" s="104"/>
      <c r="CL41" s="104"/>
      <c r="CM41" s="104"/>
      <c r="CN41" s="104"/>
      <c r="CO41" s="104"/>
      <c r="CP41" s="104"/>
      <c r="CQ41" s="104"/>
    </row>
    <row r="42" spans="1:100" ht="12.75" hidden="1">
      <c r="A42" s="28"/>
      <c r="H42" s="2"/>
      <c r="I42" s="2"/>
      <c r="J42" s="1"/>
      <c r="K42" s="2"/>
      <c r="M42" s="2"/>
      <c r="AD42" s="86" t="s">
        <v>118</v>
      </c>
      <c r="AE42" s="86"/>
      <c r="BJ42"/>
      <c r="BK42"/>
      <c r="BL42"/>
      <c r="BM42"/>
      <c r="BN42"/>
      <c r="BO42"/>
      <c r="BP42"/>
      <c r="BQ42"/>
      <c r="BR42"/>
      <c r="BS42" s="102"/>
      <c r="BT42" s="102"/>
      <c r="BU42" s="102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</row>
    <row r="43" spans="1:84" ht="12.75" customHeight="1" hidden="1">
      <c r="A43" s="28"/>
      <c r="H43" s="2"/>
      <c r="I43" s="2"/>
      <c r="J43" s="1"/>
      <c r="K43" s="2"/>
      <c r="M43" s="2"/>
      <c r="AD43" s="86" t="s">
        <v>120</v>
      </c>
      <c r="AE43" s="86"/>
      <c r="AX43" s="80"/>
      <c r="AY43" s="80"/>
      <c r="AZ43" s="80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3:84" ht="3.75" customHeight="1">
      <c r="C44" s="3"/>
      <c r="E44" s="3"/>
      <c r="F44" s="3"/>
      <c r="H44" s="12"/>
      <c r="I44" s="13"/>
      <c r="J44" s="12"/>
      <c r="AD44" s="98"/>
      <c r="AX44" s="80"/>
      <c r="AY44" s="80"/>
      <c r="AZ44" s="80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3:84" ht="3.75" customHeight="1">
      <c r="C45" s="3"/>
      <c r="E45" s="3"/>
      <c r="F45" s="3"/>
      <c r="H45" s="12"/>
      <c r="I45" s="13"/>
      <c r="J45" s="12"/>
      <c r="AD45" s="98"/>
      <c r="AX45" s="80"/>
      <c r="AY45" s="80"/>
      <c r="AZ45" s="80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3:84" ht="3.75" customHeight="1">
      <c r="C46" s="3"/>
      <c r="E46" s="3"/>
      <c r="F46" s="3"/>
      <c r="H46" s="12"/>
      <c r="I46" s="13"/>
      <c r="J46" s="12"/>
      <c r="AD46" s="98"/>
      <c r="AX46" s="80"/>
      <c r="AY46" s="80"/>
      <c r="AZ46" s="80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:104" s="11" customFormat="1" ht="12.75">
      <c r="B47" s="18" t="s">
        <v>41</v>
      </c>
      <c r="C47" s="24"/>
      <c r="D47" s="18"/>
      <c r="E47" s="15"/>
      <c r="F47" s="18"/>
      <c r="G47" s="18"/>
      <c r="H47" s="22"/>
      <c r="I47" s="21"/>
      <c r="J47" s="22"/>
      <c r="K47" s="50"/>
      <c r="L47" s="18"/>
      <c r="M47" s="24"/>
      <c r="N47" s="18"/>
      <c r="O47" s="18"/>
      <c r="P47" s="18"/>
      <c r="Q47" s="18"/>
      <c r="R47" s="18"/>
      <c r="S47" s="87"/>
      <c r="T47" s="87"/>
      <c r="U47" s="87"/>
      <c r="V47" s="87"/>
      <c r="W47" s="87"/>
      <c r="X47" s="87"/>
      <c r="Y47" s="88"/>
      <c r="Z47" s="87"/>
      <c r="AA47" s="87"/>
      <c r="AB47" s="87"/>
      <c r="AC47" s="87"/>
      <c r="AD47" s="106"/>
      <c r="AE47" s="21"/>
      <c r="AF47" s="87"/>
      <c r="AG47" s="87"/>
      <c r="AH47" s="87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80"/>
      <c r="AY47" s="80"/>
      <c r="AZ47" s="80"/>
      <c r="BA47" s="2"/>
      <c r="BB47" s="51" t="s">
        <v>50</v>
      </c>
      <c r="BC47" s="24"/>
      <c r="BD47" s="15"/>
      <c r="BE47" s="15"/>
      <c r="BF47" s="15"/>
      <c r="BG47" s="18"/>
      <c r="BH47" s="22"/>
      <c r="BI47" s="21"/>
      <c r="BJ47" s="22"/>
      <c r="BK47" s="50"/>
      <c r="BL47" s="18"/>
      <c r="BM47" s="24"/>
      <c r="BN47" s="18"/>
      <c r="BO47" s="18"/>
      <c r="BP47" s="18"/>
      <c r="BQ47" s="1"/>
      <c r="BR47" s="1"/>
      <c r="BS47" s="94"/>
      <c r="BT47" s="94"/>
      <c r="BU47" s="94"/>
      <c r="BV47" s="94"/>
      <c r="BW47" s="94"/>
      <c r="BX47" s="94"/>
      <c r="BY47" s="95"/>
      <c r="BZ47" s="94"/>
      <c r="CA47" s="94"/>
      <c r="CB47" s="94"/>
      <c r="CC47" s="94"/>
      <c r="CD47" s="94"/>
      <c r="CE47" s="98"/>
      <c r="CF47" s="99"/>
      <c r="CG47" s="94"/>
      <c r="CH47" s="94"/>
      <c r="CI47" s="86"/>
      <c r="CJ47" s="86"/>
      <c r="CK47" s="86"/>
      <c r="CL47" s="86"/>
      <c r="CM47" s="86"/>
      <c r="CN47" s="86"/>
      <c r="CO47" s="94"/>
      <c r="CP47" s="86"/>
      <c r="CQ47" s="86"/>
      <c r="CR47" s="86"/>
      <c r="CS47" s="86"/>
      <c r="CT47" s="86"/>
      <c r="CU47" s="86"/>
      <c r="CV47" s="86"/>
      <c r="CW47" s="86"/>
      <c r="CX47" s="80"/>
      <c r="CY47" s="80"/>
      <c r="CZ47" s="80"/>
    </row>
    <row r="48" spans="2:104" ht="12.75">
      <c r="B48" s="3" t="s">
        <v>19</v>
      </c>
      <c r="C48" s="3" t="s">
        <v>20</v>
      </c>
      <c r="D48" s="18"/>
      <c r="E48" s="15"/>
      <c r="F48" s="18"/>
      <c r="G48" s="18"/>
      <c r="H48" s="22"/>
      <c r="I48" s="12"/>
      <c r="J48" s="22"/>
      <c r="K48" s="50"/>
      <c r="L48" s="1"/>
      <c r="M48" s="3"/>
      <c r="N48" s="1"/>
      <c r="O48" s="1"/>
      <c r="P48" s="1"/>
      <c r="Q48" s="1"/>
      <c r="V48" s="94"/>
      <c r="W48" s="94"/>
      <c r="Y48" s="3" t="s">
        <v>122</v>
      </c>
      <c r="Z48" s="94"/>
      <c r="AB48" s="94" t="s">
        <v>95</v>
      </c>
      <c r="AC48" s="94"/>
      <c r="AD48" s="98"/>
      <c r="AE48" s="21" t="s">
        <v>123</v>
      </c>
      <c r="AF48" s="94"/>
      <c r="AG48" s="94"/>
      <c r="AH48" s="94"/>
      <c r="AX48" s="80"/>
      <c r="AY48" s="80"/>
      <c r="AZ48" s="80"/>
      <c r="BB48" s="3" t="s">
        <v>19</v>
      </c>
      <c r="BC48" s="3" t="s">
        <v>20</v>
      </c>
      <c r="BD48" s="15"/>
      <c r="BE48" s="15"/>
      <c r="BF48" s="15"/>
      <c r="BG48" s="18"/>
      <c r="BH48" s="22"/>
      <c r="BI48" s="12"/>
      <c r="BJ48" s="68"/>
      <c r="BK48" s="50"/>
      <c r="BL48" s="1"/>
      <c r="BM48" s="3"/>
      <c r="BN48" s="1"/>
      <c r="BO48" s="1"/>
      <c r="BP48" s="1"/>
      <c r="BQ48" s="1"/>
      <c r="BR48" s="1"/>
      <c r="BS48" s="94"/>
      <c r="BT48" s="94"/>
      <c r="BU48" s="94"/>
      <c r="BV48" s="94"/>
      <c r="BW48" s="94"/>
      <c r="BX48" s="94"/>
      <c r="BY48" s="95"/>
      <c r="BZ48" s="94"/>
      <c r="CA48" s="94"/>
      <c r="CB48" s="94"/>
      <c r="CC48" s="94"/>
      <c r="CD48" s="94"/>
      <c r="CE48" s="98"/>
      <c r="CF48" s="99"/>
      <c r="CG48" s="94"/>
      <c r="CH48" s="94"/>
      <c r="CI48" s="86"/>
      <c r="CJ48" s="86"/>
      <c r="CK48" s="86"/>
      <c r="CL48" s="86"/>
      <c r="CM48" s="86"/>
      <c r="CN48" s="86"/>
      <c r="CO48" s="94"/>
      <c r="CP48" s="86"/>
      <c r="CQ48" s="86"/>
      <c r="CR48" s="86"/>
      <c r="CS48" s="86"/>
      <c r="CT48" s="86"/>
      <c r="CU48" s="86"/>
      <c r="CV48" s="86"/>
      <c r="CW48" s="86"/>
      <c r="CX48" s="80"/>
      <c r="CY48" s="80"/>
      <c r="CZ48" s="80"/>
    </row>
    <row r="49" spans="1:104" ht="12.75">
      <c r="A49" s="2">
        <v>37</v>
      </c>
      <c r="B49" s="7">
        <v>44009.875</v>
      </c>
      <c r="C49" s="4" t="s">
        <v>139</v>
      </c>
      <c r="D49" s="30" t="str">
        <f>M7</f>
        <v>Türkei</v>
      </c>
      <c r="E49" s="16" t="s">
        <v>21</v>
      </c>
      <c r="F49" s="46" t="str">
        <f>M28</f>
        <v>Österreich</v>
      </c>
      <c r="G49" s="18"/>
      <c r="H49" s="110">
        <f aca="true" ca="1" t="shared" si="15" ref="H49:H56">IF($B$66="",1,IF(OR(J49&lt;1,INT(RAND()*10&lt;6)),J49+1,J49-1))</f>
        <v>1</v>
      </c>
      <c r="I49" s="12" t="s">
        <v>22</v>
      </c>
      <c r="J49" s="110">
        <f aca="true" ca="1" t="shared" si="16" ref="J49:J56">IF($B$66="",0,INT(RAND()*5)+INT(RAND()*3)*INT(RAND()*2))</f>
        <v>2</v>
      </c>
      <c r="K49" s="8" t="s">
        <v>23</v>
      </c>
      <c r="L49" s="1"/>
      <c r="M49" s="70" t="str">
        <f aca="true" t="shared" si="17" ref="M49:M56">IF(J49="","",IF(J49=H49,"falsch!!! K.Remis",IF(H49&gt;J49,D49,F49)))</f>
        <v>Österreich</v>
      </c>
      <c r="N49" s="1" t="str">
        <f>N7</f>
        <v>1A</v>
      </c>
      <c r="O49" s="1" t="str">
        <f>N28</f>
        <v>2C</v>
      </c>
      <c r="P49" s="1" t="s">
        <v>42</v>
      </c>
      <c r="Q49" s="1"/>
      <c r="V49" s="94"/>
      <c r="W49" s="94"/>
      <c r="Y49" s="1"/>
      <c r="Z49" s="94"/>
      <c r="AB49" s="94"/>
      <c r="AC49" s="80"/>
      <c r="AD49" s="80"/>
      <c r="AE49" s="97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X49" s="80"/>
      <c r="AY49" s="80"/>
      <c r="AZ49" s="80"/>
      <c r="BA49" s="2">
        <f>A56+1</f>
        <v>45</v>
      </c>
      <c r="BB49" s="7">
        <v>44015.875</v>
      </c>
      <c r="BC49" s="114" t="s">
        <v>136</v>
      </c>
      <c r="BD49" s="71" t="str">
        <f>M49</f>
        <v>Österreich</v>
      </c>
      <c r="BE49" s="16" t="s">
        <v>21</v>
      </c>
      <c r="BF49" s="71" t="str">
        <f>M50</f>
        <v>Belgien</v>
      </c>
      <c r="BG49" s="15"/>
      <c r="BH49" s="110">
        <f ca="1">IF($B$66="",1,IF(OR(BJ49&lt;1,INT(RAND()*10&lt;6)),BJ49+1,BJ49-1))</f>
        <v>3</v>
      </c>
      <c r="BI49" s="12" t="s">
        <v>22</v>
      </c>
      <c r="BJ49" s="110">
        <f ca="1">IF($B$66="",0,INT(RAND()*5)+INT(RAND()*3)*INT(RAND()*2))</f>
        <v>2</v>
      </c>
      <c r="BK49" s="8" t="s">
        <v>23</v>
      </c>
      <c r="BL49" s="1"/>
      <c r="BM49" s="72" t="str">
        <f>IF(BJ49="","",IF(BJ49=BH49,"falsch!!! K.Remis",IF(BH49&gt;BJ49,BD49,BF49)))</f>
        <v>Österreich</v>
      </c>
      <c r="BN49" s="1" t="str">
        <f>P49</f>
        <v>AF1</v>
      </c>
      <c r="BO49" s="1" t="str">
        <f>P50</f>
        <v>AF2</v>
      </c>
      <c r="BP49" s="2" t="s">
        <v>52</v>
      </c>
      <c r="BQ49" s="1"/>
      <c r="BR49" s="1"/>
      <c r="BS49" s="94"/>
      <c r="BT49" s="94"/>
      <c r="BU49" s="94"/>
      <c r="BV49" s="94"/>
      <c r="BW49" s="94"/>
      <c r="BX49" s="94"/>
      <c r="BY49" s="95"/>
      <c r="BZ49" s="94"/>
      <c r="CA49" s="94"/>
      <c r="CB49" s="94"/>
      <c r="CC49" s="94"/>
      <c r="CD49" s="94"/>
      <c r="CE49" s="98"/>
      <c r="CF49" s="99"/>
      <c r="CG49" s="94"/>
      <c r="CH49" s="94"/>
      <c r="CI49" s="86"/>
      <c r="CJ49" s="86"/>
      <c r="CK49" s="86"/>
      <c r="CL49" s="86"/>
      <c r="CM49" s="86"/>
      <c r="CN49" s="86"/>
      <c r="CO49" s="94"/>
      <c r="CP49" s="86"/>
      <c r="CQ49" s="86"/>
      <c r="CR49" s="86"/>
      <c r="CS49" s="86"/>
      <c r="CT49" s="86"/>
      <c r="CU49" s="86"/>
      <c r="CV49" s="86"/>
      <c r="CW49" s="86"/>
      <c r="CX49" s="80"/>
      <c r="CY49" s="80"/>
      <c r="CZ49" s="80"/>
    </row>
    <row r="50" spans="1:104" ht="12.75">
      <c r="A50" s="2">
        <f>A49+1</f>
        <v>38</v>
      </c>
      <c r="B50" s="7">
        <v>44010.875</v>
      </c>
      <c r="C50" s="4" t="s">
        <v>140</v>
      </c>
      <c r="D50" s="45" t="str">
        <f>M17</f>
        <v>Belgien</v>
      </c>
      <c r="E50" s="16" t="s">
        <v>21</v>
      </c>
      <c r="F50" s="42" t="str">
        <f>VLOOKUP(O50,$B$35:$C$38,2,TRUE)</f>
        <v>Irland</v>
      </c>
      <c r="G50" s="18"/>
      <c r="H50" s="111">
        <f ca="1" t="shared" si="15"/>
        <v>4</v>
      </c>
      <c r="I50" s="12" t="s">
        <v>22</v>
      </c>
      <c r="J50" s="111">
        <f ca="1" t="shared" si="16"/>
        <v>3</v>
      </c>
      <c r="K50" s="8" t="s">
        <v>23</v>
      </c>
      <c r="L50" s="1"/>
      <c r="M50" s="70" t="str">
        <f t="shared" si="17"/>
        <v>Belgien</v>
      </c>
      <c r="N50" s="1" t="str">
        <f>N17</f>
        <v>1B</v>
      </c>
      <c r="O50" s="1" t="str">
        <f>IF(AE50="",CONCATENATE("3",AB50),CONCATENATE("3",AE50))</f>
        <v>3E</v>
      </c>
      <c r="P50" s="1" t="s">
        <v>43</v>
      </c>
      <c r="Q50" s="1"/>
      <c r="V50" s="94"/>
      <c r="W50" s="94"/>
      <c r="Y50" s="3" t="s">
        <v>132</v>
      </c>
      <c r="Z50" s="94"/>
      <c r="AA50" s="94" t="s">
        <v>124</v>
      </c>
      <c r="AB50" s="107" t="str">
        <f>IF(COUNTIF($CF$33:$CF$41,C$31)&gt;0,$CF$32,IF(COUNTIF($CG$33:$CG$41,C$31)&gt;0,$CG$32,IF(COUNTIF($CH$33:$CH$41,C$31)&gt;0,$CH$32,IF(COUNTIF($CI$33:$CI$41,C$31)&gt;0,$CI$32,CONCATENATE("??? ",C$31)))))</f>
        <v>E</v>
      </c>
      <c r="AC50" s="80"/>
      <c r="AD50" s="80"/>
      <c r="AE50" s="97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X50" s="80"/>
      <c r="AY50" s="80"/>
      <c r="AZ50" s="80"/>
      <c r="BA50" s="2">
        <f>BA49+1</f>
        <v>46</v>
      </c>
      <c r="BB50" s="7">
        <v>44015.75</v>
      </c>
      <c r="BC50" s="114" t="s">
        <v>135</v>
      </c>
      <c r="BD50" s="53" t="str">
        <f>M51</f>
        <v>Wales</v>
      </c>
      <c r="BE50" s="52" t="s">
        <v>21</v>
      </c>
      <c r="BF50" s="53" t="str">
        <f>M52</f>
        <v>Schottland</v>
      </c>
      <c r="BG50" s="15"/>
      <c r="BH50" s="110">
        <f ca="1">IF($B$66="",1,IF(OR(BJ50&lt;1,INT(RAND()*10&lt;6)),BJ50+1,BJ50-1))</f>
        <v>1</v>
      </c>
      <c r="BI50" s="12" t="s">
        <v>22</v>
      </c>
      <c r="BJ50" s="110">
        <f ca="1">IF($B$66="",0,INT(RAND()*5)+INT(RAND()*3)*INT(RAND()*2))</f>
        <v>2</v>
      </c>
      <c r="BK50" s="8" t="s">
        <v>23</v>
      </c>
      <c r="BL50" s="1"/>
      <c r="BM50" s="54" t="str">
        <f>IF(BJ50="","",IF(BJ50=BH50,"falsch!!! K.Remis",IF(BH50&gt;BJ50,BD50,BF50)))</f>
        <v>Schottland</v>
      </c>
      <c r="BN50" s="1" t="str">
        <f>P51</f>
        <v>AF3</v>
      </c>
      <c r="BO50" s="1" t="str">
        <f>P52</f>
        <v>AF4</v>
      </c>
      <c r="BP50" s="2" t="s">
        <v>54</v>
      </c>
      <c r="BQ50" s="1"/>
      <c r="BR50" s="1"/>
      <c r="BS50" s="94"/>
      <c r="BT50" s="94"/>
      <c r="BU50" s="94"/>
      <c r="BV50" s="94"/>
      <c r="BW50" s="94"/>
      <c r="BX50" s="94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6"/>
      <c r="CQ50" s="86"/>
      <c r="CR50" s="86"/>
      <c r="CS50" s="86"/>
      <c r="CT50" s="86"/>
      <c r="CU50" s="86"/>
      <c r="CV50" s="86"/>
      <c r="CW50" s="86"/>
      <c r="CX50" s="80"/>
      <c r="CY50" s="80"/>
      <c r="CZ50" s="80"/>
    </row>
    <row r="51" spans="1:104" ht="12.75">
      <c r="A51" s="2">
        <f aca="true" t="shared" si="18" ref="A51:A56">A50+1</f>
        <v>39</v>
      </c>
      <c r="B51" s="7">
        <v>44011.875</v>
      </c>
      <c r="C51" s="4" t="s">
        <v>141</v>
      </c>
      <c r="D51" s="49" t="str">
        <f>BM27</f>
        <v>Deutschland</v>
      </c>
      <c r="E51" s="16" t="s">
        <v>21</v>
      </c>
      <c r="F51" s="42" t="str">
        <f>VLOOKUP(O51,$B$35:$C$38,2,TRUE)</f>
        <v>Wales</v>
      </c>
      <c r="G51" s="18"/>
      <c r="H51" s="111">
        <f ca="1" t="shared" si="15"/>
        <v>0</v>
      </c>
      <c r="I51" s="12" t="s">
        <v>22</v>
      </c>
      <c r="J51" s="111">
        <f ca="1" t="shared" si="16"/>
        <v>1</v>
      </c>
      <c r="K51" s="8" t="s">
        <v>23</v>
      </c>
      <c r="L51" s="1"/>
      <c r="M51" s="55" t="str">
        <f t="shared" si="17"/>
        <v>Wales</v>
      </c>
      <c r="N51" s="1" t="str">
        <f>BN27</f>
        <v>1F</v>
      </c>
      <c r="O51" s="1" t="str">
        <f>IF(AE51="",CONCATENATE("3",AB51),CONCATENATE("3",AE51))</f>
        <v>3A</v>
      </c>
      <c r="P51" s="1" t="s">
        <v>44</v>
      </c>
      <c r="Q51" s="1"/>
      <c r="V51" s="94"/>
      <c r="W51" s="94"/>
      <c r="Y51" s="3" t="s">
        <v>134</v>
      </c>
      <c r="Z51" s="94"/>
      <c r="AA51" s="94" t="s">
        <v>124</v>
      </c>
      <c r="AB51" s="107" t="str">
        <f>IF(COUNTIF($CQ$33:$CQ$41,C$31)&gt;0,$CQ$32,IF(COUNTIF($CR$33:$CR$41,C$31)&gt;0,$CR$32,IF(COUNTIF($CS$33:$CS$41,C$31)&gt;0,$CS$32,CONCATENATE("??? ",C$31))))</f>
        <v>A</v>
      </c>
      <c r="AC51" s="80"/>
      <c r="AD51" s="80"/>
      <c r="AE51" s="97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X51" s="80"/>
      <c r="AY51" s="80"/>
      <c r="AZ51" s="80"/>
      <c r="BA51" s="2">
        <f>BA50+1</f>
        <v>47</v>
      </c>
      <c r="BB51" s="7">
        <v>44016.75</v>
      </c>
      <c r="BC51" s="114" t="s">
        <v>137</v>
      </c>
      <c r="BD51" s="56" t="str">
        <f>M53</f>
        <v>Ukraine</v>
      </c>
      <c r="BE51" s="52" t="s">
        <v>21</v>
      </c>
      <c r="BF51" s="56" t="str">
        <f>M54</f>
        <v>Russland</v>
      </c>
      <c r="BG51" s="15"/>
      <c r="BH51" s="110">
        <f ca="1">IF($B$66="",1,IF(OR(BJ51&lt;1,INT(RAND()*10&lt;6)),BJ51+1,BJ51-1))</f>
        <v>1</v>
      </c>
      <c r="BI51" s="12" t="s">
        <v>22</v>
      </c>
      <c r="BJ51" s="110">
        <f ca="1">IF($B$66="",0,INT(RAND()*5)+INT(RAND()*3)*INT(RAND()*2))</f>
        <v>0</v>
      </c>
      <c r="BK51" s="8" t="s">
        <v>23</v>
      </c>
      <c r="BL51" s="1"/>
      <c r="BM51" s="57" t="str">
        <f>IF(BJ51="","",IF(BJ51=BH51,"falsch!!! K.Remis",IF(BH51&gt;BJ51,BD51,BF51)))</f>
        <v>Ukraine</v>
      </c>
      <c r="BN51" s="1" t="str">
        <f>P53</f>
        <v>AF5</v>
      </c>
      <c r="BO51" s="1" t="str">
        <f>P54</f>
        <v>AF6</v>
      </c>
      <c r="BP51" s="1" t="s">
        <v>51</v>
      </c>
      <c r="BQ51" s="1"/>
      <c r="BR51" s="1"/>
      <c r="BS51" s="94"/>
      <c r="BT51" s="94"/>
      <c r="BU51" s="94"/>
      <c r="BV51" s="94"/>
      <c r="BW51" s="94"/>
      <c r="BX51" s="94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6"/>
      <c r="CQ51" s="86"/>
      <c r="CR51" s="86"/>
      <c r="CS51" s="86"/>
      <c r="CT51" s="86"/>
      <c r="CU51" s="86"/>
      <c r="CV51" s="86"/>
      <c r="CW51" s="86"/>
      <c r="CX51" s="80"/>
      <c r="CY51" s="80"/>
      <c r="CZ51" s="80"/>
    </row>
    <row r="52" spans="1:104" ht="12.75">
      <c r="A52" s="2">
        <f t="shared" si="18"/>
        <v>40</v>
      </c>
      <c r="B52" s="7">
        <v>44011.75</v>
      </c>
      <c r="C52" s="4" t="s">
        <v>142</v>
      </c>
      <c r="D52" s="47" t="str">
        <f>BM8</f>
        <v>Schottland</v>
      </c>
      <c r="E52" s="16" t="s">
        <v>21</v>
      </c>
      <c r="F52" s="48" t="str">
        <f>BM18</f>
        <v>Schweden</v>
      </c>
      <c r="G52" s="18"/>
      <c r="H52" s="111">
        <f ca="1" t="shared" si="15"/>
        <v>5</v>
      </c>
      <c r="I52" s="12" t="s">
        <v>22</v>
      </c>
      <c r="J52" s="111">
        <f ca="1" t="shared" si="16"/>
        <v>4</v>
      </c>
      <c r="K52" s="8" t="s">
        <v>23</v>
      </c>
      <c r="L52" s="1"/>
      <c r="M52" s="55" t="str">
        <f t="shared" si="17"/>
        <v>Schottland</v>
      </c>
      <c r="N52" s="1" t="str">
        <f>BN8</f>
        <v>2D</v>
      </c>
      <c r="O52" s="1" t="str">
        <f>BN18</f>
        <v>2E</v>
      </c>
      <c r="P52" s="1" t="s">
        <v>45</v>
      </c>
      <c r="Q52" s="1"/>
      <c r="V52" s="94"/>
      <c r="W52" s="94"/>
      <c r="Y52" s="3"/>
      <c r="Z52" s="94"/>
      <c r="AA52" s="94"/>
      <c r="AB52" s="107"/>
      <c r="AC52" s="80"/>
      <c r="AD52" s="80"/>
      <c r="AE52" s="97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X52" s="80"/>
      <c r="AY52" s="80"/>
      <c r="AZ52" s="80"/>
      <c r="BA52" s="2">
        <f>BA51+1</f>
        <v>48</v>
      </c>
      <c r="BB52" s="7">
        <v>44016.875</v>
      </c>
      <c r="BC52" s="114" t="s">
        <v>138</v>
      </c>
      <c r="BD52" s="58" t="str">
        <f>M55</f>
        <v>Portugal</v>
      </c>
      <c r="BE52" s="16" t="s">
        <v>21</v>
      </c>
      <c r="BF52" s="58" t="str">
        <f>M56</f>
        <v>Finnland</v>
      </c>
      <c r="BG52" s="15"/>
      <c r="BH52" s="110">
        <f ca="1">IF($B$66="",1,IF(OR(BJ52&lt;1,INT(RAND()*10&lt;6)),BJ52+1,BJ52-1))</f>
        <v>4</v>
      </c>
      <c r="BI52" s="12" t="s">
        <v>22</v>
      </c>
      <c r="BJ52" s="110">
        <f ca="1">IF($B$66="",0,INT(RAND()*5)+INT(RAND()*3)*INT(RAND()*2))</f>
        <v>3</v>
      </c>
      <c r="BK52" s="8" t="s">
        <v>23</v>
      </c>
      <c r="BL52" s="1"/>
      <c r="BM52" s="59" t="str">
        <f>IF(BJ52="","",IF(BJ52=BH52,"falsch!!! K.Remis",IF(BH52&gt;BJ52,BD52,BF52)))</f>
        <v>Portugal</v>
      </c>
      <c r="BN52" s="1" t="str">
        <f>P55</f>
        <v>AF7</v>
      </c>
      <c r="BO52" s="1" t="str">
        <f>P56</f>
        <v>AF8</v>
      </c>
      <c r="BP52" s="1" t="s">
        <v>53</v>
      </c>
      <c r="BQ52" s="1"/>
      <c r="BR52" s="1"/>
      <c r="BS52" s="94"/>
      <c r="BT52" s="94"/>
      <c r="BU52" s="94"/>
      <c r="BV52" s="94"/>
      <c r="BW52" s="94"/>
      <c r="BX52" s="94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6"/>
      <c r="CQ52" s="86"/>
      <c r="CR52" s="86"/>
      <c r="CS52" s="86"/>
      <c r="CT52" s="86"/>
      <c r="CU52" s="86"/>
      <c r="CV52" s="86"/>
      <c r="CW52" s="86"/>
      <c r="CX52" s="80"/>
      <c r="CY52" s="80"/>
      <c r="CZ52" s="80"/>
    </row>
    <row r="53" spans="1:104" ht="12.75">
      <c r="A53" s="2">
        <f t="shared" si="18"/>
        <v>41</v>
      </c>
      <c r="B53" s="7">
        <v>44010.75</v>
      </c>
      <c r="C53" s="4" t="s">
        <v>143</v>
      </c>
      <c r="D53" s="46" t="str">
        <f>M27</f>
        <v>Ukraine</v>
      </c>
      <c r="E53" s="16" t="s">
        <v>21</v>
      </c>
      <c r="F53" s="42" t="str">
        <f>VLOOKUP(O53,$B$35:$C$38,2,TRUE)</f>
        <v>Ungarn</v>
      </c>
      <c r="G53" s="18"/>
      <c r="H53" s="111">
        <f ca="1" t="shared" si="15"/>
        <v>1</v>
      </c>
      <c r="I53" s="12" t="s">
        <v>22</v>
      </c>
      <c r="J53" s="111">
        <f ca="1" t="shared" si="16"/>
        <v>0</v>
      </c>
      <c r="K53" s="8" t="s">
        <v>23</v>
      </c>
      <c r="L53" s="1"/>
      <c r="M53" s="60" t="str">
        <f t="shared" si="17"/>
        <v>Ukraine</v>
      </c>
      <c r="N53" s="1" t="str">
        <f>N27</f>
        <v>1C</v>
      </c>
      <c r="O53" s="1" t="str">
        <f>IF(AE53="",CONCATENATE("3",AB53),CONCATENATE("3",AE53))</f>
        <v>3F</v>
      </c>
      <c r="P53" s="1" t="s">
        <v>46</v>
      </c>
      <c r="Q53" s="1"/>
      <c r="V53" s="94"/>
      <c r="W53" s="94"/>
      <c r="Y53" s="3" t="s">
        <v>131</v>
      </c>
      <c r="Z53" s="94"/>
      <c r="AA53" s="94" t="s">
        <v>124</v>
      </c>
      <c r="AB53" s="107" t="str">
        <f>IF(COUNTIF($CJ$33:$CJ$41,C$31)&gt;0,$CJ$32,IF(COUNTIF($CK$33:$CK$41,C$31)&gt;0,$CK$32,IF(COUNTIF($CL$33:$CL$41,C$31)&gt;0,$CL$32,CONCATENATE("??? ",C$31))))</f>
        <v>F</v>
      </c>
      <c r="AC53" s="80"/>
      <c r="AD53" s="80"/>
      <c r="AE53" s="97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X53" s="80"/>
      <c r="AY53" s="80"/>
      <c r="AZ53" s="80"/>
      <c r="BD53" s="17"/>
      <c r="BE53" s="17"/>
      <c r="BF53" s="17"/>
      <c r="BG53" s="17"/>
      <c r="BQ53" s="1"/>
      <c r="BR53" s="1"/>
      <c r="BS53" s="94"/>
      <c r="BT53" s="94"/>
      <c r="BU53" s="94"/>
      <c r="BV53" s="94"/>
      <c r="BW53" s="94"/>
      <c r="BX53" s="94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6"/>
      <c r="CQ53" s="86"/>
      <c r="CR53" s="86"/>
      <c r="CS53" s="86"/>
      <c r="CT53" s="86"/>
      <c r="CU53" s="86"/>
      <c r="CV53" s="86"/>
      <c r="CW53" s="86"/>
      <c r="CX53" s="80"/>
      <c r="CY53" s="80"/>
      <c r="CZ53" s="80"/>
    </row>
    <row r="54" spans="1:104" ht="12.75">
      <c r="A54" s="2">
        <f t="shared" si="18"/>
        <v>42</v>
      </c>
      <c r="B54" s="7">
        <v>44009.75</v>
      </c>
      <c r="C54" s="4" t="s">
        <v>144</v>
      </c>
      <c r="D54" s="30" t="str">
        <f>M8</f>
        <v>Italien</v>
      </c>
      <c r="E54" s="16" t="s">
        <v>21</v>
      </c>
      <c r="F54" s="45" t="str">
        <f>M18</f>
        <v>Russland</v>
      </c>
      <c r="G54" s="18"/>
      <c r="H54" s="111">
        <f ca="1" t="shared" si="15"/>
        <v>3</v>
      </c>
      <c r="I54" s="12" t="s">
        <v>22</v>
      </c>
      <c r="J54" s="111">
        <f ca="1" t="shared" si="16"/>
        <v>4</v>
      </c>
      <c r="K54" s="8" t="s">
        <v>23</v>
      </c>
      <c r="L54" s="1"/>
      <c r="M54" s="60" t="str">
        <f t="shared" si="17"/>
        <v>Russland</v>
      </c>
      <c r="N54" s="1" t="str">
        <f>N8</f>
        <v>2A</v>
      </c>
      <c r="O54" s="1" t="str">
        <f>N18</f>
        <v>2B</v>
      </c>
      <c r="P54" s="1" t="s">
        <v>47</v>
      </c>
      <c r="Q54" s="1"/>
      <c r="V54" s="94"/>
      <c r="W54" s="94"/>
      <c r="Y54" s="3"/>
      <c r="Z54" s="94"/>
      <c r="AA54" s="94"/>
      <c r="AB54" s="107"/>
      <c r="AC54" s="80"/>
      <c r="AD54" s="80"/>
      <c r="AE54" s="97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X54" s="80"/>
      <c r="AY54" s="80"/>
      <c r="AZ54" s="80"/>
      <c r="BB54" s="61" t="s">
        <v>55</v>
      </c>
      <c r="BC54" s="24"/>
      <c r="BD54" s="15"/>
      <c r="BE54" s="15"/>
      <c r="BF54" s="15"/>
      <c r="BG54" s="18"/>
      <c r="BH54" s="22"/>
      <c r="BI54" s="21"/>
      <c r="BJ54" s="22"/>
      <c r="BK54" s="50"/>
      <c r="BL54" s="18"/>
      <c r="BM54" s="24"/>
      <c r="BN54" s="18"/>
      <c r="BO54" s="18"/>
      <c r="BP54" s="18"/>
      <c r="BQ54" s="1"/>
      <c r="BR54" s="1"/>
      <c r="BS54" s="94"/>
      <c r="BT54" s="94"/>
      <c r="BU54" s="94"/>
      <c r="BV54" s="94"/>
      <c r="BW54" s="94"/>
      <c r="BX54" s="94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6"/>
      <c r="CQ54" s="86"/>
      <c r="CR54" s="86"/>
      <c r="CS54" s="86"/>
      <c r="CT54" s="86"/>
      <c r="CU54" s="86"/>
      <c r="CV54" s="86"/>
      <c r="CW54" s="86"/>
      <c r="CX54" s="80"/>
      <c r="CY54" s="80"/>
      <c r="CZ54" s="80"/>
    </row>
    <row r="55" spans="1:104" ht="12.75">
      <c r="A55" s="2">
        <f t="shared" si="18"/>
        <v>43</v>
      </c>
      <c r="B55" s="7">
        <v>44012.75</v>
      </c>
      <c r="C55" s="4" t="s">
        <v>145</v>
      </c>
      <c r="D55" s="47" t="str">
        <f>BM7</f>
        <v>Kroatien</v>
      </c>
      <c r="E55" s="16" t="s">
        <v>21</v>
      </c>
      <c r="F55" s="49" t="str">
        <f>BM28</f>
        <v>Portugal</v>
      </c>
      <c r="G55" s="18"/>
      <c r="H55" s="111">
        <f ca="1" t="shared" si="15"/>
        <v>2</v>
      </c>
      <c r="I55" s="12" t="s">
        <v>22</v>
      </c>
      <c r="J55" s="111">
        <f ca="1" t="shared" si="16"/>
        <v>3</v>
      </c>
      <c r="K55" s="8" t="s">
        <v>23</v>
      </c>
      <c r="L55" s="1"/>
      <c r="M55" s="62" t="str">
        <f t="shared" si="17"/>
        <v>Portugal</v>
      </c>
      <c r="N55" s="1" t="str">
        <f>BN7</f>
        <v>1D</v>
      </c>
      <c r="O55" s="1" t="str">
        <f>BN28</f>
        <v>2F</v>
      </c>
      <c r="P55" s="1" t="s">
        <v>48</v>
      </c>
      <c r="Q55" s="1"/>
      <c r="V55" s="94"/>
      <c r="W55" s="94"/>
      <c r="Y55" s="3"/>
      <c r="Z55" s="94"/>
      <c r="AA55" s="94"/>
      <c r="AB55" s="107"/>
      <c r="AC55" s="80"/>
      <c r="AD55" s="80"/>
      <c r="AE55" s="97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X55" s="80"/>
      <c r="AY55" s="80"/>
      <c r="AZ55" s="80"/>
      <c r="BB55" s="3" t="s">
        <v>19</v>
      </c>
      <c r="BC55" s="3" t="s">
        <v>20</v>
      </c>
      <c r="BD55" s="15"/>
      <c r="BE55" s="15"/>
      <c r="BF55" s="15"/>
      <c r="BG55" s="18"/>
      <c r="BH55" s="22"/>
      <c r="BI55" s="12"/>
      <c r="BJ55" s="22"/>
      <c r="BK55" s="50"/>
      <c r="BL55" s="1"/>
      <c r="BM55" s="3"/>
      <c r="BN55" s="1"/>
      <c r="BO55" s="1"/>
      <c r="BP55" s="1"/>
      <c r="BQ55" s="1"/>
      <c r="BR55" s="1"/>
      <c r="BS55" s="94"/>
      <c r="BT55" s="94"/>
      <c r="BU55" s="94"/>
      <c r="BV55" s="94"/>
      <c r="BW55" s="94"/>
      <c r="BX55" s="94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6"/>
      <c r="CQ55" s="86"/>
      <c r="CR55" s="86"/>
      <c r="CS55" s="86"/>
      <c r="CT55" s="86"/>
      <c r="CU55" s="86"/>
      <c r="CV55" s="86"/>
      <c r="CW55" s="86"/>
      <c r="CX55" s="80"/>
      <c r="CY55" s="80"/>
      <c r="CZ55" s="80"/>
    </row>
    <row r="56" spans="1:104" ht="12.75">
      <c r="A56" s="2">
        <f t="shared" si="18"/>
        <v>44</v>
      </c>
      <c r="B56" s="7">
        <v>44012.875</v>
      </c>
      <c r="C56" s="4" t="s">
        <v>146</v>
      </c>
      <c r="D56" s="48" t="str">
        <f>BM17</f>
        <v>Spanien</v>
      </c>
      <c r="E56" s="16" t="s">
        <v>21</v>
      </c>
      <c r="F56" s="42" t="str">
        <f>VLOOKUP(O56,$B$35:$C$38,2,TRUE)</f>
        <v>Finnland</v>
      </c>
      <c r="G56" s="18"/>
      <c r="H56" s="111">
        <f ca="1" t="shared" si="15"/>
        <v>2</v>
      </c>
      <c r="I56" s="12" t="s">
        <v>22</v>
      </c>
      <c r="J56" s="111">
        <f ca="1" t="shared" si="16"/>
        <v>3</v>
      </c>
      <c r="K56" s="8" t="s">
        <v>23</v>
      </c>
      <c r="L56" s="1"/>
      <c r="M56" s="62" t="str">
        <f t="shared" si="17"/>
        <v>Finnland</v>
      </c>
      <c r="N56" s="1" t="str">
        <f>BN17</f>
        <v>1E</v>
      </c>
      <c r="O56" s="1" t="str">
        <f>IF(AE56="",CONCATENATE("3",AB56),CONCATENATE("3",AE56))</f>
        <v>3B</v>
      </c>
      <c r="P56" s="1" t="s">
        <v>49</v>
      </c>
      <c r="Q56" s="1"/>
      <c r="V56" s="94"/>
      <c r="W56" s="94"/>
      <c r="Y56" s="3" t="s">
        <v>133</v>
      </c>
      <c r="Z56" s="94"/>
      <c r="AA56" s="94" t="s">
        <v>124</v>
      </c>
      <c r="AB56" s="107" t="str">
        <f>IF(COUNTIF($CM$33:$CM$41,C$31)&gt;0,$CM$32,IF(COUNTIF($CN$33:$CN$41,C$31)&gt;0,$CN$32,IF(COUNTIF($CO$33:$CO$41,C$31)&gt;0,$CO$32,IF(COUNTIF($CP$33:$CP$41,C$31)&gt;0,$CP$32,CONCATENATE("??? ",C$31)))))</f>
        <v>B</v>
      </c>
      <c r="AC56" s="80"/>
      <c r="AD56" s="80"/>
      <c r="AE56" s="97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X56" s="80"/>
      <c r="AY56" s="80"/>
      <c r="AZ56" s="80"/>
      <c r="BA56" s="2">
        <f>BA52+1</f>
        <v>49</v>
      </c>
      <c r="BB56" s="7">
        <v>44019.875</v>
      </c>
      <c r="BC56" s="4" t="s">
        <v>139</v>
      </c>
      <c r="BD56" s="20" t="str">
        <f>BM50</f>
        <v>Schottland</v>
      </c>
      <c r="BE56" s="16" t="s">
        <v>21</v>
      </c>
      <c r="BF56" s="73" t="str">
        <f>BM49</f>
        <v>Österreich</v>
      </c>
      <c r="BG56" s="18"/>
      <c r="BH56" s="110">
        <f ca="1">IF($B$66="",1,IF(OR(BJ56&lt;1,INT(RAND()*10&lt;6)),BJ56+1,BJ56-1))</f>
        <v>4</v>
      </c>
      <c r="BI56" s="12" t="s">
        <v>22</v>
      </c>
      <c r="BJ56" s="110">
        <f ca="1">IF($B$66="",0,INT(RAND()*5)+INT(RAND()*3)*INT(RAND()*2))</f>
        <v>3</v>
      </c>
      <c r="BK56" s="8" t="s">
        <v>23</v>
      </c>
      <c r="BL56" s="1"/>
      <c r="BM56" s="74" t="str">
        <f>IF(BJ56="","",IF(BJ56=BH56,"falsch!!! K.Remis",IF(BH56&gt;BJ56,BD56,BF56)))</f>
        <v>Schottland</v>
      </c>
      <c r="BN56" s="1" t="str">
        <f>BP50</f>
        <v>VF2</v>
      </c>
      <c r="BO56" s="1" t="str">
        <f>BP49</f>
        <v>VF1</v>
      </c>
      <c r="BP56" s="1" t="s">
        <v>56</v>
      </c>
      <c r="BQ56" s="1"/>
      <c r="BR56" s="1"/>
      <c r="BS56" s="94"/>
      <c r="BT56" s="94"/>
      <c r="BU56" s="94"/>
      <c r="BV56" s="94"/>
      <c r="BW56" s="94"/>
      <c r="BX56" s="94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6"/>
      <c r="CQ56" s="86"/>
      <c r="CR56" s="86"/>
      <c r="CS56" s="86"/>
      <c r="CT56" s="86"/>
      <c r="CU56" s="86"/>
      <c r="CV56" s="86"/>
      <c r="CW56" s="86"/>
      <c r="CX56" s="80"/>
      <c r="CY56" s="80"/>
      <c r="CZ56" s="80"/>
    </row>
    <row r="57" spans="2:104" ht="12.75">
      <c r="B57" s="1"/>
      <c r="C57" s="3"/>
      <c r="D57" s="18"/>
      <c r="E57" s="15"/>
      <c r="F57" s="18"/>
      <c r="G57" s="18"/>
      <c r="H57" s="22"/>
      <c r="I57" s="12"/>
      <c r="J57" s="22"/>
      <c r="K57" s="50"/>
      <c r="L57" s="1"/>
      <c r="M57" s="3"/>
      <c r="N57" s="1"/>
      <c r="O57" s="1"/>
      <c r="P57" s="1"/>
      <c r="Q57" s="1"/>
      <c r="R57" s="1"/>
      <c r="S57" s="94"/>
      <c r="T57" s="94"/>
      <c r="U57" s="94"/>
      <c r="V57" s="94"/>
      <c r="W57" s="94"/>
      <c r="Y57" s="80"/>
      <c r="Z57" s="80"/>
      <c r="AA57" s="80"/>
      <c r="AB57" s="80"/>
      <c r="AC57" s="80"/>
      <c r="AD57" s="80"/>
      <c r="AE57" s="86" t="s">
        <v>125</v>
      </c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X57" s="80"/>
      <c r="AY57" s="80"/>
      <c r="AZ57" s="80"/>
      <c r="BA57" s="2">
        <f>BA56+1</f>
        <v>50</v>
      </c>
      <c r="BB57" s="7">
        <v>44020.875</v>
      </c>
      <c r="BC57" s="114" t="s">
        <v>139</v>
      </c>
      <c r="BD57" s="64" t="str">
        <f>BM52</f>
        <v>Portugal</v>
      </c>
      <c r="BE57" s="16" t="s">
        <v>21</v>
      </c>
      <c r="BF57" s="63" t="str">
        <f>BM51</f>
        <v>Ukraine</v>
      </c>
      <c r="BG57" s="18"/>
      <c r="BH57" s="110">
        <f ca="1">IF($B$66="",1,IF(OR(BJ57&lt;1,INT(RAND()*10&lt;6)),BJ57+1,BJ57-1))</f>
        <v>3</v>
      </c>
      <c r="BI57" s="12" t="s">
        <v>22</v>
      </c>
      <c r="BJ57" s="110">
        <f ca="1">IF($B$66="",0,INT(RAND()*5)+INT(RAND()*3)*INT(RAND()*2))</f>
        <v>4</v>
      </c>
      <c r="BK57" s="8" t="s">
        <v>23</v>
      </c>
      <c r="BL57" s="1"/>
      <c r="BM57" s="74" t="str">
        <f>IF(BJ57="","",IF(BJ57=BH57,"falsch!!! K.Remis",IF(BH57&gt;BJ57,BD57,BF57)))</f>
        <v>Ukraine</v>
      </c>
      <c r="BN57" s="1" t="str">
        <f>BP52</f>
        <v>VF4</v>
      </c>
      <c r="BO57" s="1" t="str">
        <f>BP51</f>
        <v>VF3</v>
      </c>
      <c r="BP57" s="1" t="s">
        <v>57</v>
      </c>
      <c r="BQ57" s="1"/>
      <c r="BR57" s="1"/>
      <c r="BS57" s="94"/>
      <c r="BT57" s="94"/>
      <c r="BU57" s="94"/>
      <c r="BV57" s="94"/>
      <c r="BW57" s="94"/>
      <c r="BX57" s="94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6"/>
      <c r="CQ57" s="86"/>
      <c r="CR57" s="86"/>
      <c r="CS57" s="86"/>
      <c r="CT57" s="86"/>
      <c r="CU57" s="86"/>
      <c r="CV57" s="86"/>
      <c r="CW57" s="86"/>
      <c r="CX57" s="80"/>
      <c r="CY57" s="80"/>
      <c r="CZ57" s="80"/>
    </row>
    <row r="58" spans="8:104" ht="12.75">
      <c r="H58" s="2"/>
      <c r="I58" s="2"/>
      <c r="J58" s="2"/>
      <c r="K58" s="2"/>
      <c r="M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B58" s="1"/>
      <c r="BC58" s="3"/>
      <c r="BD58" s="15"/>
      <c r="BE58" s="15"/>
      <c r="BF58" s="15"/>
      <c r="BG58" s="18"/>
      <c r="BH58" s="22"/>
      <c r="BI58" s="12"/>
      <c r="BJ58" s="22"/>
      <c r="BK58" s="50"/>
      <c r="BL58" s="1"/>
      <c r="BM58" s="65" t="str">
        <f>IF(BD56=BM56,BF56,BD56)</f>
        <v>Österreich</v>
      </c>
      <c r="BN58" s="1"/>
      <c r="BO58" s="1"/>
      <c r="BP58" s="1" t="s">
        <v>58</v>
      </c>
      <c r="BQ58" s="1"/>
      <c r="BR58" s="1"/>
      <c r="BS58" s="94"/>
      <c r="BT58" s="94"/>
      <c r="BU58" s="94"/>
      <c r="BV58" s="94"/>
      <c r="BW58" s="94"/>
      <c r="BX58" s="94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6"/>
      <c r="CQ58" s="86"/>
      <c r="CR58" s="86"/>
      <c r="CS58" s="86"/>
      <c r="CT58" s="86"/>
      <c r="CU58" s="86"/>
      <c r="CV58" s="86"/>
      <c r="CW58" s="86"/>
      <c r="CX58" s="80"/>
      <c r="CY58" s="80"/>
      <c r="CZ58" s="80"/>
    </row>
    <row r="59" spans="2:104" ht="12.75">
      <c r="B59" s="66" t="s">
        <v>61</v>
      </c>
      <c r="C59" s="3"/>
      <c r="D59" s="11"/>
      <c r="E59" s="17"/>
      <c r="F59" s="11"/>
      <c r="G59" s="11"/>
      <c r="H59" s="26"/>
      <c r="J59" s="26"/>
      <c r="K59" s="50"/>
      <c r="M59" s="2"/>
      <c r="P59" s="1"/>
      <c r="AE59" s="95"/>
      <c r="AF59" s="100"/>
      <c r="BB59" s="66"/>
      <c r="BC59" s="3"/>
      <c r="BD59" s="11"/>
      <c r="BE59" s="17"/>
      <c r="BF59" s="11"/>
      <c r="BG59" s="11"/>
      <c r="BH59" s="26"/>
      <c r="BJ59" s="26"/>
      <c r="BK59" s="50"/>
      <c r="BM59" s="65" t="str">
        <f>IF(BD57=BM57,BF57,BD57)</f>
        <v>Portugal</v>
      </c>
      <c r="BP59" s="1" t="s">
        <v>60</v>
      </c>
      <c r="BS59" s="86"/>
      <c r="BT59" s="86"/>
      <c r="BU59" s="86"/>
      <c r="BV59" s="86"/>
      <c r="BW59" s="86"/>
      <c r="BX59" s="86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6"/>
      <c r="CQ59" s="86"/>
      <c r="CR59" s="86"/>
      <c r="CS59" s="86"/>
      <c r="CT59" s="86"/>
      <c r="CU59" s="86"/>
      <c r="CV59" s="86"/>
      <c r="CW59" s="86"/>
      <c r="CX59" s="80"/>
      <c r="CY59" s="80"/>
      <c r="CZ59" s="80"/>
    </row>
    <row r="60" spans="2:104" ht="12.75">
      <c r="B60" s="3" t="s">
        <v>19</v>
      </c>
      <c r="C60" s="3" t="s">
        <v>20</v>
      </c>
      <c r="D60" s="11"/>
      <c r="E60" s="17"/>
      <c r="F60" s="11"/>
      <c r="G60" s="11"/>
      <c r="H60" s="69"/>
      <c r="J60" s="69"/>
      <c r="K60" s="50"/>
      <c r="M60" s="2" t="s">
        <v>165</v>
      </c>
      <c r="P60" s="1"/>
      <c r="Q60" s="1"/>
      <c r="R60" s="1"/>
      <c r="S60" s="94"/>
      <c r="T60" s="94"/>
      <c r="U60" s="94"/>
      <c r="V60" s="94"/>
      <c r="W60" s="94"/>
      <c r="AE60" s="94"/>
      <c r="AF60" s="99"/>
      <c r="AG60" s="94"/>
      <c r="AH60" s="94"/>
      <c r="AO60" s="94"/>
      <c r="BB60" s="3"/>
      <c r="BC60" s="3"/>
      <c r="BD60" s="11"/>
      <c r="BE60" s="17"/>
      <c r="BF60" s="11"/>
      <c r="BG60" s="11"/>
      <c r="BH60" s="26"/>
      <c r="BJ60" s="26"/>
      <c r="BK60" s="50"/>
      <c r="BM60" s="2"/>
      <c r="BP60" s="1"/>
      <c r="BQ60" s="1"/>
      <c r="BR60" s="1"/>
      <c r="BS60" s="94"/>
      <c r="BT60" s="94"/>
      <c r="BU60" s="94"/>
      <c r="BV60" s="94"/>
      <c r="BW60" s="94"/>
      <c r="BX60" s="86"/>
      <c r="BZ60" s="86"/>
      <c r="CA60" s="86"/>
      <c r="CB60" s="86"/>
      <c r="CC60" s="86"/>
      <c r="CD60" s="86"/>
      <c r="CE60" s="94"/>
      <c r="CF60" s="99"/>
      <c r="CG60" s="94"/>
      <c r="CH60" s="94"/>
      <c r="CI60" s="86"/>
      <c r="CJ60" s="86"/>
      <c r="CK60" s="86"/>
      <c r="CL60" s="86"/>
      <c r="CM60" s="86"/>
      <c r="CN60" s="86"/>
      <c r="CO60" s="94"/>
      <c r="CP60" s="86"/>
      <c r="CQ60" s="86"/>
      <c r="CR60" s="86"/>
      <c r="CS60" s="86"/>
      <c r="CT60" s="86"/>
      <c r="CU60" s="86"/>
      <c r="CV60" s="86"/>
      <c r="CW60" s="86"/>
      <c r="CX60" s="80"/>
      <c r="CY60" s="80"/>
      <c r="CZ60" s="80"/>
    </row>
    <row r="61" spans="1:104" ht="12.75">
      <c r="A61" s="2">
        <f>BA61+1</f>
        <v>1</v>
      </c>
      <c r="B61" s="7">
        <v>44024.875</v>
      </c>
      <c r="C61" s="114" t="s">
        <v>139</v>
      </c>
      <c r="D61" s="40" t="str">
        <f>BM56</f>
        <v>Schottland</v>
      </c>
      <c r="E61" s="24" t="s">
        <v>21</v>
      </c>
      <c r="F61" s="40" t="str">
        <f>BM57</f>
        <v>Ukraine</v>
      </c>
      <c r="G61" s="18"/>
      <c r="H61" s="110">
        <f ca="1">IF($B$66="",1,IF(OR(J61&lt;1,INT(RAND()*10&lt;6)),J61+1,J61-1))</f>
        <v>3</v>
      </c>
      <c r="I61" s="12" t="s">
        <v>22</v>
      </c>
      <c r="J61" s="110">
        <f ca="1">IF($B$66="",0,INT(RAND()*5)+INT(RAND()*3)*INT(RAND()*2))</f>
        <v>4</v>
      </c>
      <c r="K61" s="8" t="s">
        <v>23</v>
      </c>
      <c r="L61" s="1"/>
      <c r="M61" s="67" t="str">
        <f>IF(J61="","",IF(J61=H61,"falsch!!! K.Remis",IF(H61&gt;J61,D61,F61)))</f>
        <v>Ukraine</v>
      </c>
      <c r="N61" s="1" t="str">
        <f>BP56</f>
        <v>F1</v>
      </c>
      <c r="O61" s="1" t="str">
        <f>BP57</f>
        <v>F2</v>
      </c>
      <c r="Q61" s="1"/>
      <c r="R61" s="1"/>
      <c r="S61" s="94"/>
      <c r="T61" s="94"/>
      <c r="U61" s="94"/>
      <c r="V61" s="94"/>
      <c r="W61" s="94"/>
      <c r="AE61" s="94"/>
      <c r="AF61" s="99"/>
      <c r="AG61" s="94"/>
      <c r="AH61" s="94"/>
      <c r="AO61" s="94"/>
      <c r="BD61" s="11"/>
      <c r="BE61" s="17"/>
      <c r="BF61" s="11"/>
      <c r="BG61" s="11"/>
      <c r="BH61" s="26"/>
      <c r="BJ61" s="26"/>
      <c r="BL61" s="1"/>
      <c r="BM61" s="3"/>
      <c r="BN61" s="1"/>
      <c r="BO61" s="1"/>
      <c r="BQ61" s="1"/>
      <c r="BR61" s="1"/>
      <c r="BS61" s="94"/>
      <c r="BT61" s="94"/>
      <c r="BU61" s="94"/>
      <c r="BV61" s="94"/>
      <c r="BW61" s="94"/>
      <c r="BX61" s="86"/>
      <c r="BZ61" s="86"/>
      <c r="CA61" s="86"/>
      <c r="CB61" s="86"/>
      <c r="CC61" s="86"/>
      <c r="CD61" s="86"/>
      <c r="CE61" s="94"/>
      <c r="CF61" s="99"/>
      <c r="CG61" s="94"/>
      <c r="CH61" s="94"/>
      <c r="CI61" s="86"/>
      <c r="CJ61" s="86"/>
      <c r="CK61" s="86"/>
      <c r="CL61" s="86"/>
      <c r="CM61" s="86"/>
      <c r="CN61" s="86"/>
      <c r="CO61" s="94"/>
      <c r="CP61" s="86"/>
      <c r="CQ61" s="86"/>
      <c r="CR61" s="86"/>
      <c r="CS61" s="86"/>
      <c r="CT61" s="86"/>
      <c r="CU61" s="86"/>
      <c r="CV61" s="86"/>
      <c r="CW61" s="86"/>
      <c r="CX61" s="80"/>
      <c r="CY61" s="80"/>
      <c r="CZ61" s="80"/>
    </row>
    <row r="62" spans="8:104" ht="12.75">
      <c r="H62" s="2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D62" s="11"/>
      <c r="BE62" s="17"/>
      <c r="BF62" s="11"/>
      <c r="BG62" s="11"/>
      <c r="BH62" s="26"/>
      <c r="BJ62" s="26"/>
      <c r="BK62" s="50"/>
      <c r="BM62" s="2"/>
      <c r="BQ62" s="1"/>
      <c r="BR62" s="1"/>
      <c r="BS62" s="94"/>
      <c r="BT62" s="94"/>
      <c r="BU62" s="94"/>
      <c r="BV62" s="94"/>
      <c r="BW62" s="94"/>
      <c r="BX62" s="86"/>
      <c r="BZ62" s="86"/>
      <c r="CA62" s="86"/>
      <c r="CB62" s="86"/>
      <c r="CC62" s="86"/>
      <c r="CD62" s="86"/>
      <c r="CE62" s="94"/>
      <c r="CF62" s="99"/>
      <c r="CG62" s="94"/>
      <c r="CH62" s="94"/>
      <c r="CI62" s="86"/>
      <c r="CJ62" s="86"/>
      <c r="CK62" s="86"/>
      <c r="CL62" s="86"/>
      <c r="CM62" s="86"/>
      <c r="CN62" s="86"/>
      <c r="CO62" s="94"/>
      <c r="CP62" s="86"/>
      <c r="CQ62" s="86"/>
      <c r="CR62" s="86"/>
      <c r="CS62" s="86"/>
      <c r="CT62" s="86"/>
      <c r="CU62" s="86"/>
      <c r="CV62" s="86"/>
      <c r="CW62" s="86"/>
      <c r="CX62" s="80"/>
      <c r="CY62" s="80"/>
      <c r="CZ62" s="80"/>
    </row>
    <row r="63" spans="8:93" ht="12.75">
      <c r="H63" s="2"/>
      <c r="I63" s="2"/>
      <c r="J63" s="2"/>
      <c r="K63" s="2"/>
      <c r="M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 s="80"/>
      <c r="CH63" s="80"/>
      <c r="CI63" s="80"/>
      <c r="CJ63" s="80"/>
      <c r="CK63" s="80"/>
      <c r="CL63" s="80"/>
      <c r="CM63" s="80"/>
      <c r="CN63" s="80"/>
      <c r="CO63" s="80"/>
    </row>
    <row r="64" spans="8:93" ht="13.5" thickBot="1">
      <c r="H64" s="2"/>
      <c r="I64" s="2"/>
      <c r="J64" s="2"/>
      <c r="K64" s="2"/>
      <c r="M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2:82" ht="14.25" thickBot="1" thickTop="1">
      <c r="B65" s="76" t="s">
        <v>23</v>
      </c>
      <c r="C65" s="1" t="s">
        <v>63</v>
      </c>
      <c r="D65" s="3"/>
      <c r="E65" s="3"/>
      <c r="F65" s="3"/>
      <c r="G65" s="75"/>
      <c r="H65" s="79"/>
      <c r="AD65" s="95"/>
      <c r="BB65"/>
      <c r="BC65"/>
      <c r="BD65"/>
      <c r="BE65"/>
      <c r="BF65"/>
      <c r="BG65"/>
      <c r="BH65"/>
      <c r="BI65"/>
      <c r="BJ65"/>
      <c r="BK65"/>
      <c r="CD65" s="3"/>
    </row>
    <row r="66" spans="2:83" ht="14.25" thickBot="1" thickTop="1">
      <c r="B66" s="115" t="s">
        <v>70</v>
      </c>
      <c r="C66" s="2" t="s">
        <v>71</v>
      </c>
      <c r="E66" s="3"/>
      <c r="F66" s="3"/>
      <c r="AD66" s="95"/>
      <c r="AE66" s="86"/>
      <c r="BB66"/>
      <c r="BC66"/>
      <c r="BD66"/>
      <c r="BE66"/>
      <c r="BF66"/>
      <c r="BG66"/>
      <c r="BH66"/>
      <c r="BI66"/>
      <c r="BJ66"/>
      <c r="BK66"/>
      <c r="CD66" s="3"/>
      <c r="CE66" s="2"/>
    </row>
    <row r="67" spans="2:83" ht="14.25" thickBot="1" thickTop="1">
      <c r="B67" s="76">
        <f ca="1">IF($B$66="",1,INT(RAND()*5)+INT(RAND()*3)*INT(RAND()*2))</f>
        <v>4</v>
      </c>
      <c r="C67" s="2" t="s">
        <v>62</v>
      </c>
      <c r="E67" s="3"/>
      <c r="F67" s="3"/>
      <c r="AD67" s="95"/>
      <c r="AE67" s="86"/>
      <c r="BB67"/>
      <c r="BC67"/>
      <c r="BD67"/>
      <c r="BE67"/>
      <c r="BF67"/>
      <c r="BG67"/>
      <c r="BH67"/>
      <c r="BI67"/>
      <c r="BJ67"/>
      <c r="BK67"/>
      <c r="CD67" s="3"/>
      <c r="CE67" s="2"/>
    </row>
    <row r="68" ht="13.5" thickTop="1"/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 s="83"/>
      <c r="D74" s="80"/>
      <c r="E74" s="80"/>
      <c r="F74" s="80"/>
      <c r="G74" s="80"/>
      <c r="H74" s="80"/>
      <c r="I74" s="83"/>
      <c r="J74" s="83"/>
      <c r="K74" s="80"/>
      <c r="L74" s="80"/>
      <c r="M74" s="83"/>
      <c r="N74" s="83"/>
      <c r="O74" s="80"/>
      <c r="P74" s="80"/>
      <c r="Q74" s="83"/>
    </row>
    <row r="75" spans="1:17" ht="12.75">
      <c r="A75"/>
      <c r="B75"/>
      <c r="C75" s="80"/>
      <c r="D75" s="80"/>
      <c r="E75" s="80"/>
      <c r="F75" s="80"/>
      <c r="G75" s="80"/>
      <c r="H75" s="80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2.75">
      <c r="A77"/>
      <c r="B77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2.75">
      <c r="A78"/>
      <c r="B78"/>
      <c r="C78" s="83"/>
      <c r="D78" s="80"/>
      <c r="E78" s="80"/>
      <c r="F78" s="80"/>
      <c r="G78" s="80"/>
      <c r="H78" s="80"/>
      <c r="I78" s="83"/>
      <c r="J78" s="83"/>
      <c r="K78" s="80"/>
      <c r="L78" s="80"/>
      <c r="M78" s="83"/>
      <c r="N78" s="83"/>
      <c r="O78" s="80"/>
      <c r="P78" s="80"/>
      <c r="Q78" s="83"/>
    </row>
    <row r="79" spans="1:17" ht="12.75">
      <c r="A79"/>
      <c r="B79"/>
      <c r="C79" s="80"/>
      <c r="D79" s="80"/>
      <c r="E79" s="80"/>
      <c r="F79" s="80"/>
      <c r="G79" s="80"/>
      <c r="H79" s="80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1:17" ht="12.75">
      <c r="A81"/>
      <c r="B8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3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.75">
      <c r="A87"/>
      <c r="B87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.75">
      <c r="A88"/>
      <c r="B8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84"/>
      <c r="AJ88"/>
      <c r="AK88"/>
      <c r="AL88"/>
    </row>
    <row r="89" spans="1:38" ht="12.75">
      <c r="A89"/>
      <c r="B8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 s="84"/>
      <c r="AJ89"/>
      <c r="AK89"/>
      <c r="AL89"/>
    </row>
    <row r="90" spans="1:38" ht="12.75">
      <c r="A90"/>
      <c r="B9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/>
      <c r="S90"/>
      <c r="T90"/>
      <c r="U90"/>
      <c r="V90"/>
      <c r="W90"/>
      <c r="X90"/>
      <c r="Y90"/>
      <c r="Z90"/>
      <c r="AA90" s="84"/>
      <c r="AB90"/>
      <c r="AC90"/>
      <c r="AD90"/>
      <c r="AE90" s="84"/>
      <c r="AF90"/>
      <c r="AG90" s="84"/>
      <c r="AH90"/>
      <c r="AI90"/>
      <c r="AJ90" s="84"/>
      <c r="AK90"/>
      <c r="AL90"/>
    </row>
    <row r="91" spans="1:38" ht="12.75">
      <c r="A91"/>
      <c r="B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/>
      <c r="S91"/>
      <c r="T91"/>
      <c r="U91"/>
      <c r="V91"/>
      <c r="W91"/>
      <c r="X91"/>
      <c r="Y91"/>
      <c r="Z91"/>
      <c r="AA91" s="84"/>
      <c r="AB91" s="84"/>
      <c r="AC91" s="84"/>
      <c r="AD91"/>
      <c r="AE91" s="84"/>
      <c r="AF91"/>
      <c r="AG91" s="84"/>
      <c r="AH91"/>
      <c r="AI91" s="84"/>
      <c r="AJ91" s="84"/>
      <c r="AK91"/>
      <c r="AL91"/>
    </row>
    <row r="92" spans="1:38" ht="12.75">
      <c r="A92"/>
      <c r="B92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/>
      <c r="S92"/>
      <c r="T92"/>
      <c r="U92"/>
      <c r="V92"/>
      <c r="W92"/>
      <c r="X92"/>
      <c r="Y92"/>
      <c r="Z92"/>
      <c r="AA92" s="84"/>
      <c r="AB92" s="84"/>
      <c r="AC92" s="84"/>
      <c r="AD92"/>
      <c r="AE92"/>
      <c r="AF92"/>
      <c r="AG92" s="84"/>
      <c r="AH92"/>
      <c r="AI92" s="84"/>
      <c r="AJ92" s="84"/>
      <c r="AK92"/>
      <c r="AL92"/>
    </row>
    <row r="93" spans="1:38" ht="12.75">
      <c r="A93"/>
      <c r="B93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/>
      <c r="S93"/>
      <c r="T93"/>
      <c r="U93"/>
      <c r="V93"/>
      <c r="W93"/>
      <c r="X93"/>
      <c r="Y93"/>
      <c r="Z93"/>
      <c r="AA93" s="84"/>
      <c r="AB93" s="84"/>
      <c r="AC93" s="84"/>
      <c r="AD93"/>
      <c r="AE93"/>
      <c r="AF93"/>
      <c r="AG93" s="84"/>
      <c r="AH93"/>
      <c r="AI93" s="84"/>
      <c r="AJ93"/>
      <c r="AK93"/>
      <c r="AL93"/>
    </row>
    <row r="94" spans="1:38" ht="12.75">
      <c r="A94"/>
      <c r="B94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/>
      <c r="S94"/>
      <c r="T94"/>
      <c r="U94"/>
      <c r="V94"/>
      <c r="W94"/>
      <c r="X94"/>
      <c r="Y94"/>
      <c r="Z94"/>
      <c r="AA94" s="84"/>
      <c r="AB94"/>
      <c r="AC94"/>
      <c r="AD94"/>
      <c r="AE94"/>
      <c r="AF94"/>
      <c r="AG94"/>
      <c r="AH94"/>
      <c r="AI94" s="84"/>
      <c r="AJ94"/>
      <c r="AK94"/>
      <c r="AL94"/>
    </row>
    <row r="95" spans="1:3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84"/>
      <c r="AB95"/>
      <c r="AC95"/>
      <c r="AD95"/>
      <c r="AE95"/>
      <c r="AF95"/>
      <c r="AG95"/>
      <c r="AH95"/>
      <c r="AI95"/>
      <c r="AJ95"/>
      <c r="AK95"/>
      <c r="AL95"/>
    </row>
    <row r="96" spans="1:3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84"/>
      <c r="AB96"/>
      <c r="AC96"/>
      <c r="AD96"/>
      <c r="AE96"/>
      <c r="AF96"/>
      <c r="AG96"/>
      <c r="AH96"/>
      <c r="AI96"/>
      <c r="AJ96"/>
      <c r="AK96"/>
      <c r="AL96"/>
    </row>
    <row r="97" spans="1:3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84"/>
      <c r="AB97"/>
      <c r="AC97"/>
      <c r="AD97"/>
      <c r="AE97"/>
      <c r="AF97"/>
      <c r="AG97"/>
      <c r="AH97"/>
      <c r="AI97"/>
      <c r="AJ97"/>
      <c r="AK97"/>
      <c r="AL97"/>
    </row>
    <row r="98" spans="1:3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84"/>
      <c r="AB98"/>
      <c r="AC98"/>
      <c r="AD98"/>
      <c r="AE98"/>
      <c r="AF98"/>
      <c r="AG98"/>
      <c r="AH98"/>
      <c r="AI98"/>
      <c r="AJ98"/>
      <c r="AK98"/>
      <c r="AL98"/>
    </row>
    <row r="99" spans="1:3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84"/>
      <c r="AB99"/>
      <c r="AC99"/>
      <c r="AD99"/>
      <c r="AE99"/>
      <c r="AF99"/>
      <c r="AG99"/>
      <c r="AH99"/>
      <c r="AI99"/>
      <c r="AJ99"/>
      <c r="AK99"/>
      <c r="AL99"/>
    </row>
    <row r="100" spans="1:3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115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4" customWidth="1"/>
    <col min="9" max="9" width="1.57421875" style="14" customWidth="1"/>
    <col min="10" max="10" width="3.57421875" style="14" customWidth="1"/>
    <col min="11" max="11" width="3.00390625" style="8" customWidth="1"/>
    <col min="12" max="12" width="2.00390625" style="2" customWidth="1"/>
    <col min="13" max="13" width="14.28125" style="10" customWidth="1"/>
    <col min="14" max="17" width="4.28125" style="2" customWidth="1"/>
    <col min="18" max="18" width="3.8515625" style="2" customWidth="1"/>
    <col min="19" max="22" width="2.00390625" style="86" hidden="1" customWidth="1"/>
    <col min="23" max="23" width="1.7109375" style="86" hidden="1" customWidth="1"/>
    <col min="24" max="24" width="3.00390625" style="86" hidden="1" customWidth="1"/>
    <col min="25" max="25" width="14.28125" style="86" hidden="1" customWidth="1"/>
    <col min="26" max="26" width="2.28125" style="86" hidden="1" customWidth="1"/>
    <col min="27" max="27" width="3.28125" style="86" hidden="1" customWidth="1"/>
    <col min="28" max="28" width="3.00390625" style="86" hidden="1" customWidth="1"/>
    <col min="29" max="29" width="4.421875" style="86" hidden="1" customWidth="1"/>
    <col min="30" max="30" width="19.28125" style="86" hidden="1" customWidth="1"/>
    <col min="31" max="31" width="3.140625" style="100" hidden="1" customWidth="1"/>
    <col min="32" max="32" width="3.57421875" style="86" hidden="1" customWidth="1"/>
    <col min="33" max="36" width="2.8515625" style="86" hidden="1" customWidth="1"/>
    <col min="37" max="37" width="3.140625" style="86" hidden="1" customWidth="1"/>
    <col min="38" max="38" width="6.421875" style="86" hidden="1" customWidth="1"/>
    <col min="39" max="42" width="2.8515625" style="86" hidden="1" customWidth="1"/>
    <col min="43" max="43" width="7.7109375" style="86" hidden="1" customWidth="1"/>
    <col min="44" max="47" width="3.00390625" style="86" hidden="1" customWidth="1"/>
    <col min="48" max="48" width="3.140625" style="86" hidden="1" customWidth="1"/>
    <col min="49" max="52" width="11.421875" style="86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4" customWidth="1"/>
    <col min="61" max="61" width="1.57421875" style="14" customWidth="1"/>
    <col min="62" max="62" width="3.57421875" style="14" customWidth="1"/>
    <col min="63" max="63" width="3.00390625" style="8" customWidth="1"/>
    <col min="64" max="64" width="2.00390625" style="2" customWidth="1"/>
    <col min="65" max="65" width="14.28125" style="10" customWidth="1"/>
    <col min="66" max="69" width="4.28125" style="2" customWidth="1"/>
    <col min="70" max="70" width="3.8515625" style="2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86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5.00390625" style="9" hidden="1" customWidth="1"/>
    <col min="84" max="100" width="5.00390625" style="2" hidden="1" customWidth="1"/>
    <col min="101" max="104" width="11.421875" style="2" hidden="1" customWidth="1"/>
    <col min="105" max="16384" width="11.421875" style="2" customWidth="1"/>
  </cols>
  <sheetData>
    <row r="1" spans="1:100" s="11" customFormat="1" ht="14.25" thickBot="1" thickTop="1">
      <c r="A1" s="11" t="s">
        <v>69</v>
      </c>
      <c r="B1" s="33" t="s">
        <v>0</v>
      </c>
      <c r="C1" s="30" t="s">
        <v>1</v>
      </c>
      <c r="D1" s="18" t="s">
        <v>2</v>
      </c>
      <c r="E1" s="15"/>
      <c r="F1" s="18"/>
      <c r="G1" s="77"/>
      <c r="H1" s="78"/>
      <c r="I1" s="21"/>
      <c r="J1" s="22"/>
      <c r="K1" s="23"/>
      <c r="L1" s="18"/>
      <c r="M1" s="43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/>
      <c r="S1" s="86"/>
      <c r="T1" s="86"/>
      <c r="U1" s="86"/>
      <c r="V1" s="86"/>
      <c r="W1" s="87"/>
      <c r="X1" s="87" t="s">
        <v>8</v>
      </c>
      <c r="Y1" s="88" t="s">
        <v>9</v>
      </c>
      <c r="Z1" s="87" t="s">
        <v>4</v>
      </c>
      <c r="AA1" s="87" t="s">
        <v>5</v>
      </c>
      <c r="AB1" s="87" t="s">
        <v>6</v>
      </c>
      <c r="AC1" s="87" t="s">
        <v>7</v>
      </c>
      <c r="AD1" s="87"/>
      <c r="AE1" s="21" t="s">
        <v>10</v>
      </c>
      <c r="AF1" s="52" t="s">
        <v>11</v>
      </c>
      <c r="AG1" s="52"/>
      <c r="AH1" s="52"/>
      <c r="AI1" s="52"/>
      <c r="AJ1" s="52" t="s">
        <v>12</v>
      </c>
      <c r="AK1" s="88" t="s">
        <v>13</v>
      </c>
      <c r="AL1" s="52" t="s">
        <v>14</v>
      </c>
      <c r="AM1" s="52"/>
      <c r="AN1" s="52"/>
      <c r="AO1" s="52"/>
      <c r="AP1" s="52" t="s">
        <v>15</v>
      </c>
      <c r="AQ1" s="52" t="s">
        <v>16</v>
      </c>
      <c r="AR1" s="52"/>
      <c r="AS1" s="52"/>
      <c r="AT1" s="52"/>
      <c r="AU1" s="89" t="s">
        <v>17</v>
      </c>
      <c r="AV1" s="88" t="s">
        <v>18</v>
      </c>
      <c r="AW1" s="90"/>
      <c r="AX1" s="91"/>
      <c r="AY1" s="91"/>
      <c r="AZ1" s="91"/>
      <c r="BB1" s="32" t="s">
        <v>0</v>
      </c>
      <c r="BC1" s="47" t="s">
        <v>32</v>
      </c>
      <c r="BD1" s="18" t="s">
        <v>2</v>
      </c>
      <c r="BE1" s="15"/>
      <c r="BF1" s="18"/>
      <c r="BG1" s="77"/>
      <c r="BH1" s="78"/>
      <c r="BI1" s="21"/>
      <c r="BJ1" s="22"/>
      <c r="BK1" s="23"/>
      <c r="BL1" s="18"/>
      <c r="BM1" s="43" t="s">
        <v>3</v>
      </c>
      <c r="BN1" s="18" t="s">
        <v>4</v>
      </c>
      <c r="BO1" s="18" t="s">
        <v>5</v>
      </c>
      <c r="BP1" s="18" t="s">
        <v>6</v>
      </c>
      <c r="BQ1" s="18" t="s">
        <v>7</v>
      </c>
      <c r="BR1" s="18"/>
      <c r="BS1" s="2"/>
      <c r="BT1" s="2"/>
      <c r="BU1" s="2"/>
      <c r="BV1" s="2"/>
      <c r="BW1" s="18"/>
      <c r="BX1" s="18" t="s">
        <v>8</v>
      </c>
      <c r="BY1" s="88" t="s">
        <v>9</v>
      </c>
      <c r="BZ1" s="18" t="s">
        <v>4</v>
      </c>
      <c r="CA1" s="18" t="s">
        <v>5</v>
      </c>
      <c r="CB1" s="18" t="s">
        <v>6</v>
      </c>
      <c r="CC1" s="18" t="s">
        <v>7</v>
      </c>
      <c r="CD1" s="18"/>
      <c r="CE1" s="23" t="s">
        <v>10</v>
      </c>
      <c r="CF1" s="16" t="s">
        <v>11</v>
      </c>
      <c r="CG1" s="16"/>
      <c r="CH1" s="16"/>
      <c r="CI1" s="16"/>
      <c r="CJ1" s="16" t="s">
        <v>12</v>
      </c>
      <c r="CK1" s="24" t="s">
        <v>13</v>
      </c>
      <c r="CL1" s="16" t="s">
        <v>14</v>
      </c>
      <c r="CM1" s="16"/>
      <c r="CN1" s="16"/>
      <c r="CO1" s="16"/>
      <c r="CP1" s="16" t="s">
        <v>15</v>
      </c>
      <c r="CQ1" s="16" t="s">
        <v>16</v>
      </c>
      <c r="CR1" s="16"/>
      <c r="CS1" s="16"/>
      <c r="CT1" s="16"/>
      <c r="CU1" s="17" t="s">
        <v>17</v>
      </c>
      <c r="CV1" s="24" t="s">
        <v>18</v>
      </c>
    </row>
    <row r="2" spans="2:100" ht="13.5" thickTop="1">
      <c r="B2" s="3" t="s">
        <v>19</v>
      </c>
      <c r="C2" s="3" t="s">
        <v>20</v>
      </c>
      <c r="L2" s="1"/>
      <c r="M2" s="10" t="str">
        <f>VLOOKUP(1,$X$2:$AC$5,2,FALSE)</f>
        <v>Italien</v>
      </c>
      <c r="N2" s="2">
        <f>VLOOKUP(1,$X$2:$AC$5,3,FALSE)</f>
        <v>9</v>
      </c>
      <c r="O2" s="2">
        <f>VLOOKUP(1,$X$2:$AC$5,4,FALSE)</f>
        <v>13</v>
      </c>
      <c r="P2" s="2">
        <f>VLOOKUP(1,$X$2:$AC$5,5,FALSE)</f>
        <v>8</v>
      </c>
      <c r="Q2" s="2">
        <f>VLOOKUP(1,$X$2:$AC$5,6,FALSE)</f>
        <v>5</v>
      </c>
      <c r="S2" s="92"/>
      <c r="T2" s="93">
        <f>IF(H3="",0,IF(K3=$B$65,IF(H3&gt;J3,3,IF(H3=J3,1,0)),0))</f>
        <v>0</v>
      </c>
      <c r="U2" s="93">
        <f>IF(H5="",0,IF(K5=$B$65,IF(H5&gt;J5,3,IF(H5=J5,1,0)),0))</f>
        <v>0</v>
      </c>
      <c r="V2" s="93">
        <f>IF(J7="",0,IF(K8=$B$65,IF(H7&lt;J7,3,IF(H7=J7,1,0)),0))</f>
        <v>3</v>
      </c>
      <c r="W2" s="94"/>
      <c r="X2" s="94">
        <f>RANK(AD2,$AD$2:$AD$5)</f>
        <v>3</v>
      </c>
      <c r="Y2" s="10" t="s">
        <v>148</v>
      </c>
      <c r="Z2" s="94">
        <f>SUM(S2:V2)</f>
        <v>3</v>
      </c>
      <c r="AA2" s="94">
        <f>SUM(S6:V6)</f>
        <v>8</v>
      </c>
      <c r="AB2" s="94">
        <f>SUM(S6:S9)</f>
        <v>11</v>
      </c>
      <c r="AC2" s="94">
        <f>AA2-AB2</f>
        <v>-3</v>
      </c>
      <c r="AD2" s="28">
        <f>IF(P$8="",(((((((AE2*10+Z2)*100+AC2)*100+AA2)*10+AK2)*10+AJ2)*100+AP2)*100+AU2)*10+AV2,(((((((AE2*10+Z2)*10+AK2)*10+AJ2)*100+AP2)*100+AU2)*100+AC2)*100+AA2)*10+AV2)</f>
        <v>299999997084</v>
      </c>
      <c r="AE2" s="97"/>
      <c r="AF2" s="108"/>
      <c r="AG2" s="108">
        <f>IF($Z2=$Z3,$T2-$S3,0)</f>
        <v>0</v>
      </c>
      <c r="AH2" s="108">
        <f>IF($Z2=$Z4,$U2-$S4,0)</f>
        <v>0</v>
      </c>
      <c r="AI2" s="108">
        <f>IF($Z2=$Z5,$V2-$S5,0)</f>
        <v>0</v>
      </c>
      <c r="AJ2" s="108">
        <f>SUM(AF2:AI2)</f>
        <v>0</v>
      </c>
      <c r="AK2" s="97"/>
      <c r="AL2" s="108"/>
      <c r="AM2" s="108">
        <f>IF($Z2=$Z3,$T6-$S7,0)</f>
        <v>0</v>
      </c>
      <c r="AN2" s="108">
        <f>IF($Z2=$Z4,$U6-$S8,0)</f>
        <v>0</v>
      </c>
      <c r="AO2" s="108">
        <f>IF($Z2=$Z5,$V6-$S9,0)</f>
        <v>0</v>
      </c>
      <c r="AP2" s="108">
        <f>SUM(AL2:AO2)</f>
        <v>0</v>
      </c>
      <c r="AQ2" s="108"/>
      <c r="AR2" s="108">
        <f>IF($Z2=$Z3,$T6,0)</f>
        <v>0</v>
      </c>
      <c r="AS2" s="108">
        <f>IF($Z2=$Z4,$U6,0)</f>
        <v>0</v>
      </c>
      <c r="AT2" s="108">
        <f>IF($Z2=$Z5,$V6,0)</f>
        <v>0</v>
      </c>
      <c r="AU2" s="108">
        <f>SUM(AQ2:AT2)</f>
        <v>0</v>
      </c>
      <c r="AV2" s="97">
        <v>4</v>
      </c>
      <c r="AW2" s="96"/>
      <c r="BB2" s="3" t="s">
        <v>19</v>
      </c>
      <c r="BC2" s="3" t="s">
        <v>20</v>
      </c>
      <c r="BL2" s="1"/>
      <c r="BM2" s="10" t="str">
        <f>VLOOKUP(1,$BX$2:$CC$5,2,FALSE)</f>
        <v>Kroatien</v>
      </c>
      <c r="BN2" s="2">
        <f>VLOOKUP(1,$BX$2:$CC$5,3,FALSE)</f>
        <v>6</v>
      </c>
      <c r="BO2" s="2">
        <f>VLOOKUP(1,$BX$2:$CC$5,4,FALSE)</f>
        <v>4</v>
      </c>
      <c r="BP2" s="2">
        <f>VLOOKUP(1,$BX$2:$CC$5,5,FALSE)</f>
        <v>4</v>
      </c>
      <c r="BQ2" s="2">
        <f>VLOOKUP(1,$BX$2:$CC$5,6,FALSE)</f>
        <v>0</v>
      </c>
      <c r="BS2" s="92"/>
      <c r="BT2" s="93">
        <f>IF(BH3="",0,IF(BK3=$B$65,IF(BH3&gt;BJ3,3,IF(BH3=BJ3,1,0)),0))</f>
        <v>0</v>
      </c>
      <c r="BU2" s="93">
        <f>IF(BH5="",0,IF(BK5=$B$65,IF(BH5&gt;BJ5,3,IF(BH5=BJ5,1,0)),0))</f>
        <v>1</v>
      </c>
      <c r="BV2" s="93">
        <f>IF(BJ7="",0,IF(BK8=$B$65,IF(BH7&lt;BJ7,3,IF(BH7=BJ7,1,0)),0))</f>
        <v>3</v>
      </c>
      <c r="BW2" s="1"/>
      <c r="BX2" s="1">
        <f>RANK(CD2,$CD$2:$CD$5)</f>
        <v>2</v>
      </c>
      <c r="BY2" s="95" t="s">
        <v>67</v>
      </c>
      <c r="BZ2" s="1">
        <f>SUM(BS2:BV2)</f>
        <v>4</v>
      </c>
      <c r="CA2" s="1">
        <f>SUM(BS6:BV6)</f>
        <v>8</v>
      </c>
      <c r="CB2" s="1">
        <f>SUM(BS6:BS9)</f>
        <v>6</v>
      </c>
      <c r="CC2" s="1">
        <f>CA2-CB2</f>
        <v>2</v>
      </c>
      <c r="CD2" s="28">
        <f>IF(BP$8="",(((((((CE2*10+BZ2)*100+CC2)*100+CA2)*10+CK2)*10+CJ2)*100+CP2)*100+CU2)*10+CV2,(((((((CE2*10+BZ2)*10+CK2)*10+CJ2)*100+CP2)*100+CU2)*100+CC2)*100+CA2)*10+CV2)</f>
        <v>400000402084</v>
      </c>
      <c r="CE2" s="5"/>
      <c r="CF2" s="109"/>
      <c r="CG2" s="109">
        <f>IF($BZ2=$BZ3,$BT2-$BS3,0)</f>
        <v>0</v>
      </c>
      <c r="CH2" s="109">
        <f>IF($BZ2=$BZ4,$BU2-$BS4,0)</f>
        <v>0</v>
      </c>
      <c r="CI2" s="109">
        <f>IF($BZ2=$BZ5,$BV2-$BS5,0)</f>
        <v>0</v>
      </c>
      <c r="CJ2" s="109">
        <f>SUM(CF2:CI2)</f>
        <v>0</v>
      </c>
      <c r="CK2" s="5"/>
      <c r="CL2" s="109"/>
      <c r="CM2" s="109">
        <f>IF($BZ2=$BZ3,$BT6-$BS7,0)</f>
        <v>0</v>
      </c>
      <c r="CN2" s="109">
        <f>IF($BZ2=$BZ4,$BU6-$BS8,0)</f>
        <v>0</v>
      </c>
      <c r="CO2" s="109">
        <f>IF($BZ2=$BZ5,$BV6-$BS9,0)</f>
        <v>0</v>
      </c>
      <c r="CP2" s="109">
        <f>SUM(CL2:CO2)</f>
        <v>0</v>
      </c>
      <c r="CQ2" s="109"/>
      <c r="CR2" s="109">
        <f>IF($BZ2=$BZ3,$BT6,0)</f>
        <v>0</v>
      </c>
      <c r="CS2" s="109">
        <f>IF($BZ2=$BZ4,$BU6,0)</f>
        <v>4</v>
      </c>
      <c r="CT2" s="109">
        <f>IF($BZ2=$BZ5,$BV6,0)</f>
        <v>0</v>
      </c>
      <c r="CU2" s="109">
        <f>SUM(CQ2:CT2)</f>
        <v>4</v>
      </c>
      <c r="CV2" s="5">
        <v>4</v>
      </c>
    </row>
    <row r="3" spans="1:100" ht="12.75">
      <c r="A3" s="2">
        <v>1</v>
      </c>
      <c r="B3" s="7">
        <v>43994.875</v>
      </c>
      <c r="C3" s="4" t="s">
        <v>138</v>
      </c>
      <c r="D3" s="88" t="str">
        <f>Y2</f>
        <v>Türkei</v>
      </c>
      <c r="E3" s="52" t="s">
        <v>21</v>
      </c>
      <c r="F3" s="88" t="str">
        <f>Y3</f>
        <v>Italien</v>
      </c>
      <c r="G3" s="87"/>
      <c r="H3" s="110">
        <f aca="true" ca="1" t="shared" si="0" ref="H3:H8">IF($B$66="",1,INT(RAND()*5)+INT(RAND()*3)*INT(RAND()*2))</f>
        <v>2</v>
      </c>
      <c r="I3" s="12" t="s">
        <v>22</v>
      </c>
      <c r="J3" s="110">
        <f aca="true" ca="1" t="shared" si="1" ref="J3:J8">IF($B$66="",0,INT(RAND()*5)+INT(RAND()*3)*INT(RAND()*2))</f>
        <v>5</v>
      </c>
      <c r="K3" s="8" t="s">
        <v>23</v>
      </c>
      <c r="L3" s="1"/>
      <c r="M3" s="10" t="str">
        <f>VLOOKUP(2,$X$2:$AC$5,2,FALSE)</f>
        <v>Wales</v>
      </c>
      <c r="N3" s="2">
        <f>VLOOKUP(2,$X$2:$AC$5,3,FALSE)</f>
        <v>6</v>
      </c>
      <c r="O3" s="2">
        <f>VLOOKUP(2,$X$2:$AC$5,4,FALSE)</f>
        <v>10</v>
      </c>
      <c r="P3" s="2">
        <f>VLOOKUP(2,$X$2:$AC$5,5,FALSE)</f>
        <v>8</v>
      </c>
      <c r="Q3" s="2">
        <f>VLOOKUP(2,$X$2:$AC$5,6,FALSE)</f>
        <v>2</v>
      </c>
      <c r="S3" s="93">
        <f>IF(J3="",0,IF(K3=$B$65,IF(H3&lt;J3,3,IF(H3=J3,1,0)),0))</f>
        <v>3</v>
      </c>
      <c r="T3" s="92"/>
      <c r="U3" s="93">
        <f>IF(H8="",0,IF(K7=$B$65,IF(H8&gt;J8,3,IF(H8=J8,1,0)),0))</f>
        <v>3</v>
      </c>
      <c r="V3" s="93">
        <f>IF(H6="",0,IF(K6=$B$65,IF(H6&gt;J6,3,IF(H6=J6,1,0)),0))</f>
        <v>3</v>
      </c>
      <c r="W3" s="94"/>
      <c r="X3" s="94">
        <f>RANK(AD3,$AD$2:$AD$5)</f>
        <v>1</v>
      </c>
      <c r="Y3" s="10" t="s">
        <v>130</v>
      </c>
      <c r="Z3" s="94">
        <f>SUM(S3:V3)</f>
        <v>9</v>
      </c>
      <c r="AA3" s="94">
        <f>SUM(S7:V7)</f>
        <v>13</v>
      </c>
      <c r="AB3" s="94">
        <f>SUM(T6:T9)</f>
        <v>8</v>
      </c>
      <c r="AC3" s="94">
        <f>AA3-AB3</f>
        <v>5</v>
      </c>
      <c r="AD3" s="28">
        <f>IF(P$8="",(((((((AE3*10+Z3)*100+AC3)*100+AA3)*10+AK3)*10+AJ3)*100+AP3)*100+AU3)*10+AV3,(((((((AE3*10+Z3)*10+AK3)*10+AJ3)*100+AP3)*100+AU3)*100+AC3)*100+AA3)*10+AV3)</f>
        <v>900000005133</v>
      </c>
      <c r="AE3" s="97"/>
      <c r="AF3" s="108">
        <f>IF($Z3=$Z2,$S3-$T2,0)</f>
        <v>0</v>
      </c>
      <c r="AG3" s="108"/>
      <c r="AH3" s="108">
        <f>IF($Z3=$Z4,$U3-$T4,0)</f>
        <v>0</v>
      </c>
      <c r="AI3" s="108">
        <f>IF($Z3=$Z5,$V3-$T5,0)</f>
        <v>0</v>
      </c>
      <c r="AJ3" s="108">
        <f>SUM(AF3:AI3)</f>
        <v>0</v>
      </c>
      <c r="AK3" s="97"/>
      <c r="AL3" s="108">
        <f>IF($Z3=$Z2,$S7-$T6,0)</f>
        <v>0</v>
      </c>
      <c r="AM3" s="108"/>
      <c r="AN3" s="108">
        <f>IF($Z3=$Z4,$U7-$T8,0)</f>
        <v>0</v>
      </c>
      <c r="AO3" s="108">
        <f>IF($Z3=$Z5,$V7-$T9,0)</f>
        <v>0</v>
      </c>
      <c r="AP3" s="108">
        <f>SUM(AL3:AO3)</f>
        <v>0</v>
      </c>
      <c r="AQ3" s="108">
        <f>IF($Z3=$Z2,$S7,0)</f>
        <v>0</v>
      </c>
      <c r="AR3" s="108"/>
      <c r="AS3" s="108">
        <f>IF($Z3=$Z4,$U7,0)</f>
        <v>0</v>
      </c>
      <c r="AT3" s="108">
        <f>IF($Z3=$Z5,$V7,0)</f>
        <v>0</v>
      </c>
      <c r="AU3" s="108">
        <f>SUM(AQ3:AT3)</f>
        <v>0</v>
      </c>
      <c r="AV3" s="97">
        <v>3</v>
      </c>
      <c r="AW3" s="96"/>
      <c r="BA3" s="2">
        <v>7</v>
      </c>
      <c r="BB3" s="7">
        <v>43996.625</v>
      </c>
      <c r="BC3" s="4" t="s">
        <v>139</v>
      </c>
      <c r="BD3" s="88" t="str">
        <f>BY2</f>
        <v>England</v>
      </c>
      <c r="BE3" s="52" t="s">
        <v>21</v>
      </c>
      <c r="BF3" s="88" t="str">
        <f>BY3</f>
        <v>Kroatien</v>
      </c>
      <c r="BG3" s="87"/>
      <c r="BH3" s="110">
        <f aca="true" ca="1" t="shared" si="2" ref="BH3:BH8">IF($B$66="",1,INT(RAND()*5)+INT(RAND()*3)*INT(RAND()*2))</f>
        <v>0</v>
      </c>
      <c r="BI3" s="12" t="s">
        <v>22</v>
      </c>
      <c r="BJ3" s="110">
        <f aca="true" ca="1" t="shared" si="3" ref="BJ3:BJ8">IF($B$66="",0,INT(RAND()*5)+INT(RAND()*3)*INT(RAND()*2))</f>
        <v>1</v>
      </c>
      <c r="BK3" s="8" t="s">
        <v>23</v>
      </c>
      <c r="BL3" s="1"/>
      <c r="BM3" s="10" t="str">
        <f>VLOOKUP(2,$BX$2:$CC$5,2,FALSE)</f>
        <v>England</v>
      </c>
      <c r="BN3" s="2">
        <f>VLOOKUP(2,$BX$2:$CC$5,3,FALSE)</f>
        <v>4</v>
      </c>
      <c r="BO3" s="2">
        <f>VLOOKUP(2,$BX$2:$CC$5,4,FALSE)</f>
        <v>8</v>
      </c>
      <c r="BP3" s="2">
        <f>VLOOKUP(2,$BX$2:$CC$5,5,FALSE)</f>
        <v>6</v>
      </c>
      <c r="BQ3" s="2">
        <f>VLOOKUP(2,$BX$2:$CC$5,6,FALSE)</f>
        <v>2</v>
      </c>
      <c r="BS3" s="93">
        <f>IF(BJ3="",0,IF(BK3=$B$65,IF(BH3&lt;BJ3,3,IF(BH3=BJ3,1,0)),0))</f>
        <v>3</v>
      </c>
      <c r="BT3" s="92"/>
      <c r="BU3" s="93">
        <f>IF(BH8="",0,IF(BK7=$B$65,IF(BH8&gt;BJ8,3,IF(BH8=BJ8,1,0)),0))</f>
        <v>3</v>
      </c>
      <c r="BV3" s="93">
        <f>IF(BH6="",0,IF(BK6=$B$65,IF(BH6&gt;BJ6,3,IF(BH6=BJ6,1,0)),0))</f>
        <v>0</v>
      </c>
      <c r="BW3" s="1"/>
      <c r="BX3" s="1">
        <f>RANK(CD3,$CD$2:$CD$5)</f>
        <v>1</v>
      </c>
      <c r="BY3" s="95" t="s">
        <v>157</v>
      </c>
      <c r="BZ3" s="1">
        <f>SUM(BS3:BV3)</f>
        <v>6</v>
      </c>
      <c r="CA3" s="1">
        <f>SUM(BS7:BV7)</f>
        <v>4</v>
      </c>
      <c r="CB3" s="1">
        <f>SUM(BT6:BT9)</f>
        <v>4</v>
      </c>
      <c r="CC3" s="1">
        <f>CA3-CB3</f>
        <v>0</v>
      </c>
      <c r="CD3" s="28">
        <f>IF(BP$8="",(((((((CE3*10+BZ3)*100+CC3)*100+CA3)*10+CK3)*10+CJ3)*100+CP3)*100+CU3)*10+CV3,(((((((CE3*10+BZ3)*10+CK3)*10+CJ3)*100+CP3)*100+CU3)*100+CC3)*100+CA3)*10+CV3)</f>
        <v>600000000043</v>
      </c>
      <c r="CE3" s="5"/>
      <c r="CF3" s="109">
        <f>IF($BZ3=$BZ2,$BS3-$BT2,0)</f>
        <v>0</v>
      </c>
      <c r="CG3" s="109"/>
      <c r="CH3" s="109">
        <f>IF($BZ3=$BZ4,$BU3-$BT4,0)</f>
        <v>0</v>
      </c>
      <c r="CI3" s="109">
        <f>IF($BZ3=$BZ5,$BV3-$BT5,0)</f>
        <v>0</v>
      </c>
      <c r="CJ3" s="109">
        <f>SUM(CF3:CI3)</f>
        <v>0</v>
      </c>
      <c r="CK3" s="5"/>
      <c r="CL3" s="109">
        <f>IF($BZ3=$BZ2,$BS7-$BT6,0)</f>
        <v>0</v>
      </c>
      <c r="CM3" s="109"/>
      <c r="CN3" s="109">
        <f>IF($BZ3=$BZ4,$BU7-$BT8,0)</f>
        <v>0</v>
      </c>
      <c r="CO3" s="109">
        <f>IF($BZ3=$BZ5,$BV7-$BT9,0)</f>
        <v>0</v>
      </c>
      <c r="CP3" s="109">
        <f>SUM(CL3:CO3)</f>
        <v>0</v>
      </c>
      <c r="CQ3" s="109">
        <f>IF($BZ3=$BZ2,$BS7,0)</f>
        <v>0</v>
      </c>
      <c r="CR3" s="109"/>
      <c r="CS3" s="109">
        <f>IF($BZ3=$BZ4,$BU7,0)</f>
        <v>0</v>
      </c>
      <c r="CT3" s="109">
        <f>IF($BZ3=$BZ5,$BV7,0)</f>
        <v>0</v>
      </c>
      <c r="CU3" s="109">
        <f>SUM(CQ3:CT3)</f>
        <v>0</v>
      </c>
      <c r="CV3" s="5">
        <v>3</v>
      </c>
    </row>
    <row r="4" spans="1:100" ht="12.75">
      <c r="A4" s="2">
        <f>A3+1</f>
        <v>2</v>
      </c>
      <c r="B4" s="4">
        <v>43995.625</v>
      </c>
      <c r="C4" s="4" t="s">
        <v>137</v>
      </c>
      <c r="D4" s="88" t="str">
        <f>Y4</f>
        <v>Wales</v>
      </c>
      <c r="E4" s="52" t="s">
        <v>21</v>
      </c>
      <c r="F4" s="88" t="str">
        <f>Y5</f>
        <v>Schweiz</v>
      </c>
      <c r="G4" s="87"/>
      <c r="H4" s="111">
        <f ca="1" t="shared" si="0"/>
        <v>3</v>
      </c>
      <c r="I4" s="12" t="s">
        <v>22</v>
      </c>
      <c r="J4" s="111">
        <f ca="1" t="shared" si="1"/>
        <v>1</v>
      </c>
      <c r="K4" s="8" t="s">
        <v>23</v>
      </c>
      <c r="L4" s="1"/>
      <c r="M4" s="10" t="str">
        <f>VLOOKUP(3,$X$2:$AC$5,2,FALSE)</f>
        <v>Türkei</v>
      </c>
      <c r="N4" s="2">
        <f>VLOOKUP(3,$X$2:$AC$5,3,FALSE)</f>
        <v>3</v>
      </c>
      <c r="O4" s="2">
        <f>VLOOKUP(3,$X$2:$AC$5,4,FALSE)</f>
        <v>8</v>
      </c>
      <c r="P4" s="2">
        <f>VLOOKUP(3,$X$2:$AC$5,5,FALSE)</f>
        <v>11</v>
      </c>
      <c r="Q4" s="2">
        <f>VLOOKUP(3,$X$2:$AC$5,6,FALSE)</f>
        <v>-3</v>
      </c>
      <c r="S4" s="93">
        <f>IF(J5="",0,IF(K5=$B$65,IF(H5&lt;J5,3,IF(H5=J5,1,0)),0))</f>
        <v>3</v>
      </c>
      <c r="T4" s="93">
        <f>IF(J8="",0,IF(K7=$B$65,IF(H8&lt;J8,3,IF(H8=J8,1,0)),0))</f>
        <v>0</v>
      </c>
      <c r="U4" s="92"/>
      <c r="V4" s="93">
        <f>IF(H4="",0,IF(K4=$B$65,IF(H4&gt;J4,3,IF(H4=J4,1,0)),0))</f>
        <v>3</v>
      </c>
      <c r="W4" s="94"/>
      <c r="X4" s="94">
        <f>RANK(AD4,$AD$2:$AD$5)</f>
        <v>2</v>
      </c>
      <c r="Y4" s="10" t="s">
        <v>149</v>
      </c>
      <c r="Z4" s="94">
        <f>SUM(S4:V4)</f>
        <v>6</v>
      </c>
      <c r="AA4" s="94">
        <f>SUM(S8:V8)</f>
        <v>10</v>
      </c>
      <c r="AB4" s="94">
        <f>SUM(U6:U9)</f>
        <v>8</v>
      </c>
      <c r="AC4" s="94">
        <f>AA4-AB4</f>
        <v>2</v>
      </c>
      <c r="AD4" s="28">
        <f>IF(P$8="",(((((((AE4*10+Z4)*100+AC4)*100+AA4)*10+AK4)*10+AJ4)*100+AP4)*100+AU4)*10+AV4,(((((((AE4*10+Z4)*10+AK4)*10+AJ4)*100+AP4)*100+AU4)*100+AC4)*100+AA4)*10+AV4)</f>
        <v>600000002102</v>
      </c>
      <c r="AE4" s="97"/>
      <c r="AF4" s="108">
        <f>IF($Z4=$Z2,$S4-$U2,0)</f>
        <v>0</v>
      </c>
      <c r="AG4" s="108">
        <f>IF($Z4=$Z3,$T4-$U3,0)</f>
        <v>0</v>
      </c>
      <c r="AH4" s="108"/>
      <c r="AI4" s="108">
        <f>IF($Z4=$Z5,$V4-$U5,0)</f>
        <v>0</v>
      </c>
      <c r="AJ4" s="108">
        <f>SUM(AF4:AI4)</f>
        <v>0</v>
      </c>
      <c r="AK4" s="97"/>
      <c r="AL4" s="108">
        <f>IF($Z4=$Z2,$S8-$U6,0)</f>
        <v>0</v>
      </c>
      <c r="AM4" s="108">
        <f>IF($Z4=$Z3,$T8-$U7,0)</f>
        <v>0</v>
      </c>
      <c r="AN4" s="108"/>
      <c r="AO4" s="108">
        <f>IF($Z4=$Z5,$V8-$U9,0)</f>
        <v>0</v>
      </c>
      <c r="AP4" s="108">
        <f>SUM(AL4:AO4)</f>
        <v>0</v>
      </c>
      <c r="AQ4" s="108">
        <f>IF($Z4=$Z2,$S8,0)</f>
        <v>0</v>
      </c>
      <c r="AR4" s="108">
        <f>IF($Z4=$Z3,$T8,0)</f>
        <v>0</v>
      </c>
      <c r="AS4" s="108"/>
      <c r="AT4" s="108">
        <f>IF($Z4=$Z5,$V8,0)</f>
        <v>0</v>
      </c>
      <c r="AU4" s="108">
        <f>SUM(AQ4:AT4)</f>
        <v>0</v>
      </c>
      <c r="AV4" s="97">
        <v>2</v>
      </c>
      <c r="AW4" s="96"/>
      <c r="BA4" s="2">
        <v>8</v>
      </c>
      <c r="BB4" s="7">
        <v>43997.625</v>
      </c>
      <c r="BC4" s="4" t="s">
        <v>146</v>
      </c>
      <c r="BD4" s="88" t="str">
        <f>BY4</f>
        <v>Schottland</v>
      </c>
      <c r="BE4" s="52" t="s">
        <v>21</v>
      </c>
      <c r="BF4" s="88" t="str">
        <f>BY5</f>
        <v>Tschechien</v>
      </c>
      <c r="BG4" s="87"/>
      <c r="BH4" s="111">
        <f ca="1" t="shared" si="2"/>
        <v>3</v>
      </c>
      <c r="BI4" s="12" t="s">
        <v>22</v>
      </c>
      <c r="BJ4" s="111">
        <f ca="1" t="shared" si="3"/>
        <v>0</v>
      </c>
      <c r="BK4" s="8" t="s">
        <v>23</v>
      </c>
      <c r="BL4" s="1"/>
      <c r="BM4" s="10" t="str">
        <f>VLOOKUP(3,$BX$2:$CC$5,2,FALSE)</f>
        <v>Schottland</v>
      </c>
      <c r="BN4" s="2">
        <f>VLOOKUP(3,$BX$2:$CC$5,3,FALSE)</f>
        <v>4</v>
      </c>
      <c r="BO4" s="2">
        <f>VLOOKUP(3,$BX$2:$CC$5,4,FALSE)</f>
        <v>7</v>
      </c>
      <c r="BP4" s="2">
        <f>VLOOKUP(3,$BX$2:$CC$5,5,FALSE)</f>
        <v>6</v>
      </c>
      <c r="BQ4" s="2">
        <f>VLOOKUP(3,$BX$2:$CC$5,6,FALSE)</f>
        <v>1</v>
      </c>
      <c r="BS4" s="93">
        <f>IF(BJ5="",0,IF(BK5=$B$65,IF(BH5&lt;BJ5,3,IF(BH5=BJ5,1,0)),0))</f>
        <v>1</v>
      </c>
      <c r="BT4" s="93">
        <f>IF(BJ8="",0,IF(BK7=$B$65,IF(BH8&lt;BJ8,3,IF(BH8=BJ8,1,0)),0))</f>
        <v>0</v>
      </c>
      <c r="BU4" s="92"/>
      <c r="BV4" s="93">
        <f>IF(BH4="",0,IF(BK4=$B$65,IF(BH4&gt;BJ4,3,IF(BH4=BJ4,1,0)),0))</f>
        <v>3</v>
      </c>
      <c r="BW4" s="1"/>
      <c r="BX4" s="1">
        <f>RANK(CD4,$CD$2:$CD$5)</f>
        <v>3</v>
      </c>
      <c r="BY4" s="95" t="s">
        <v>163</v>
      </c>
      <c r="BZ4" s="1">
        <f>SUM(BS4:BV4)</f>
        <v>4</v>
      </c>
      <c r="CA4" s="1">
        <f>SUM(BS8:BV8)</f>
        <v>7</v>
      </c>
      <c r="CB4" s="1">
        <f>SUM(BU6:BU9)</f>
        <v>6</v>
      </c>
      <c r="CC4" s="1">
        <f>CA4-CB4</f>
        <v>1</v>
      </c>
      <c r="CD4" s="28">
        <f>IF(BP$8="",(((((((CE4*10+BZ4)*100+CC4)*100+CA4)*10+CK4)*10+CJ4)*100+CP4)*100+CU4)*10+CV4,(((((((CE4*10+BZ4)*10+CK4)*10+CJ4)*100+CP4)*100+CU4)*100+CC4)*100+CA4)*10+CV4)</f>
        <v>400000401072</v>
      </c>
      <c r="CE4" s="5"/>
      <c r="CF4" s="109">
        <f>IF($BZ4=$BZ2,$BS4-$BU2,0)</f>
        <v>0</v>
      </c>
      <c r="CG4" s="109">
        <f>IF($BZ4=$BZ3,$BT4-$BU3,0)</f>
        <v>0</v>
      </c>
      <c r="CH4" s="109"/>
      <c r="CI4" s="109">
        <f>IF($BZ4=$BZ5,$BV4-$BU5,0)</f>
        <v>0</v>
      </c>
      <c r="CJ4" s="109">
        <f>SUM(CF4:CI4)</f>
        <v>0</v>
      </c>
      <c r="CK4" s="5"/>
      <c r="CL4" s="109">
        <f>IF($BZ4=$BZ2,$BS8-$BU6,0)</f>
        <v>0</v>
      </c>
      <c r="CM4" s="109">
        <f>IF($BZ4=$BZ3,$BT8-$BU7,0)</f>
        <v>0</v>
      </c>
      <c r="CN4" s="109"/>
      <c r="CO4" s="109">
        <f>IF($BZ4=$BZ5,$BV8-$BU9,0)</f>
        <v>0</v>
      </c>
      <c r="CP4" s="109">
        <f>SUM(CL4:CO4)</f>
        <v>0</v>
      </c>
      <c r="CQ4" s="109">
        <f>IF($BZ4=$BZ2,$BS8,0)</f>
        <v>4</v>
      </c>
      <c r="CR4" s="109">
        <f>IF($BZ4=$BZ3,$BT8,0)</f>
        <v>0</v>
      </c>
      <c r="CS4" s="109"/>
      <c r="CT4" s="109">
        <f>IF($BZ4=$BZ5,$BV8,0)</f>
        <v>0</v>
      </c>
      <c r="CU4" s="109">
        <f>SUM(CQ4:CT4)</f>
        <v>4</v>
      </c>
      <c r="CV4" s="5">
        <v>2</v>
      </c>
    </row>
    <row r="5" spans="1:100" ht="12.75">
      <c r="A5" s="2">
        <f>A3+12</f>
        <v>13</v>
      </c>
      <c r="B5" s="7">
        <v>43999.75</v>
      </c>
      <c r="C5" s="4" t="s">
        <v>137</v>
      </c>
      <c r="D5" s="88" t="str">
        <f>Y2</f>
        <v>Türkei</v>
      </c>
      <c r="E5" s="52" t="s">
        <v>21</v>
      </c>
      <c r="F5" s="88" t="str">
        <f>Y4</f>
        <v>Wales</v>
      </c>
      <c r="G5" s="87"/>
      <c r="H5" s="111">
        <f ca="1" t="shared" si="0"/>
        <v>3</v>
      </c>
      <c r="I5" s="12" t="s">
        <v>22</v>
      </c>
      <c r="J5" s="111">
        <f ca="1" t="shared" si="1"/>
        <v>4</v>
      </c>
      <c r="K5" s="8" t="s">
        <v>23</v>
      </c>
      <c r="L5" s="1"/>
      <c r="M5" s="10" t="str">
        <f>VLOOKUP(4,$X$2:$AC$5,2,FALSE)</f>
        <v>Schweiz</v>
      </c>
      <c r="N5" s="2">
        <f>VLOOKUP(4,$X$2:$AC$5,3,FALSE)</f>
        <v>0</v>
      </c>
      <c r="O5" s="2">
        <f>VLOOKUP(4,$X$2:$AC$5,4,FALSE)</f>
        <v>6</v>
      </c>
      <c r="P5" s="2">
        <f>VLOOKUP(4,$X$2:$AC$5,5,FALSE)</f>
        <v>10</v>
      </c>
      <c r="Q5" s="2">
        <f>VLOOKUP(4,$X$2:$AC$5,6,FALSE)</f>
        <v>-4</v>
      </c>
      <c r="S5" s="93">
        <f>IF(H7="",0,IF(K8=$B$65,IF(H7&gt;J7,3,IF(H7=J7,1,0)),0))</f>
        <v>0</v>
      </c>
      <c r="T5" s="93">
        <f>IF(J6="",0,IF(K6=$B$65,IF(H6&lt;J6,3,IF(H6=J6,1,0)),0))</f>
        <v>0</v>
      </c>
      <c r="U5" s="93">
        <f>IF(J4="",0,IF(K4=$B$65,IF(H4&lt;J4,3,IF(H4=J4,1,0)),0))</f>
        <v>0</v>
      </c>
      <c r="V5" s="92"/>
      <c r="W5" s="94"/>
      <c r="X5" s="94">
        <f>RANK(AD5,$AD$2:$AD$5)</f>
        <v>4</v>
      </c>
      <c r="Y5" s="10" t="s">
        <v>150</v>
      </c>
      <c r="Z5" s="94">
        <f>SUM(S5:V5)</f>
        <v>0</v>
      </c>
      <c r="AA5" s="94">
        <f>SUM(S9:V9)</f>
        <v>6</v>
      </c>
      <c r="AB5" s="94">
        <f>SUM(V6:V9)</f>
        <v>10</v>
      </c>
      <c r="AC5" s="94">
        <f>AA5-AB5</f>
        <v>-4</v>
      </c>
      <c r="AD5" s="28">
        <f>IF(P$8="",(((((((AE5*10+Z5)*100+AC5)*100+AA5)*10+AK5)*10+AJ5)*100+AP5)*100+AU5)*10+AV5,(((((((AE5*10+Z5)*10+AK5)*10+AJ5)*100+AP5)*100+AU5)*100+AC5)*100+AA5)*10+AV5)</f>
        <v>-3939</v>
      </c>
      <c r="AE5" s="97"/>
      <c r="AF5" s="108">
        <f>IF($Z5=$Z2,$S5-$V2,0)</f>
        <v>0</v>
      </c>
      <c r="AG5" s="108">
        <f>IF($Z5=$Z3,$T5-$V3,0)</f>
        <v>0</v>
      </c>
      <c r="AH5" s="108">
        <f>IF($Z5=$Z4,$U5-$V4,0)</f>
        <v>0</v>
      </c>
      <c r="AI5" s="108"/>
      <c r="AJ5" s="108">
        <f>SUM(AF5:AI5)</f>
        <v>0</v>
      </c>
      <c r="AK5" s="97"/>
      <c r="AL5" s="108">
        <f>IF($Z5=$Z2,$S9-$V6,0)</f>
        <v>0</v>
      </c>
      <c r="AM5" s="108">
        <f>IF($Z5=$Z3,$T9-$V7,0)</f>
        <v>0</v>
      </c>
      <c r="AN5" s="108">
        <f>IF($Z5=$Z4,$U9-$V8,0)</f>
        <v>0</v>
      </c>
      <c r="AO5" s="108"/>
      <c r="AP5" s="108">
        <f>SUM(AL5:AO5)</f>
        <v>0</v>
      </c>
      <c r="AQ5" s="108">
        <f>IF($Z5=$Z2,$S9,0)</f>
        <v>0</v>
      </c>
      <c r="AR5" s="108">
        <f>IF($Z5=$Z3,$T9,0)</f>
        <v>0</v>
      </c>
      <c r="AS5" s="108">
        <f>IF($Z5=$Z4,$U9,0)</f>
        <v>0</v>
      </c>
      <c r="AT5" s="108"/>
      <c r="AU5" s="108">
        <f>SUM(AQ5:AT5)</f>
        <v>0</v>
      </c>
      <c r="AV5" s="97">
        <v>1</v>
      </c>
      <c r="AW5" s="96"/>
      <c r="BA5" s="2">
        <f>BA3+12</f>
        <v>19</v>
      </c>
      <c r="BB5" s="7">
        <v>44001.791666666664</v>
      </c>
      <c r="BC5" s="4" t="s">
        <v>139</v>
      </c>
      <c r="BD5" s="88" t="str">
        <f>BY2</f>
        <v>England</v>
      </c>
      <c r="BE5" s="52" t="s">
        <v>21</v>
      </c>
      <c r="BF5" s="88" t="str">
        <f>BY4</f>
        <v>Schottland</v>
      </c>
      <c r="BG5" s="87"/>
      <c r="BH5" s="111">
        <f ca="1" t="shared" si="2"/>
        <v>4</v>
      </c>
      <c r="BI5" s="12" t="s">
        <v>22</v>
      </c>
      <c r="BJ5" s="111">
        <f ca="1" t="shared" si="3"/>
        <v>4</v>
      </c>
      <c r="BK5" s="8" t="s">
        <v>23</v>
      </c>
      <c r="BL5" s="1"/>
      <c r="BM5" s="10" t="str">
        <f>VLOOKUP(4,$BX$2:$CC$5,2,FALSE)</f>
        <v>Tschechien</v>
      </c>
      <c r="BN5" s="2">
        <f>VLOOKUP(4,$BX$2:$CC$5,3,FALSE)</f>
        <v>3</v>
      </c>
      <c r="BO5" s="2">
        <f>VLOOKUP(4,$BX$2:$CC$5,4,FALSE)</f>
        <v>5</v>
      </c>
      <c r="BP5" s="2">
        <f>VLOOKUP(4,$BX$2:$CC$5,5,FALSE)</f>
        <v>8</v>
      </c>
      <c r="BQ5" s="2">
        <f>VLOOKUP(4,$BX$2:$CC$5,6,FALSE)</f>
        <v>-3</v>
      </c>
      <c r="BS5" s="93">
        <f>IF(BH7="",0,IF(BK8=$B$65,IF(BH7&gt;BJ7,3,IF(BH7=BJ7,1,0)),0))</f>
        <v>0</v>
      </c>
      <c r="BT5" s="93">
        <f>IF(BJ6="",0,IF(BK6=$B$65,IF(BH6&lt;BJ6,3,IF(BH6=BJ6,1,0)),0))</f>
        <v>3</v>
      </c>
      <c r="BU5" s="93">
        <f>IF(BJ4="",0,IF(BK4=$B$65,IF(BH4&lt;BJ4,3,IF(BH4=BJ4,1,0)),0))</f>
        <v>0</v>
      </c>
      <c r="BV5" s="92"/>
      <c r="BW5" s="1"/>
      <c r="BX5" s="1">
        <f>RANK(CD5,$CD$2:$CD$5)</f>
        <v>4</v>
      </c>
      <c r="BY5" s="95" t="s">
        <v>158</v>
      </c>
      <c r="BZ5" s="1">
        <f>SUM(BS5:BV5)</f>
        <v>3</v>
      </c>
      <c r="CA5" s="1">
        <f>SUM(BS9:BV9)</f>
        <v>5</v>
      </c>
      <c r="CB5" s="1">
        <f>SUM(BV6:BV9)</f>
        <v>8</v>
      </c>
      <c r="CC5" s="1">
        <f>CA5-CB5</f>
        <v>-3</v>
      </c>
      <c r="CD5" s="28">
        <f>IF(BP$8="",(((((((CE5*10+BZ5)*100+CC5)*100+CA5)*10+CK5)*10+CJ5)*100+CP5)*100+CU5)*10+CV5,(((((((CE5*10+BZ5)*10+CK5)*10+CJ5)*100+CP5)*100+CU5)*100+CC5)*100+CA5)*10+CV5)</f>
        <v>299999997051</v>
      </c>
      <c r="CE5" s="5"/>
      <c r="CF5" s="109">
        <f>IF($BZ5=$BZ2,$BS5-$BV2,0)</f>
        <v>0</v>
      </c>
      <c r="CG5" s="109">
        <f>IF($BZ5=$BZ3,$BT5-$BV3,0)</f>
        <v>0</v>
      </c>
      <c r="CH5" s="109">
        <f>IF($BZ5=$BZ4,$BU5-$BV4,0)</f>
        <v>0</v>
      </c>
      <c r="CI5" s="109"/>
      <c r="CJ5" s="109">
        <f>SUM(CF5:CI5)</f>
        <v>0</v>
      </c>
      <c r="CK5" s="5"/>
      <c r="CL5" s="109">
        <f>IF($BZ5=$BZ2,$BS9-$BV6,0)</f>
        <v>0</v>
      </c>
      <c r="CM5" s="109">
        <f>IF($BZ5=$BZ3,$BT9-$BV7,0)</f>
        <v>0</v>
      </c>
      <c r="CN5" s="109">
        <f>IF($BZ5=$BZ4,$BU9-$BV8,0)</f>
        <v>0</v>
      </c>
      <c r="CO5" s="109"/>
      <c r="CP5" s="109">
        <f>SUM(CL5:CO5)</f>
        <v>0</v>
      </c>
      <c r="CQ5" s="109">
        <f>IF($BZ5=$BZ2,$BS9,0)</f>
        <v>0</v>
      </c>
      <c r="CR5" s="109">
        <f>IF($BZ5=$BZ3,$BT9,0)</f>
        <v>0</v>
      </c>
      <c r="CS5" s="109">
        <f>IF($BZ5=$BZ4,$BU9,0)</f>
        <v>0</v>
      </c>
      <c r="CT5" s="109"/>
      <c r="CU5" s="109">
        <f>SUM(CQ5:CT5)</f>
        <v>0</v>
      </c>
      <c r="CV5" s="5">
        <v>1</v>
      </c>
    </row>
    <row r="6" spans="1:100" ht="12.75">
      <c r="A6" s="2">
        <f>A4+12</f>
        <v>14</v>
      </c>
      <c r="B6" s="4">
        <v>43999.875</v>
      </c>
      <c r="C6" s="4" t="s">
        <v>138</v>
      </c>
      <c r="D6" s="88" t="str">
        <f>Y3</f>
        <v>Italien</v>
      </c>
      <c r="E6" s="52" t="s">
        <v>21</v>
      </c>
      <c r="F6" s="88" t="str">
        <f>Y5</f>
        <v>Schweiz</v>
      </c>
      <c r="G6" s="87"/>
      <c r="H6" s="111">
        <f ca="1" t="shared" si="0"/>
        <v>4</v>
      </c>
      <c r="I6" s="12" t="s">
        <v>22</v>
      </c>
      <c r="J6" s="111">
        <f ca="1" t="shared" si="1"/>
        <v>3</v>
      </c>
      <c r="K6" s="8" t="s">
        <v>23</v>
      </c>
      <c r="L6" s="1"/>
      <c r="N6" s="1"/>
      <c r="O6" s="1"/>
      <c r="P6" s="1"/>
      <c r="S6" s="92"/>
      <c r="T6" s="93">
        <f>IF(K3=$B$65,H3,0)</f>
        <v>2</v>
      </c>
      <c r="U6" s="93">
        <f>IF(K5=$B$65,H5,0)</f>
        <v>3</v>
      </c>
      <c r="V6" s="93">
        <f>IF(K8=$B$65,J7,0)</f>
        <v>3</v>
      </c>
      <c r="W6" s="94"/>
      <c r="X6" s="94"/>
      <c r="Y6" s="94"/>
      <c r="Z6" s="94"/>
      <c r="AA6" s="94"/>
      <c r="AB6" s="94"/>
      <c r="AC6" s="94"/>
      <c r="AD6" s="98"/>
      <c r="AE6" s="99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V6" s="108"/>
      <c r="AW6" s="96"/>
      <c r="BA6" s="2">
        <f>BA4+12</f>
        <v>20</v>
      </c>
      <c r="BB6" s="7">
        <v>44001.75</v>
      </c>
      <c r="BC6" s="4" t="s">
        <v>146</v>
      </c>
      <c r="BD6" s="88" t="str">
        <f>BY3</f>
        <v>Kroatien</v>
      </c>
      <c r="BE6" s="52" t="s">
        <v>21</v>
      </c>
      <c r="BF6" s="88" t="str">
        <f>BY5</f>
        <v>Tschechien</v>
      </c>
      <c r="BG6" s="87"/>
      <c r="BH6" s="111">
        <f ca="1" t="shared" si="2"/>
        <v>1</v>
      </c>
      <c r="BI6" s="12" t="s">
        <v>22</v>
      </c>
      <c r="BJ6" s="111">
        <f ca="1" t="shared" si="3"/>
        <v>4</v>
      </c>
      <c r="BK6" s="8" t="s">
        <v>23</v>
      </c>
      <c r="BL6" s="1"/>
      <c r="BN6" s="1"/>
      <c r="BO6" s="1"/>
      <c r="BP6" s="1"/>
      <c r="BS6" s="92"/>
      <c r="BT6" s="93">
        <f>IF(BK3=$B$65,BH3,0)</f>
        <v>0</v>
      </c>
      <c r="BU6" s="93">
        <f>IF(BK5=$B$65,BH5,0)</f>
        <v>4</v>
      </c>
      <c r="BV6" s="93">
        <f>IF(BK8=$B$65,BJ7,0)</f>
        <v>4</v>
      </c>
      <c r="BW6" s="1"/>
      <c r="BX6" s="1"/>
      <c r="BY6" s="94"/>
      <c r="BZ6" s="1"/>
      <c r="CA6" s="1"/>
      <c r="CB6" s="1"/>
      <c r="CC6" s="1"/>
      <c r="CD6" s="6"/>
      <c r="CE6" s="8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V6" s="109"/>
    </row>
    <row r="7" spans="1:100" ht="12.75">
      <c r="A7" s="2">
        <f>A5+12</f>
        <v>25</v>
      </c>
      <c r="B7" s="7">
        <v>44003.75</v>
      </c>
      <c r="C7" s="4" t="s">
        <v>137</v>
      </c>
      <c r="D7" s="88" t="str">
        <f>Y5</f>
        <v>Schweiz</v>
      </c>
      <c r="E7" s="52" t="s">
        <v>21</v>
      </c>
      <c r="F7" s="88" t="str">
        <f>Y2</f>
        <v>Türkei</v>
      </c>
      <c r="G7" s="86"/>
      <c r="H7" s="110">
        <f ca="1" t="shared" si="0"/>
        <v>2</v>
      </c>
      <c r="I7" s="12" t="s">
        <v>22</v>
      </c>
      <c r="J7" s="110">
        <f ca="1" t="shared" si="1"/>
        <v>3</v>
      </c>
      <c r="K7" s="8" t="s">
        <v>23</v>
      </c>
      <c r="M7" s="44" t="str">
        <f>IF(N2&gt;0,M2,"")</f>
        <v>Italien</v>
      </c>
      <c r="N7" s="2" t="s">
        <v>24</v>
      </c>
      <c r="P7" s="34"/>
      <c r="S7" s="93">
        <f>IF(K3=$B$65,J3,0)</f>
        <v>5</v>
      </c>
      <c r="T7" s="92"/>
      <c r="U7" s="93">
        <f>IF(K7=$B$65,H8,0)</f>
        <v>4</v>
      </c>
      <c r="V7" s="93">
        <f>IF(K6=$B$65,H6,0)</f>
        <v>4</v>
      </c>
      <c r="AD7" s="86" t="s">
        <v>118</v>
      </c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V7" s="112"/>
      <c r="AW7" s="96"/>
      <c r="BA7" s="2">
        <f>BA5+12</f>
        <v>31</v>
      </c>
      <c r="BB7" s="7">
        <v>44005.875</v>
      </c>
      <c r="BC7" s="4" t="s">
        <v>139</v>
      </c>
      <c r="BD7" s="88" t="str">
        <f>BY5</f>
        <v>Tschechien</v>
      </c>
      <c r="BE7" s="52" t="s">
        <v>21</v>
      </c>
      <c r="BF7" s="88" t="str">
        <f>BY2</f>
        <v>England</v>
      </c>
      <c r="BG7" s="86"/>
      <c r="BH7" s="110">
        <f ca="1" t="shared" si="2"/>
        <v>1</v>
      </c>
      <c r="BI7" s="14" t="s">
        <v>22</v>
      </c>
      <c r="BJ7" s="110">
        <f ca="1" t="shared" si="3"/>
        <v>4</v>
      </c>
      <c r="BK7" s="8" t="s">
        <v>23</v>
      </c>
      <c r="BM7" s="47" t="str">
        <f>IF(BN2&gt;0,BM2,"")</f>
        <v>Kroatien</v>
      </c>
      <c r="BN7" s="2" t="s">
        <v>33</v>
      </c>
      <c r="BP7" s="34"/>
      <c r="BS7" s="93">
        <f>IF(BK3=$B$65,BJ3,0)</f>
        <v>1</v>
      </c>
      <c r="BT7" s="92"/>
      <c r="BU7" s="93">
        <f>IF(BK7=$B$65,BH8,0)</f>
        <v>2</v>
      </c>
      <c r="BV7" s="93">
        <f>IF(BK6=$B$65,BH6,0)</f>
        <v>1</v>
      </c>
      <c r="CD7" s="2" t="s">
        <v>118</v>
      </c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V7" s="113"/>
    </row>
    <row r="8" spans="1:100" ht="12.75">
      <c r="A8" s="2">
        <f>A6+12</f>
        <v>26</v>
      </c>
      <c r="B8" s="7">
        <v>44003.75</v>
      </c>
      <c r="C8" s="4" t="s">
        <v>138</v>
      </c>
      <c r="D8" s="88" t="str">
        <f>Y3</f>
        <v>Italien</v>
      </c>
      <c r="E8" s="52" t="s">
        <v>21</v>
      </c>
      <c r="F8" s="88" t="str">
        <f>Y4</f>
        <v>Wales</v>
      </c>
      <c r="G8" s="86"/>
      <c r="H8" s="111">
        <f ca="1" t="shared" si="0"/>
        <v>4</v>
      </c>
      <c r="I8" s="12" t="s">
        <v>22</v>
      </c>
      <c r="J8" s="111">
        <f ca="1" t="shared" si="1"/>
        <v>3</v>
      </c>
      <c r="K8" s="8" t="s">
        <v>23</v>
      </c>
      <c r="M8" s="44" t="str">
        <f>IF(N3&gt;0,M3,"")</f>
        <v>Wales</v>
      </c>
      <c r="N8" s="2" t="s">
        <v>25</v>
      </c>
      <c r="O8" s="35"/>
      <c r="P8" s="36" t="s">
        <v>11</v>
      </c>
      <c r="S8" s="93">
        <f>IF(K5=$B$65,J5,0)</f>
        <v>4</v>
      </c>
      <c r="T8" s="93">
        <f>IF(K7=$B$65,J8,0)</f>
        <v>3</v>
      </c>
      <c r="U8" s="92"/>
      <c r="V8" s="93">
        <f>IF(K4=$B$65,H4,0)</f>
        <v>3</v>
      </c>
      <c r="AD8" s="86" t="s">
        <v>119</v>
      </c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V8" s="112"/>
      <c r="AW8" s="96"/>
      <c r="BA8" s="2">
        <f>BA6+12</f>
        <v>32</v>
      </c>
      <c r="BB8" s="7">
        <v>44005.875</v>
      </c>
      <c r="BC8" s="4" t="s">
        <v>146</v>
      </c>
      <c r="BD8" s="88" t="str">
        <f>BY3</f>
        <v>Kroatien</v>
      </c>
      <c r="BE8" s="52" t="s">
        <v>21</v>
      </c>
      <c r="BF8" s="88" t="str">
        <f>BY4</f>
        <v>Schottland</v>
      </c>
      <c r="BG8" s="86"/>
      <c r="BH8" s="111">
        <f ca="1" t="shared" si="2"/>
        <v>2</v>
      </c>
      <c r="BI8" s="12" t="s">
        <v>22</v>
      </c>
      <c r="BJ8" s="111">
        <f ca="1" t="shared" si="3"/>
        <v>0</v>
      </c>
      <c r="BK8" s="8" t="s">
        <v>23</v>
      </c>
      <c r="BM8" s="47" t="str">
        <f>IF(BN3&gt;0,BM3,"")</f>
        <v>England</v>
      </c>
      <c r="BN8" s="2" t="s">
        <v>34</v>
      </c>
      <c r="BO8" s="35"/>
      <c r="BP8" s="36" t="s">
        <v>11</v>
      </c>
      <c r="BS8" s="93">
        <f>IF(BK5=$B$65,BJ5,0)</f>
        <v>4</v>
      </c>
      <c r="BT8" s="93">
        <f>IF(BK7=$B$65,BJ8,0)</f>
        <v>0</v>
      </c>
      <c r="BU8" s="92"/>
      <c r="BV8" s="93">
        <f>IF(BK4=$B$65,BH4,0)</f>
        <v>3</v>
      </c>
      <c r="CD8" s="2" t="s">
        <v>119</v>
      </c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V8" s="113"/>
    </row>
    <row r="9" spans="4:100" ht="12.75">
      <c r="D9" s="86"/>
      <c r="E9" s="86"/>
      <c r="F9" s="86"/>
      <c r="G9" s="86"/>
      <c r="M9" s="44" t="str">
        <f>IF(N4&gt;0,M4,"")</f>
        <v>Türkei</v>
      </c>
      <c r="N9" s="2" t="s">
        <v>115</v>
      </c>
      <c r="S9" s="93">
        <f>IF(K8=$B$65,H7,0)</f>
        <v>2</v>
      </c>
      <c r="T9" s="93">
        <f>IF(K6=$B$65,J6,0)</f>
        <v>3</v>
      </c>
      <c r="U9" s="93">
        <f>IF(K4=$B$65,J4,0)</f>
        <v>1</v>
      </c>
      <c r="V9" s="92"/>
      <c r="AD9" s="86" t="s">
        <v>120</v>
      </c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V9" s="112"/>
      <c r="AW9" s="96"/>
      <c r="BD9" s="86"/>
      <c r="BE9" s="86"/>
      <c r="BF9" s="86"/>
      <c r="BG9" s="86"/>
      <c r="BM9" s="47" t="str">
        <f>IF(BN4&gt;0,BM4,"")</f>
        <v>Schottland</v>
      </c>
      <c r="BN9" s="2" t="s">
        <v>116</v>
      </c>
      <c r="BS9" s="93">
        <f>IF(BK8=$B$65,BH7,0)</f>
        <v>1</v>
      </c>
      <c r="BT9" s="93">
        <f>IF(BK6=$B$65,BJ6,0)</f>
        <v>4</v>
      </c>
      <c r="BU9" s="93">
        <f>IF(BK4=$B$65,BJ4,0)</f>
        <v>0</v>
      </c>
      <c r="BV9" s="92"/>
      <c r="CD9" s="2" t="s">
        <v>120</v>
      </c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V9" s="113"/>
    </row>
    <row r="10" spans="4:100" ht="6" customHeight="1">
      <c r="D10" s="86"/>
      <c r="E10" s="89"/>
      <c r="F10" s="91"/>
      <c r="G10" s="91"/>
      <c r="H10" s="86"/>
      <c r="I10" s="86"/>
      <c r="J10" s="86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V10" s="112"/>
      <c r="AW10" s="96"/>
      <c r="BD10" s="86"/>
      <c r="BE10" s="89"/>
      <c r="BF10" s="91"/>
      <c r="BG10" s="91"/>
      <c r="BH10" s="86"/>
      <c r="BI10" s="86"/>
      <c r="BJ10" s="86"/>
      <c r="BS10" s="86"/>
      <c r="BT10" s="86"/>
      <c r="BU10" s="86"/>
      <c r="BV10" s="86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V10" s="113"/>
    </row>
    <row r="11" spans="2:100" s="11" customFormat="1" ht="12.75">
      <c r="B11" s="37" t="s">
        <v>0</v>
      </c>
      <c r="C11" s="38" t="s">
        <v>26</v>
      </c>
      <c r="D11" s="87" t="s">
        <v>2</v>
      </c>
      <c r="E11" s="101"/>
      <c r="F11" s="87"/>
      <c r="G11" s="87"/>
      <c r="H11" s="22"/>
      <c r="I11" s="21"/>
      <c r="J11" s="22"/>
      <c r="K11" s="23"/>
      <c r="L11" s="18"/>
      <c r="M11" s="43" t="s">
        <v>3</v>
      </c>
      <c r="N11" s="18" t="s">
        <v>4</v>
      </c>
      <c r="O11" s="18" t="s">
        <v>5</v>
      </c>
      <c r="P11" s="18" t="s">
        <v>6</v>
      </c>
      <c r="Q11" s="18" t="s">
        <v>7</v>
      </c>
      <c r="R11" s="18"/>
      <c r="S11" s="86"/>
      <c r="T11" s="86"/>
      <c r="U11" s="86"/>
      <c r="V11" s="86"/>
      <c r="W11" s="87"/>
      <c r="X11" s="87" t="s">
        <v>8</v>
      </c>
      <c r="Y11" s="88" t="s">
        <v>9</v>
      </c>
      <c r="Z11" s="87" t="s">
        <v>4</v>
      </c>
      <c r="AA11" s="87" t="s">
        <v>5</v>
      </c>
      <c r="AB11" s="87" t="s">
        <v>6</v>
      </c>
      <c r="AC11" s="87" t="s">
        <v>7</v>
      </c>
      <c r="AD11" s="87"/>
      <c r="AE11" s="21" t="s">
        <v>10</v>
      </c>
      <c r="AF11" s="52" t="s">
        <v>11</v>
      </c>
      <c r="AG11" s="52"/>
      <c r="AH11" s="52"/>
      <c r="AI11" s="52"/>
      <c r="AJ11" s="52" t="s">
        <v>12</v>
      </c>
      <c r="AK11" s="88" t="s">
        <v>13</v>
      </c>
      <c r="AL11" s="52" t="s">
        <v>14</v>
      </c>
      <c r="AM11" s="52"/>
      <c r="AN11" s="52"/>
      <c r="AO11" s="52"/>
      <c r="AP11" s="52" t="s">
        <v>15</v>
      </c>
      <c r="AQ11" s="52" t="s">
        <v>16</v>
      </c>
      <c r="AR11" s="52"/>
      <c r="AS11" s="52"/>
      <c r="AT11" s="52"/>
      <c r="AU11" s="89" t="s">
        <v>17</v>
      </c>
      <c r="AV11" s="88" t="s">
        <v>18</v>
      </c>
      <c r="AW11" s="90"/>
      <c r="AX11" s="91"/>
      <c r="AY11" s="91"/>
      <c r="AZ11" s="91"/>
      <c r="BB11" s="19" t="s">
        <v>0</v>
      </c>
      <c r="BC11" s="48" t="s">
        <v>35</v>
      </c>
      <c r="BD11" s="87" t="s">
        <v>2</v>
      </c>
      <c r="BE11" s="101"/>
      <c r="BF11" s="87"/>
      <c r="BG11" s="87"/>
      <c r="BH11" s="22"/>
      <c r="BI11" s="21"/>
      <c r="BJ11" s="22"/>
      <c r="BK11" s="23"/>
      <c r="BL11" s="18"/>
      <c r="BM11" s="43" t="s">
        <v>3</v>
      </c>
      <c r="BN11" s="18" t="s">
        <v>4</v>
      </c>
      <c r="BO11" s="18" t="s">
        <v>5</v>
      </c>
      <c r="BP11" s="18" t="s">
        <v>6</v>
      </c>
      <c r="BQ11" s="18" t="s">
        <v>7</v>
      </c>
      <c r="BR11" s="18"/>
      <c r="BS11" s="86"/>
      <c r="BT11" s="86"/>
      <c r="BU11" s="86"/>
      <c r="BV11" s="86"/>
      <c r="BW11" s="18"/>
      <c r="BX11" s="18" t="s">
        <v>8</v>
      </c>
      <c r="BY11" s="88" t="s">
        <v>9</v>
      </c>
      <c r="BZ11" s="18" t="s">
        <v>4</v>
      </c>
      <c r="CA11" s="18" t="s">
        <v>5</v>
      </c>
      <c r="CB11" s="18" t="s">
        <v>6</v>
      </c>
      <c r="CC11" s="18" t="s">
        <v>7</v>
      </c>
      <c r="CD11" s="18"/>
      <c r="CE11" s="23" t="s">
        <v>10</v>
      </c>
      <c r="CF11" s="16" t="s">
        <v>11</v>
      </c>
      <c r="CG11" s="16"/>
      <c r="CH11" s="16"/>
      <c r="CI11" s="16"/>
      <c r="CJ11" s="16" t="s">
        <v>12</v>
      </c>
      <c r="CK11" s="24" t="s">
        <v>13</v>
      </c>
      <c r="CL11" s="16" t="s">
        <v>14</v>
      </c>
      <c r="CM11" s="16"/>
      <c r="CN11" s="16"/>
      <c r="CO11" s="16"/>
      <c r="CP11" s="16" t="s">
        <v>15</v>
      </c>
      <c r="CQ11" s="16" t="s">
        <v>16</v>
      </c>
      <c r="CR11" s="16"/>
      <c r="CS11" s="16"/>
      <c r="CT11" s="16"/>
      <c r="CU11" s="17" t="s">
        <v>17</v>
      </c>
      <c r="CV11" s="24" t="s">
        <v>18</v>
      </c>
    </row>
    <row r="12" spans="2:100" ht="12.75">
      <c r="B12" s="3" t="s">
        <v>19</v>
      </c>
      <c r="C12" s="3" t="s">
        <v>20</v>
      </c>
      <c r="D12" s="86"/>
      <c r="E12" s="86"/>
      <c r="F12" s="86"/>
      <c r="G12" s="86"/>
      <c r="L12" s="1"/>
      <c r="M12" s="10" t="str">
        <f>VLOOKUP(1,$X$12:$AC$15,2,FALSE)</f>
        <v>Dänemark</v>
      </c>
      <c r="N12" s="2">
        <f>VLOOKUP(1,$X$12:$AC$15,3,FALSE)</f>
        <v>5</v>
      </c>
      <c r="O12" s="2">
        <f>VLOOKUP(1,$X$12:$AC$15,4,FALSE)</f>
        <v>8</v>
      </c>
      <c r="P12" s="2">
        <f>VLOOKUP(1,$X$12:$AC$15,5,FALSE)</f>
        <v>5</v>
      </c>
      <c r="Q12" s="2">
        <f>VLOOKUP(1,$X$12:$AC$15,6,FALSE)</f>
        <v>3</v>
      </c>
      <c r="S12" s="92"/>
      <c r="T12" s="93">
        <f>IF(H13="",0,IF(K13=$B$65,IF(H13&gt;J13,3,IF(H13=J13,1,0)),0))</f>
        <v>3</v>
      </c>
      <c r="U12" s="93">
        <f>IF(H15="",0,IF(K15=$B$65,IF(H15&gt;J15,3,IF(H15=J15,1,0)),0))</f>
        <v>1</v>
      </c>
      <c r="V12" s="93">
        <f>IF(J17="",0,IF(K18=$B$65,IF(H17&lt;J17,3,IF(H17=J17,1,0)),0))</f>
        <v>1</v>
      </c>
      <c r="W12" s="94"/>
      <c r="X12" s="94">
        <f>RANK(AD12,$AD$12:$AD$15)</f>
        <v>1</v>
      </c>
      <c r="Y12" s="95" t="s">
        <v>151</v>
      </c>
      <c r="Z12" s="94">
        <f>SUM(S12:V12)</f>
        <v>5</v>
      </c>
      <c r="AA12" s="94">
        <f>SUM(S16:V16)</f>
        <v>8</v>
      </c>
      <c r="AB12" s="94">
        <f>SUM(S16:S19)</f>
        <v>5</v>
      </c>
      <c r="AC12" s="94">
        <f>AA12-AB12</f>
        <v>3</v>
      </c>
      <c r="AD12" s="28">
        <f>IF(P$18="",(((((((AE12*10+Z12)*100+AC12)*100+AA12)*10+AK12)*10+AJ12)*100+AP12)*100+AU12)*10+AV12,(((((((AE12*10+Z12)*10+AK12)*10+AJ12)*100+AP12)*100+AU12)*100+AC12)*100+AA12)*10+AV12)</f>
        <v>500000003084</v>
      </c>
      <c r="AE12" s="97"/>
      <c r="AF12" s="108"/>
      <c r="AG12" s="108">
        <f>IF($Z12=$Z13,$T12-$S13,0)</f>
        <v>0</v>
      </c>
      <c r="AH12" s="108">
        <f>IF($Z12=$Z14,$U12-$S14,0)</f>
        <v>0</v>
      </c>
      <c r="AI12" s="108">
        <f>IF($Z12=$Z15,$V12-$S15,0)</f>
        <v>0</v>
      </c>
      <c r="AJ12" s="108">
        <f>SUM(AF12:AI12)</f>
        <v>0</v>
      </c>
      <c r="AK12" s="97"/>
      <c r="AL12" s="108"/>
      <c r="AM12" s="108">
        <f>IF($Z12=$Z13,$T16-$S17,0)</f>
        <v>0</v>
      </c>
      <c r="AN12" s="108">
        <f>IF($Z12=$Z14,$U16-$S18,0)</f>
        <v>0</v>
      </c>
      <c r="AO12" s="108">
        <f>IF($Z12=$Z15,$V16-$S19,0)</f>
        <v>0</v>
      </c>
      <c r="AP12" s="108">
        <f>SUM(AL12:AO12)</f>
        <v>0</v>
      </c>
      <c r="AQ12" s="108"/>
      <c r="AR12" s="108">
        <f>IF($Z12=$Z13,$T16,0)</f>
        <v>0</v>
      </c>
      <c r="AS12" s="108">
        <f>IF($Z12=$Z14,$U16,0)</f>
        <v>0</v>
      </c>
      <c r="AT12" s="108">
        <f>IF($Z12=$Z15,$V16,0)</f>
        <v>0</v>
      </c>
      <c r="AU12" s="108">
        <f>SUM(AQ12:AT12)</f>
        <v>0</v>
      </c>
      <c r="AV12" s="97">
        <v>4</v>
      </c>
      <c r="AW12" s="96"/>
      <c r="BB12" s="3" t="s">
        <v>19</v>
      </c>
      <c r="BC12" s="3" t="s">
        <v>20</v>
      </c>
      <c r="BD12" s="86"/>
      <c r="BE12" s="86"/>
      <c r="BF12" s="86"/>
      <c r="BG12" s="86"/>
      <c r="BL12" s="1"/>
      <c r="BM12" s="10" t="str">
        <f>VLOOKUP(1,$BX$12:$CC$15,2,FALSE)</f>
        <v>Polen</v>
      </c>
      <c r="BN12" s="2">
        <f>VLOOKUP(1,$BX$12:$CC$15,3,FALSE)</f>
        <v>7</v>
      </c>
      <c r="BO12" s="2">
        <f>VLOOKUP(1,$BX$12:$CC$15,4,FALSE)</f>
        <v>10</v>
      </c>
      <c r="BP12" s="2">
        <f>VLOOKUP(1,$BX$12:$CC$15,5,FALSE)</f>
        <v>5</v>
      </c>
      <c r="BQ12" s="2">
        <f>VLOOKUP(1,$BX$12:$CC$15,6,FALSE)</f>
        <v>5</v>
      </c>
      <c r="BS12" s="92"/>
      <c r="BT12" s="93">
        <f>IF(BH13="",0,IF(BK13=$B$65,IF(BH13&gt;BJ13,3,IF(BH13=BJ13,1,0)),0))</f>
        <v>0</v>
      </c>
      <c r="BU12" s="93">
        <f>IF(BH15="",0,IF(BK15=$B$65,IF(BH15&gt;BJ15,3,IF(BH15=BJ15,1,0)),0))</f>
        <v>0</v>
      </c>
      <c r="BV12" s="93">
        <f>IF(BJ17="",0,IF(BK18=$B$65,IF(BH17&lt;BJ17,3,IF(BH17=BJ17,1,0)),0))</f>
        <v>0</v>
      </c>
      <c r="BW12" s="1"/>
      <c r="BX12" s="1">
        <f>RANK(CD12,$CD$12:$CD$15)</f>
        <v>4</v>
      </c>
      <c r="BY12" s="95" t="s">
        <v>64</v>
      </c>
      <c r="BZ12" s="1">
        <f>SUM(BS12:BV12)</f>
        <v>0</v>
      </c>
      <c r="CA12" s="1">
        <f>SUM(BS16:BV16)</f>
        <v>5</v>
      </c>
      <c r="CB12" s="1">
        <f>SUM(BS16:BS19)</f>
        <v>12</v>
      </c>
      <c r="CC12" s="1">
        <f>CA12-CB12</f>
        <v>-7</v>
      </c>
      <c r="CD12" s="28">
        <f>IF(BP$18="",(((((((CE12*10+BZ12)*100+CC12)*100+CA12)*10+CK12)*10+CJ12)*100+CP12)*100+CU12)*10+CV12,(((((((CE12*10+BZ12)*10+CK12)*10+CJ12)*100+CP12)*100+CU12)*100+CC12)*100+CA12)*10+CV12)</f>
        <v>-6946</v>
      </c>
      <c r="CE12" s="5"/>
      <c r="CF12" s="109"/>
      <c r="CG12" s="109">
        <f>IF($BZ12=$BZ13,$BT12-$BS13,0)</f>
        <v>0</v>
      </c>
      <c r="CH12" s="109">
        <f>IF($BZ12=$BZ14,$BU12-$BS14,0)</f>
        <v>0</v>
      </c>
      <c r="CI12" s="109">
        <f>IF($BZ12=$BZ15,$BV12-$BS15,0)</f>
        <v>0</v>
      </c>
      <c r="CJ12" s="109">
        <f>SUM(CF12:CI12)</f>
        <v>0</v>
      </c>
      <c r="CK12" s="5"/>
      <c r="CL12" s="109"/>
      <c r="CM12" s="109">
        <f>IF($BZ12=$BZ13,$BT16-$BS17,0)</f>
        <v>0</v>
      </c>
      <c r="CN12" s="109">
        <f>IF($BZ12=$BZ14,$BU16-$BS18,0)</f>
        <v>0</v>
      </c>
      <c r="CO12" s="109">
        <f>IF($BZ12=$BZ15,$BV16-$BS19,0)</f>
        <v>0</v>
      </c>
      <c r="CP12" s="109">
        <f>SUM(CL12:CO12)</f>
        <v>0</v>
      </c>
      <c r="CQ12" s="109"/>
      <c r="CR12" s="109">
        <f>IF($BZ12=$BZ13,$BT16,0)</f>
        <v>0</v>
      </c>
      <c r="CS12" s="109">
        <f>IF($BZ12=$BZ14,$BU16,0)</f>
        <v>0</v>
      </c>
      <c r="CT12" s="109">
        <f>IF($BZ12=$BZ15,$BV16,0)</f>
        <v>0</v>
      </c>
      <c r="CU12" s="109">
        <f>SUM(CQ12:CT12)</f>
        <v>0</v>
      </c>
      <c r="CV12" s="5">
        <v>4</v>
      </c>
    </row>
    <row r="13" spans="1:100" ht="12.75">
      <c r="A13" s="2">
        <v>3</v>
      </c>
      <c r="B13" s="7">
        <v>43995.75</v>
      </c>
      <c r="C13" s="4" t="s">
        <v>142</v>
      </c>
      <c r="D13" s="88" t="str">
        <f>Y12</f>
        <v>Dänemark</v>
      </c>
      <c r="E13" s="52" t="s">
        <v>21</v>
      </c>
      <c r="F13" s="88" t="str">
        <f>Y13</f>
        <v>Finnland</v>
      </c>
      <c r="G13" s="87"/>
      <c r="H13" s="110">
        <f aca="true" ca="1" t="shared" si="4" ref="H13:H18">IF($B$66="",1,INT(RAND()*5)+INT(RAND()*3)*INT(RAND()*2))</f>
        <v>4</v>
      </c>
      <c r="I13" s="12" t="s">
        <v>22</v>
      </c>
      <c r="J13" s="110">
        <f aca="true" ca="1" t="shared" si="5" ref="J13:J18">IF($B$66="",0,INT(RAND()*5)+INT(RAND()*3)*INT(RAND()*2))</f>
        <v>1</v>
      </c>
      <c r="K13" s="8" t="s">
        <v>23</v>
      </c>
      <c r="L13" s="1"/>
      <c r="M13" s="10" t="str">
        <f>VLOOKUP(2,$X$12:$AC$15,2,FALSE)</f>
        <v>Finnland</v>
      </c>
      <c r="N13" s="2">
        <f>VLOOKUP(2,$X$12:$AC$15,3,FALSE)</f>
        <v>4</v>
      </c>
      <c r="O13" s="2">
        <f>VLOOKUP(2,$X$12:$AC$15,4,FALSE)</f>
        <v>6</v>
      </c>
      <c r="P13" s="2">
        <f>VLOOKUP(2,$X$12:$AC$15,5,FALSE)</f>
        <v>8</v>
      </c>
      <c r="Q13" s="2">
        <f>VLOOKUP(2,$X$12:$AC$15,6,FALSE)</f>
        <v>-2</v>
      </c>
      <c r="S13" s="93">
        <f>IF(J13="",0,IF(K13=$B$65,IF(H13&lt;J13,3,IF(H13=J13,1,0)),0))</f>
        <v>0</v>
      </c>
      <c r="T13" s="92"/>
      <c r="U13" s="93">
        <f>IF(H18="",0,IF(K17=$B$65,IF(H18&gt;J18,3,IF(H18=J18,1,0)),0))</f>
        <v>1</v>
      </c>
      <c r="V13" s="93">
        <f>IF(H16="",0,IF(K16=$B$65,IF(H16&gt;J16,3,IF(H16=J16,1,0)),0))</f>
        <v>3</v>
      </c>
      <c r="W13" s="94"/>
      <c r="X13" s="94">
        <f>RANK(AD13,$AD$12:$AD$15)</f>
        <v>2</v>
      </c>
      <c r="Y13" s="95" t="s">
        <v>152</v>
      </c>
      <c r="Z13" s="94">
        <f>SUM(S13:V13)</f>
        <v>4</v>
      </c>
      <c r="AA13" s="94">
        <f>SUM(S17:V17)</f>
        <v>6</v>
      </c>
      <c r="AB13" s="94">
        <f>SUM(T16:T19)</f>
        <v>8</v>
      </c>
      <c r="AC13" s="94">
        <f>AA13-AB13</f>
        <v>-2</v>
      </c>
      <c r="AD13" s="28">
        <f>IF(P$18="",(((((((AE13*10+Z13)*100+AC13)*100+AA13)*10+AK13)*10+AJ13)*100+AP13)*100+AU13)*10+AV13,(((((((AE13*10+Z13)*10+AK13)*10+AJ13)*100+AP13)*100+AU13)*100+AC13)*100+AA13)*10+AV13)</f>
        <v>403010498063</v>
      </c>
      <c r="AE13" s="97"/>
      <c r="AF13" s="108">
        <f>IF($Z13=$Z12,$S13-$T12,0)</f>
        <v>0</v>
      </c>
      <c r="AG13" s="108"/>
      <c r="AH13" s="108">
        <f>IF($Z13=$Z14,$U13-$T14,0)</f>
        <v>0</v>
      </c>
      <c r="AI13" s="108">
        <f>IF($Z13=$Z15,$V13-$T15,0)</f>
        <v>3</v>
      </c>
      <c r="AJ13" s="108">
        <f>SUM(AF13:AI13)</f>
        <v>3</v>
      </c>
      <c r="AK13" s="97"/>
      <c r="AL13" s="108">
        <f>IF($Z13=$Z12,$S17-$T16,0)</f>
        <v>0</v>
      </c>
      <c r="AM13" s="108"/>
      <c r="AN13" s="108">
        <f>IF($Z13=$Z14,$U17-$T18,0)</f>
        <v>0</v>
      </c>
      <c r="AO13" s="108">
        <f>IF($Z13=$Z15,$V17-$T19,0)</f>
        <v>1</v>
      </c>
      <c r="AP13" s="108">
        <f>SUM(AL13:AO13)</f>
        <v>1</v>
      </c>
      <c r="AQ13" s="108">
        <f>IF($Z13=$Z12,$S17,0)</f>
        <v>0</v>
      </c>
      <c r="AR13" s="108"/>
      <c r="AS13" s="108">
        <f>IF($Z13=$Z14,$U17,0)</f>
        <v>0</v>
      </c>
      <c r="AT13" s="108">
        <f>IF($Z13=$Z15,$V17,0)</f>
        <v>5</v>
      </c>
      <c r="AU13" s="108">
        <f>SUM(AQ13:AT13)</f>
        <v>5</v>
      </c>
      <c r="AV13" s="97">
        <v>3</v>
      </c>
      <c r="AW13" s="96"/>
      <c r="BA13" s="2">
        <v>9</v>
      </c>
      <c r="BB13" s="7">
        <v>43997.875</v>
      </c>
      <c r="BC13" s="4" t="s">
        <v>140</v>
      </c>
      <c r="BD13" s="88" t="str">
        <f>BY12</f>
        <v>Spanien</v>
      </c>
      <c r="BE13" s="52" t="s">
        <v>21</v>
      </c>
      <c r="BF13" s="88" t="str">
        <f>BY13</f>
        <v>Schweden</v>
      </c>
      <c r="BG13" s="87"/>
      <c r="BH13" s="110">
        <f aca="true" ca="1" t="shared" si="6" ref="BH13:BH18">IF($B$66="",1,INT(RAND()*5)+INT(RAND()*3)*INT(RAND()*2))</f>
        <v>1</v>
      </c>
      <c r="BI13" s="12" t="s">
        <v>22</v>
      </c>
      <c r="BJ13" s="110">
        <f aca="true" ca="1" t="shared" si="7" ref="BJ13:BJ18">IF($B$66="",0,INT(RAND()*5)+INT(RAND()*3)*INT(RAND()*2))</f>
        <v>3</v>
      </c>
      <c r="BK13" s="8" t="s">
        <v>23</v>
      </c>
      <c r="BL13" s="1"/>
      <c r="BM13" s="10" t="str">
        <f>VLOOKUP(2,$BX$12:$CC$15,2,FALSE)</f>
        <v>Irland</v>
      </c>
      <c r="BN13" s="2">
        <f>VLOOKUP(2,$BX$12:$CC$15,3,FALSE)</f>
        <v>7</v>
      </c>
      <c r="BO13" s="2">
        <f>VLOOKUP(2,$BX$12:$CC$15,4,FALSE)</f>
        <v>12</v>
      </c>
      <c r="BP13" s="2">
        <f>VLOOKUP(2,$BX$12:$CC$15,5,FALSE)</f>
        <v>8</v>
      </c>
      <c r="BQ13" s="2">
        <f>VLOOKUP(2,$BX$12:$CC$15,6,FALSE)</f>
        <v>4</v>
      </c>
      <c r="BS13" s="93">
        <f>IF(BJ13="",0,IF(BK13=$B$65,IF(BH13&lt;BJ13,3,IF(BH13=BJ13,1,0)),0))</f>
        <v>3</v>
      </c>
      <c r="BT13" s="92"/>
      <c r="BU13" s="93">
        <f>IF(BH18="",0,IF(BK17=$B$65,IF(BH18&gt;BJ18,3,IF(BH18=BJ18,1,0)),0))</f>
        <v>0</v>
      </c>
      <c r="BV13" s="93">
        <f>IF(BH16="",0,IF(BK16=$B$65,IF(BH16&gt;BJ16,3,IF(BH16=BJ16,1,0)),0))</f>
        <v>0</v>
      </c>
      <c r="BW13" s="1"/>
      <c r="BX13" s="1">
        <f>RANK(CD13,$CD$12:$CD$15)</f>
        <v>3</v>
      </c>
      <c r="BY13" s="95" t="s">
        <v>101</v>
      </c>
      <c r="BZ13" s="1">
        <f>SUM(BS13:BV13)</f>
        <v>3</v>
      </c>
      <c r="CA13" s="1">
        <f>SUM(BS17:BV17)</f>
        <v>4</v>
      </c>
      <c r="CB13" s="1">
        <f>SUM(BT16:BT19)</f>
        <v>6</v>
      </c>
      <c r="CC13" s="1">
        <f>CA13-CB13</f>
        <v>-2</v>
      </c>
      <c r="CD13" s="28">
        <f>IF(BP$18="",(((((((CE13*10+BZ13)*100+CC13)*100+CA13)*10+CK13)*10+CJ13)*100+CP13)*100+CU13)*10+CV13,(((((((CE13*10+BZ13)*10+CK13)*10+CJ13)*100+CP13)*100+CU13)*100+CC13)*100+CA13)*10+CV13)</f>
        <v>299999998043</v>
      </c>
      <c r="CE13" s="5"/>
      <c r="CF13" s="109">
        <f>IF($BZ13=$BZ12,$BS13-$BT12,0)</f>
        <v>0</v>
      </c>
      <c r="CG13" s="109"/>
      <c r="CH13" s="109">
        <f>IF($BZ13=$BZ14,$BU13-$BT14,0)</f>
        <v>0</v>
      </c>
      <c r="CI13" s="109">
        <f>IF($BZ13=$BZ15,$BV13-$BT15,0)</f>
        <v>0</v>
      </c>
      <c r="CJ13" s="109">
        <f>SUM(CF13:CI13)</f>
        <v>0</v>
      </c>
      <c r="CK13" s="5"/>
      <c r="CL13" s="109">
        <f>IF($BZ13=$BZ12,$BS17-$BT16,0)</f>
        <v>0</v>
      </c>
      <c r="CM13" s="109"/>
      <c r="CN13" s="109">
        <f>IF($BZ13=$BZ14,$BU17-$BT18,0)</f>
        <v>0</v>
      </c>
      <c r="CO13" s="109">
        <f>IF($BZ13=$BZ15,$BV17-$BT19,0)</f>
        <v>0</v>
      </c>
      <c r="CP13" s="109">
        <f>SUM(CL13:CO13)</f>
        <v>0</v>
      </c>
      <c r="CQ13" s="109">
        <f>IF($BZ13=$BZ12,$BS17,0)</f>
        <v>0</v>
      </c>
      <c r="CR13" s="109"/>
      <c r="CS13" s="109">
        <f>IF($BZ13=$BZ14,$BU17,0)</f>
        <v>0</v>
      </c>
      <c r="CT13" s="109">
        <f>IF($BZ13=$BZ15,$BV17,0)</f>
        <v>0</v>
      </c>
      <c r="CU13" s="109">
        <f>SUM(CQ13:CT13)</f>
        <v>0</v>
      </c>
      <c r="CV13" s="5">
        <v>3</v>
      </c>
    </row>
    <row r="14" spans="1:100" ht="12.75">
      <c r="A14" s="2">
        <v>4</v>
      </c>
      <c r="B14" s="7">
        <v>43995.875</v>
      </c>
      <c r="C14" s="4" t="s">
        <v>135</v>
      </c>
      <c r="D14" s="88" t="str">
        <f>Y14</f>
        <v>Belgien</v>
      </c>
      <c r="E14" s="52" t="s">
        <v>21</v>
      </c>
      <c r="F14" s="88" t="str">
        <f>Y15</f>
        <v>Russland</v>
      </c>
      <c r="G14" s="87"/>
      <c r="H14" s="111">
        <f ca="1" t="shared" si="4"/>
        <v>2</v>
      </c>
      <c r="I14" s="12" t="s">
        <v>22</v>
      </c>
      <c r="J14" s="111">
        <f ca="1" t="shared" si="5"/>
        <v>6</v>
      </c>
      <c r="K14" s="8" t="s">
        <v>23</v>
      </c>
      <c r="L14" s="1"/>
      <c r="M14" s="10" t="str">
        <f>VLOOKUP(3,$X$12:$AC$15,2,FALSE)</f>
        <v>Russland</v>
      </c>
      <c r="N14" s="2">
        <f>VLOOKUP(3,$X$12:$AC$15,3,FALSE)</f>
        <v>4</v>
      </c>
      <c r="O14" s="2">
        <f>VLOOKUP(3,$X$12:$AC$15,4,FALSE)</f>
        <v>11</v>
      </c>
      <c r="P14" s="2">
        <f>VLOOKUP(3,$X$12:$AC$15,5,FALSE)</f>
        <v>8</v>
      </c>
      <c r="Q14" s="2">
        <f>VLOOKUP(3,$X$12:$AC$15,6,FALSE)</f>
        <v>3</v>
      </c>
      <c r="S14" s="93">
        <f>IF(J15="",0,IF(K15=$B$65,IF(H15&lt;J15,3,IF(H15=J15,1,0)),0))</f>
        <v>1</v>
      </c>
      <c r="T14" s="93">
        <f>IF(J18="",0,IF(K17=$B$65,IF(H18&lt;J18,3,IF(H18=J18,1,0)),0))</f>
        <v>1</v>
      </c>
      <c r="U14" s="92"/>
      <c r="V14" s="93">
        <f>IF(H14="",0,IF(K14=$B$65,IF(H14&gt;J14,3,IF(H14=J14,1,0)),0))</f>
        <v>0</v>
      </c>
      <c r="W14" s="94"/>
      <c r="X14" s="94">
        <f>RANK(AD14,$AD$12:$AD$15)</f>
        <v>4</v>
      </c>
      <c r="Y14" s="95" t="s">
        <v>154</v>
      </c>
      <c r="Z14" s="94">
        <f>SUM(S14:V14)</f>
        <v>2</v>
      </c>
      <c r="AA14" s="94">
        <f>SUM(S18:V18)</f>
        <v>5</v>
      </c>
      <c r="AB14" s="94">
        <f>SUM(U16:U19)</f>
        <v>9</v>
      </c>
      <c r="AC14" s="94">
        <f>AA14-AB14</f>
        <v>-4</v>
      </c>
      <c r="AD14" s="28">
        <f>IF(P$18="",(((((((AE14*10+Z14)*100+AC14)*100+AA14)*10+AK14)*10+AJ14)*100+AP14)*100+AU14)*10+AV14,(((((((AE14*10+Z14)*10+AK14)*10+AJ14)*100+AP14)*100+AU14)*100+AC14)*100+AA14)*10+AV14)</f>
        <v>199999996052</v>
      </c>
      <c r="AE14" s="97"/>
      <c r="AF14" s="108">
        <f>IF($Z14=$Z12,$S14-$U12,0)</f>
        <v>0</v>
      </c>
      <c r="AG14" s="108">
        <f>IF($Z14=$Z13,$T14-$U13,0)</f>
        <v>0</v>
      </c>
      <c r="AH14" s="108"/>
      <c r="AI14" s="108">
        <f>IF($Z14=$Z15,$V14-$U15,0)</f>
        <v>0</v>
      </c>
      <c r="AJ14" s="108">
        <f>SUM(AF14:AI14)</f>
        <v>0</v>
      </c>
      <c r="AK14" s="97"/>
      <c r="AL14" s="108">
        <f>IF($Z14=$Z12,$S18-$U16,0)</f>
        <v>0</v>
      </c>
      <c r="AM14" s="108">
        <f>IF($Z14=$Z13,$T18-$U17,0)</f>
        <v>0</v>
      </c>
      <c r="AN14" s="108"/>
      <c r="AO14" s="108">
        <f>IF($Z14=$Z15,$V18-$U19,0)</f>
        <v>0</v>
      </c>
      <c r="AP14" s="108">
        <f>SUM(AL14:AO14)</f>
        <v>0</v>
      </c>
      <c r="AQ14" s="108">
        <f>IF($Z14=$Z12,$S18,0)</f>
        <v>0</v>
      </c>
      <c r="AR14" s="108">
        <f>IF($Z14=$Z13,$T18,0)</f>
        <v>0</v>
      </c>
      <c r="AS14" s="108"/>
      <c r="AT14" s="108">
        <f>IF($Z14=$Z15,$V18,0)</f>
        <v>0</v>
      </c>
      <c r="AU14" s="108">
        <f>SUM(AQ14:AT14)</f>
        <v>0</v>
      </c>
      <c r="AV14" s="97">
        <v>2</v>
      </c>
      <c r="AW14" s="96"/>
      <c r="BA14" s="2">
        <v>10</v>
      </c>
      <c r="BB14" s="7">
        <v>43997.75</v>
      </c>
      <c r="BC14" s="4" t="s">
        <v>145</v>
      </c>
      <c r="BD14" s="88" t="str">
        <f>BY14</f>
        <v>Polen</v>
      </c>
      <c r="BE14" s="52" t="s">
        <v>21</v>
      </c>
      <c r="BF14" s="88" t="str">
        <f>BY15</f>
        <v>Irland</v>
      </c>
      <c r="BG14" s="87"/>
      <c r="BH14" s="111">
        <f ca="1" t="shared" si="6"/>
        <v>4</v>
      </c>
      <c r="BI14" s="12" t="s">
        <v>22</v>
      </c>
      <c r="BJ14" s="111">
        <f ca="1" t="shared" si="7"/>
        <v>4</v>
      </c>
      <c r="BK14" s="8" t="s">
        <v>23</v>
      </c>
      <c r="BL14" s="1"/>
      <c r="BM14" s="10" t="str">
        <f>VLOOKUP(3,$BX$12:$CC$15,2,FALSE)</f>
        <v>Schweden</v>
      </c>
      <c r="BN14" s="2">
        <f>VLOOKUP(3,$BX$12:$CC$15,3,FALSE)</f>
        <v>3</v>
      </c>
      <c r="BO14" s="2">
        <f>VLOOKUP(3,$BX$12:$CC$15,4,FALSE)</f>
        <v>4</v>
      </c>
      <c r="BP14" s="2">
        <f>VLOOKUP(3,$BX$12:$CC$15,5,FALSE)</f>
        <v>6</v>
      </c>
      <c r="BQ14" s="2">
        <f>VLOOKUP(3,$BX$12:$CC$15,6,FALSE)</f>
        <v>-2</v>
      </c>
      <c r="BS14" s="93">
        <f>IF(BJ15="",0,IF(BK15=$B$65,IF(BH15&lt;BJ15,3,IF(BH15=BJ15,1,0)),0))</f>
        <v>3</v>
      </c>
      <c r="BT14" s="93">
        <f>IF(BJ18="",0,IF(BK17=$B$65,IF(BH18&lt;BJ18,3,IF(BH18=BJ18,1,0)),0))</f>
        <v>3</v>
      </c>
      <c r="BU14" s="92"/>
      <c r="BV14" s="93">
        <f>IF(BH14="",0,IF(BK14=$B$65,IF(BH14&gt;BJ14,3,IF(BH14=BJ14,1,0)),0))</f>
        <v>1</v>
      </c>
      <c r="BW14" s="1"/>
      <c r="BX14" s="1">
        <f>RANK(CD14,$CD$12:$CD$15)</f>
        <v>1</v>
      </c>
      <c r="BY14" s="95" t="s">
        <v>159</v>
      </c>
      <c r="BZ14" s="1">
        <f>SUM(BS14:BV14)</f>
        <v>7</v>
      </c>
      <c r="CA14" s="1">
        <f>SUM(BS18:BV18)</f>
        <v>10</v>
      </c>
      <c r="CB14" s="1">
        <f>SUM(BU16:BU19)</f>
        <v>5</v>
      </c>
      <c r="CC14" s="1">
        <f>CA14-CB14</f>
        <v>5</v>
      </c>
      <c r="CD14" s="28">
        <f>IF(BP$18="",(((((((CE14*10+BZ14)*100+CC14)*100+CA14)*10+CK14)*10+CJ14)*100+CP14)*100+CU14)*10+CV14,(((((((CE14*10+BZ14)*10+CK14)*10+CJ14)*100+CP14)*100+CU14)*100+CC14)*100+CA14)*10+CV14)</f>
        <v>700000405102</v>
      </c>
      <c r="CE14" s="5"/>
      <c r="CF14" s="109">
        <f>IF($BZ14=$BZ12,$BS14-$BU12,0)</f>
        <v>0</v>
      </c>
      <c r="CG14" s="109">
        <f>IF($BZ14=$BZ13,$BT14-$BU13,0)</f>
        <v>0</v>
      </c>
      <c r="CH14" s="109"/>
      <c r="CI14" s="109">
        <f>IF($BZ14=$BZ15,$BV14-$BU15,0)</f>
        <v>0</v>
      </c>
      <c r="CJ14" s="109">
        <f>SUM(CF14:CI14)</f>
        <v>0</v>
      </c>
      <c r="CK14" s="5"/>
      <c r="CL14" s="109">
        <f>IF($BZ14=$BZ12,$BS18-$BU16,0)</f>
        <v>0</v>
      </c>
      <c r="CM14" s="109">
        <f>IF($BZ14=$BZ13,$BT18-$BU17,0)</f>
        <v>0</v>
      </c>
      <c r="CN14" s="109"/>
      <c r="CO14" s="109">
        <f>IF($BZ14=$BZ15,$BV18-$BU19,0)</f>
        <v>0</v>
      </c>
      <c r="CP14" s="109">
        <f>SUM(CL14:CO14)</f>
        <v>0</v>
      </c>
      <c r="CQ14" s="109">
        <f>IF($BZ14=$BZ12,$BS18,0)</f>
        <v>0</v>
      </c>
      <c r="CR14" s="109">
        <f>IF($BZ14=$BZ13,$BT18,0)</f>
        <v>0</v>
      </c>
      <c r="CS14" s="109"/>
      <c r="CT14" s="109">
        <f>IF($BZ14=$BZ15,$BV18,0)</f>
        <v>4</v>
      </c>
      <c r="CU14" s="109">
        <f>SUM(CQ14:CT14)</f>
        <v>4</v>
      </c>
      <c r="CV14" s="5">
        <v>2</v>
      </c>
    </row>
    <row r="15" spans="1:100" ht="12.75">
      <c r="A15" s="2">
        <f>A13+12</f>
        <v>15</v>
      </c>
      <c r="B15" s="7">
        <v>44000.75</v>
      </c>
      <c r="C15" s="4" t="s">
        <v>142</v>
      </c>
      <c r="D15" s="88" t="str">
        <f>Y12</f>
        <v>Dänemark</v>
      </c>
      <c r="E15" s="52" t="s">
        <v>21</v>
      </c>
      <c r="F15" s="88" t="str">
        <f>Y14</f>
        <v>Belgien</v>
      </c>
      <c r="G15" s="87"/>
      <c r="H15" s="111">
        <f ca="1" t="shared" si="4"/>
        <v>3</v>
      </c>
      <c r="I15" s="12" t="s">
        <v>22</v>
      </c>
      <c r="J15" s="111">
        <f ca="1" t="shared" si="5"/>
        <v>3</v>
      </c>
      <c r="K15" s="8" t="s">
        <v>23</v>
      </c>
      <c r="L15" s="1"/>
      <c r="M15" s="10" t="str">
        <f>VLOOKUP(4,$X$12:$AC$15,2,FALSE)</f>
        <v>Belgien</v>
      </c>
      <c r="N15" s="2">
        <f>VLOOKUP(4,$X$12:$AC$15,3,FALSE)</f>
        <v>2</v>
      </c>
      <c r="O15" s="2">
        <f>VLOOKUP(4,$X$12:$AC$15,4,FALSE)</f>
        <v>5</v>
      </c>
      <c r="P15" s="2">
        <f>VLOOKUP(4,$X$12:$AC$15,5,FALSE)</f>
        <v>9</v>
      </c>
      <c r="Q15" s="2">
        <f>VLOOKUP(4,$X$12:$AC$15,6,FALSE)</f>
        <v>-4</v>
      </c>
      <c r="S15" s="93">
        <f>IF(H17="",0,IF(K18=$B$65,IF(H17&gt;J17,3,IF(H17=J17,1,0)),0))</f>
        <v>1</v>
      </c>
      <c r="T15" s="93">
        <f>IF(J16="",0,IF(K16=$B$65,IF(H16&lt;J16,3,IF(H16=J16,1,0)),0))</f>
        <v>0</v>
      </c>
      <c r="U15" s="93">
        <f>IF(J14="",0,IF(K14=$B$65,IF(H14&lt;J14,3,IF(H14=J14,1,0)),0))</f>
        <v>3</v>
      </c>
      <c r="V15" s="92"/>
      <c r="W15" s="94"/>
      <c r="X15" s="94">
        <f>RANK(AD15,$AD$12:$AD$15)</f>
        <v>3</v>
      </c>
      <c r="Y15" s="95" t="s">
        <v>153</v>
      </c>
      <c r="Z15" s="94">
        <f>SUM(S15:V15)</f>
        <v>4</v>
      </c>
      <c r="AA15" s="94">
        <f>SUM(S19:V19)</f>
        <v>11</v>
      </c>
      <c r="AB15" s="94">
        <f>SUM(V16:V19)</f>
        <v>8</v>
      </c>
      <c r="AC15" s="94">
        <f>AA15-AB15</f>
        <v>3</v>
      </c>
      <c r="AD15" s="28">
        <f>IF(P$18="",(((((((AE15*10+Z15)*100+AC15)*100+AA15)*10+AK15)*10+AJ15)*100+AP15)*100+AU15)*10+AV15,(((((((AE15*10+Z15)*10+AK15)*10+AJ15)*100+AP15)*100+AU15)*100+AC15)*100+AA15)*10+AV15)</f>
        <v>396990403111</v>
      </c>
      <c r="AE15" s="97"/>
      <c r="AF15" s="108">
        <f>IF($Z15=$Z12,$S15-$V12,0)</f>
        <v>0</v>
      </c>
      <c r="AG15" s="108">
        <f>IF($Z15=$Z13,$T15-$V13,0)</f>
        <v>-3</v>
      </c>
      <c r="AH15" s="108">
        <f>IF($Z15=$Z14,$U15-$V14,0)</f>
        <v>0</v>
      </c>
      <c r="AI15" s="108"/>
      <c r="AJ15" s="108">
        <f>SUM(AF15:AI15)</f>
        <v>-3</v>
      </c>
      <c r="AK15" s="97"/>
      <c r="AL15" s="108">
        <f>IF($Z15=$Z12,$S19-$V16,0)</f>
        <v>0</v>
      </c>
      <c r="AM15" s="108">
        <f>IF($Z15=$Z13,$T19-$V17,0)</f>
        <v>-1</v>
      </c>
      <c r="AN15" s="108">
        <f>IF($Z15=$Z14,$U19-$V18,0)</f>
        <v>0</v>
      </c>
      <c r="AO15" s="108"/>
      <c r="AP15" s="108">
        <f>SUM(AL15:AO15)</f>
        <v>-1</v>
      </c>
      <c r="AQ15" s="108">
        <f>IF($Z15=$Z12,$S19,0)</f>
        <v>0</v>
      </c>
      <c r="AR15" s="108">
        <f>IF($Z15=$Z13,$T19,0)</f>
        <v>4</v>
      </c>
      <c r="AS15" s="108">
        <f>IF($Z15=$Z14,$U19,0)</f>
        <v>0</v>
      </c>
      <c r="AT15" s="108"/>
      <c r="AU15" s="108">
        <f>SUM(AQ15:AT15)</f>
        <v>4</v>
      </c>
      <c r="AV15" s="97">
        <v>1</v>
      </c>
      <c r="AW15" s="96"/>
      <c r="BA15" s="2">
        <f>BA13+12</f>
        <v>21</v>
      </c>
      <c r="BB15" s="7">
        <v>44002.875</v>
      </c>
      <c r="BC15" s="4" t="s">
        <v>140</v>
      </c>
      <c r="BD15" s="88" t="str">
        <f>BY12</f>
        <v>Spanien</v>
      </c>
      <c r="BE15" s="52" t="s">
        <v>21</v>
      </c>
      <c r="BF15" s="88" t="str">
        <f>BY14</f>
        <v>Polen</v>
      </c>
      <c r="BG15" s="87"/>
      <c r="BH15" s="111">
        <f ca="1" t="shared" si="6"/>
        <v>1</v>
      </c>
      <c r="BI15" s="12" t="s">
        <v>22</v>
      </c>
      <c r="BJ15" s="111">
        <f ca="1" t="shared" si="7"/>
        <v>5</v>
      </c>
      <c r="BK15" s="8" t="s">
        <v>23</v>
      </c>
      <c r="BL15" s="1"/>
      <c r="BM15" s="10" t="str">
        <f>VLOOKUP(4,$BX$12:CC$15,2,FALSE)</f>
        <v>Spanien</v>
      </c>
      <c r="BN15" s="2">
        <f>VLOOKUP(4,$BX$12:$CC$15,3,FALSE)</f>
        <v>0</v>
      </c>
      <c r="BO15" s="2">
        <f>VLOOKUP(4,$BX$12:$CC$15,4,FALSE)</f>
        <v>5</v>
      </c>
      <c r="BP15" s="2">
        <f>VLOOKUP(4,$BX$12:$CC$15,5,FALSE)</f>
        <v>12</v>
      </c>
      <c r="BQ15" s="2">
        <f>VLOOKUP(4,$BX$12:$CC$15,6,FALSE)</f>
        <v>-7</v>
      </c>
      <c r="BS15" s="93">
        <f>IF(BH17="",0,IF(BK18=$B$65,IF(BH17&gt;BJ17,3,IF(BH17=BJ17,1,0)),0))</f>
        <v>3</v>
      </c>
      <c r="BT15" s="93">
        <f>IF(BJ16="",0,IF(BK16=$B$65,IF(BH16&lt;BJ16,3,IF(BH16=BJ16,1,0)),0))</f>
        <v>3</v>
      </c>
      <c r="BU15" s="93">
        <f>IF(BJ14="",0,IF(BK14=$B$65,IF(BH14&lt;BJ14,3,IF(BH14=BJ14,1,0)),0))</f>
        <v>1</v>
      </c>
      <c r="BV15" s="92"/>
      <c r="BW15" s="1"/>
      <c r="BX15" s="1">
        <f>RANK(CD15,$CD$12:$CD$15)</f>
        <v>2</v>
      </c>
      <c r="BY15" s="95" t="s">
        <v>162</v>
      </c>
      <c r="BZ15" s="1">
        <f>SUM(BS15:BV15)</f>
        <v>7</v>
      </c>
      <c r="CA15" s="1">
        <f>SUM(BS19:BV19)</f>
        <v>12</v>
      </c>
      <c r="CB15" s="1">
        <f>SUM(BV16:BV19)</f>
        <v>8</v>
      </c>
      <c r="CC15" s="1">
        <f>CA15-CB15</f>
        <v>4</v>
      </c>
      <c r="CD15" s="28">
        <f>IF(BP$18="",(((((((CE15*10+BZ15)*100+CC15)*100+CA15)*10+CK15)*10+CJ15)*100+CP15)*100+CU15)*10+CV15,(((((((CE15*10+BZ15)*10+CK15)*10+CJ15)*100+CP15)*100+CU15)*100+CC15)*100+CA15)*10+CV15)</f>
        <v>700000404121</v>
      </c>
      <c r="CE15" s="5"/>
      <c r="CF15" s="109">
        <f>IF($BZ15=$BZ12,$BS15-$BV12,0)</f>
        <v>0</v>
      </c>
      <c r="CG15" s="109">
        <f>IF($BZ15=$BZ13,$BT15-$BV13,0)</f>
        <v>0</v>
      </c>
      <c r="CH15" s="109">
        <f>IF($BZ15=$BZ14,$BU15-$BV14,0)</f>
        <v>0</v>
      </c>
      <c r="CI15" s="109"/>
      <c r="CJ15" s="109">
        <f>SUM(CF15:CI15)</f>
        <v>0</v>
      </c>
      <c r="CK15" s="5"/>
      <c r="CL15" s="109">
        <f>IF($BZ15=$BZ12,$BS19-$BV16,0)</f>
        <v>0</v>
      </c>
      <c r="CM15" s="109">
        <f>IF($BZ15=$BZ13,$BT19-$BV17,0)</f>
        <v>0</v>
      </c>
      <c r="CN15" s="109">
        <f>IF($BZ15=$BZ14,$BU19-$BV18,0)</f>
        <v>0</v>
      </c>
      <c r="CO15" s="109"/>
      <c r="CP15" s="109">
        <f>SUM(CL15:CO15)</f>
        <v>0</v>
      </c>
      <c r="CQ15" s="109">
        <f>IF($BZ15=$BZ12,$BS19,0)</f>
        <v>0</v>
      </c>
      <c r="CR15" s="109">
        <f>IF($BZ15=$BZ13,$BT19,0)</f>
        <v>0</v>
      </c>
      <c r="CS15" s="109">
        <f>IF($BZ15=$BZ14,$BU19,0)</f>
        <v>4</v>
      </c>
      <c r="CT15" s="109"/>
      <c r="CU15" s="109">
        <f>SUM(CQ15:CT15)</f>
        <v>4</v>
      </c>
      <c r="CV15" s="5">
        <v>1</v>
      </c>
    </row>
    <row r="16" spans="1:100" ht="12.75">
      <c r="A16" s="2">
        <f>A14+12</f>
        <v>16</v>
      </c>
      <c r="B16" s="4">
        <v>43999.625</v>
      </c>
      <c r="C16" s="4" t="s">
        <v>135</v>
      </c>
      <c r="D16" s="88" t="str">
        <f>Y13</f>
        <v>Finnland</v>
      </c>
      <c r="E16" s="52" t="s">
        <v>21</v>
      </c>
      <c r="F16" s="88" t="str">
        <f>Y15</f>
        <v>Russland</v>
      </c>
      <c r="G16" s="87"/>
      <c r="H16" s="111">
        <f ca="1" t="shared" si="4"/>
        <v>5</v>
      </c>
      <c r="I16" s="12" t="s">
        <v>22</v>
      </c>
      <c r="J16" s="111">
        <f ca="1" t="shared" si="5"/>
        <v>4</v>
      </c>
      <c r="K16" s="8" t="s">
        <v>23</v>
      </c>
      <c r="L16" s="1"/>
      <c r="N16" s="1"/>
      <c r="O16" s="1"/>
      <c r="P16" s="1"/>
      <c r="S16" s="92"/>
      <c r="T16" s="93">
        <f>IF(K13=$B$65,H13,0)</f>
        <v>4</v>
      </c>
      <c r="U16" s="93">
        <f>IF(K15=$B$65,H15,0)</f>
        <v>3</v>
      </c>
      <c r="V16" s="93">
        <f>IF(K18=$B$65,J17,0)</f>
        <v>1</v>
      </c>
      <c r="W16" s="94"/>
      <c r="X16" s="94"/>
      <c r="Y16" s="94"/>
      <c r="Z16" s="94"/>
      <c r="AA16" s="94"/>
      <c r="AB16" s="94"/>
      <c r="AC16" s="94"/>
      <c r="AD16" s="98"/>
      <c r="AE16" s="99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V16" s="108"/>
      <c r="AW16" s="96"/>
      <c r="BA16" s="2">
        <f>BA14+12</f>
        <v>22</v>
      </c>
      <c r="BB16" s="7">
        <v>44001.625</v>
      </c>
      <c r="BC16" s="4" t="s">
        <v>145</v>
      </c>
      <c r="BD16" s="88" t="str">
        <f>BY13</f>
        <v>Schweden</v>
      </c>
      <c r="BE16" s="52" t="s">
        <v>21</v>
      </c>
      <c r="BF16" s="88" t="str">
        <f>BY15</f>
        <v>Irland</v>
      </c>
      <c r="BG16" s="87"/>
      <c r="BH16" s="111">
        <f ca="1" t="shared" si="6"/>
        <v>1</v>
      </c>
      <c r="BI16" s="12" t="s">
        <v>22</v>
      </c>
      <c r="BJ16" s="111">
        <f ca="1" t="shared" si="7"/>
        <v>4</v>
      </c>
      <c r="BK16" s="8" t="s">
        <v>23</v>
      </c>
      <c r="BL16" s="1"/>
      <c r="BN16" s="1"/>
      <c r="BO16" s="1"/>
      <c r="BP16" s="1"/>
      <c r="BS16" s="92"/>
      <c r="BT16" s="93">
        <f>IF(BK13=$B$65,BH13,0)</f>
        <v>1</v>
      </c>
      <c r="BU16" s="93">
        <f>IF(BK15=$B$65,BH15,0)</f>
        <v>1</v>
      </c>
      <c r="BV16" s="93">
        <f>IF(BK18=$B$65,BJ17,0)</f>
        <v>3</v>
      </c>
      <c r="BW16" s="1"/>
      <c r="BX16" s="1"/>
      <c r="BY16" s="94"/>
      <c r="BZ16" s="1"/>
      <c r="CA16" s="1"/>
      <c r="CB16" s="1"/>
      <c r="CC16" s="1"/>
      <c r="CD16" s="6"/>
      <c r="CE16" s="8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V16" s="109"/>
    </row>
    <row r="17" spans="1:100" ht="12.75">
      <c r="A17" s="2">
        <f>A15+12</f>
        <v>27</v>
      </c>
      <c r="B17" s="7">
        <v>44004.875</v>
      </c>
      <c r="C17" s="4" t="s">
        <v>142</v>
      </c>
      <c r="D17" s="88" t="str">
        <f>Y15</f>
        <v>Russland</v>
      </c>
      <c r="E17" s="52" t="s">
        <v>21</v>
      </c>
      <c r="F17" s="88" t="str">
        <f>Y12</f>
        <v>Dänemark</v>
      </c>
      <c r="G17" s="86"/>
      <c r="H17" s="110">
        <f ca="1" t="shared" si="4"/>
        <v>1</v>
      </c>
      <c r="I17" s="14" t="s">
        <v>22</v>
      </c>
      <c r="J17" s="110">
        <f ca="1" t="shared" si="5"/>
        <v>1</v>
      </c>
      <c r="K17" s="8" t="s">
        <v>23</v>
      </c>
      <c r="M17" s="45" t="str">
        <f>IF(N12&gt;0,M12,"")</f>
        <v>Dänemark</v>
      </c>
      <c r="N17" s="2" t="s">
        <v>27</v>
      </c>
      <c r="P17" s="34"/>
      <c r="S17" s="93">
        <f>IF(K13=$B$65,J13,0)</f>
        <v>1</v>
      </c>
      <c r="T17" s="92"/>
      <c r="U17" s="93">
        <f>IF(K17=$B$65,H18,0)</f>
        <v>0</v>
      </c>
      <c r="V17" s="93">
        <f>IF(K16=$B$65,H16,0)</f>
        <v>5</v>
      </c>
      <c r="AD17" s="86" t="s">
        <v>118</v>
      </c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V17" s="112"/>
      <c r="AW17" s="96"/>
      <c r="BA17" s="2">
        <f>BA15+12</f>
        <v>33</v>
      </c>
      <c r="BB17" s="7">
        <v>44006.75</v>
      </c>
      <c r="BC17" s="4" t="s">
        <v>140</v>
      </c>
      <c r="BD17" s="88" t="str">
        <f>BY15</f>
        <v>Irland</v>
      </c>
      <c r="BE17" s="52" t="s">
        <v>21</v>
      </c>
      <c r="BF17" s="88" t="str">
        <f>BY12</f>
        <v>Spanien</v>
      </c>
      <c r="BG17" s="86"/>
      <c r="BH17" s="110">
        <f ca="1" t="shared" si="6"/>
        <v>4</v>
      </c>
      <c r="BI17" s="14" t="s">
        <v>22</v>
      </c>
      <c r="BJ17" s="110">
        <f ca="1" t="shared" si="7"/>
        <v>3</v>
      </c>
      <c r="BK17" s="8" t="s">
        <v>23</v>
      </c>
      <c r="BM17" s="48" t="str">
        <f>IF(BN12&gt;0,BM12,"")</f>
        <v>Polen</v>
      </c>
      <c r="BN17" s="2" t="s">
        <v>36</v>
      </c>
      <c r="BP17" s="34"/>
      <c r="BS17" s="93">
        <f>IF(BK13=$B$65,BJ13,0)</f>
        <v>3</v>
      </c>
      <c r="BT17" s="92"/>
      <c r="BU17" s="93">
        <f>IF(BK17=$B$65,BH18,0)</f>
        <v>0</v>
      </c>
      <c r="BV17" s="93">
        <f>IF(BK16=$B$65,BH16,0)</f>
        <v>1</v>
      </c>
      <c r="CD17" s="2" t="s">
        <v>118</v>
      </c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V17" s="113"/>
    </row>
    <row r="18" spans="1:100" ht="12.75">
      <c r="A18" s="2">
        <f>A16+12</f>
        <v>28</v>
      </c>
      <c r="B18" s="7">
        <v>44004.875</v>
      </c>
      <c r="C18" s="4" t="s">
        <v>135</v>
      </c>
      <c r="D18" s="88" t="str">
        <f>Y13</f>
        <v>Finnland</v>
      </c>
      <c r="E18" s="52" t="s">
        <v>21</v>
      </c>
      <c r="F18" s="88" t="str">
        <f>Y14</f>
        <v>Belgien</v>
      </c>
      <c r="G18" s="86"/>
      <c r="H18" s="111">
        <f ca="1" t="shared" si="4"/>
        <v>0</v>
      </c>
      <c r="I18" s="12" t="s">
        <v>22</v>
      </c>
      <c r="J18" s="111">
        <f ca="1" t="shared" si="5"/>
        <v>0</v>
      </c>
      <c r="K18" s="8" t="s">
        <v>23</v>
      </c>
      <c r="M18" s="45" t="str">
        <f>IF(N13&gt;0,M13,"")</f>
        <v>Finnland</v>
      </c>
      <c r="N18" s="2" t="s">
        <v>28</v>
      </c>
      <c r="O18" s="35"/>
      <c r="P18" s="36" t="s">
        <v>11</v>
      </c>
      <c r="S18" s="93">
        <f>IF(K15=$B$65,J15,0)</f>
        <v>3</v>
      </c>
      <c r="T18" s="93">
        <f>IF(K17=$B$65,J18,0)</f>
        <v>0</v>
      </c>
      <c r="U18" s="92"/>
      <c r="V18" s="93">
        <f>IF(K14=$B$65,H14,0)</f>
        <v>2</v>
      </c>
      <c r="AD18" s="86" t="s">
        <v>119</v>
      </c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V18" s="112"/>
      <c r="AW18" s="96"/>
      <c r="BA18" s="2">
        <f>BA16+12</f>
        <v>34</v>
      </c>
      <c r="BB18" s="7">
        <v>44006.75</v>
      </c>
      <c r="BC18" s="4" t="s">
        <v>145</v>
      </c>
      <c r="BD18" s="88" t="str">
        <f>BY13</f>
        <v>Schweden</v>
      </c>
      <c r="BE18" s="52" t="s">
        <v>21</v>
      </c>
      <c r="BF18" s="88" t="str">
        <f>BY14</f>
        <v>Polen</v>
      </c>
      <c r="BG18" s="86"/>
      <c r="BH18" s="111">
        <f ca="1" t="shared" si="6"/>
        <v>0</v>
      </c>
      <c r="BI18" s="12" t="s">
        <v>22</v>
      </c>
      <c r="BJ18" s="111">
        <f ca="1" t="shared" si="7"/>
        <v>1</v>
      </c>
      <c r="BK18" s="8" t="s">
        <v>23</v>
      </c>
      <c r="BM18" s="48" t="str">
        <f>IF(BN13&gt;0,BM13,"")</f>
        <v>Irland</v>
      </c>
      <c r="BN18" s="2" t="s">
        <v>37</v>
      </c>
      <c r="BO18" s="35"/>
      <c r="BP18" s="36" t="s">
        <v>11</v>
      </c>
      <c r="BS18" s="93">
        <f>IF(BK15=$B$65,BJ15,0)</f>
        <v>5</v>
      </c>
      <c r="BT18" s="93">
        <f>IF(BK17=$B$65,BJ18,0)</f>
        <v>1</v>
      </c>
      <c r="BU18" s="92"/>
      <c r="BV18" s="93">
        <f>IF(BK14=$B$65,BH14,0)</f>
        <v>4</v>
      </c>
      <c r="CD18" s="2" t="s">
        <v>119</v>
      </c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V18" s="113"/>
    </row>
    <row r="19" spans="4:100" ht="12.75">
      <c r="D19" s="86"/>
      <c r="E19" s="86"/>
      <c r="F19" s="86"/>
      <c r="G19" s="86"/>
      <c r="M19" s="45" t="str">
        <f>IF(N14&gt;0,M14,"")</f>
        <v>Russland</v>
      </c>
      <c r="N19" s="2" t="s">
        <v>74</v>
      </c>
      <c r="S19" s="93">
        <f>IF(K18=$B$65,H17,0)</f>
        <v>1</v>
      </c>
      <c r="T19" s="93">
        <f>IF(K16=$B$65,J16,0)</f>
        <v>4</v>
      </c>
      <c r="U19" s="93">
        <f>IF(K14=$B$65,J14,0)</f>
        <v>6</v>
      </c>
      <c r="V19" s="92"/>
      <c r="AD19" s="86" t="s">
        <v>120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V19" s="112"/>
      <c r="AW19" s="96"/>
      <c r="BB19" s="2" t="s">
        <v>2</v>
      </c>
      <c r="BD19" s="86"/>
      <c r="BE19" s="86"/>
      <c r="BF19" s="86"/>
      <c r="BG19" s="86"/>
      <c r="BM19" s="48" t="str">
        <f>IF(BN14&gt;0,BM14,"")</f>
        <v>Schweden</v>
      </c>
      <c r="BN19" s="2" t="s">
        <v>75</v>
      </c>
      <c r="BS19" s="93">
        <f>IF(BK18=$B$65,BH17,0)</f>
        <v>4</v>
      </c>
      <c r="BT19" s="93">
        <f>IF(BK16=$B$65,BJ16,0)</f>
        <v>4</v>
      </c>
      <c r="BU19" s="93">
        <f>IF(BK14=$B$65,BJ14,0)</f>
        <v>4</v>
      </c>
      <c r="BV19" s="92"/>
      <c r="CD19" s="2" t="s">
        <v>120</v>
      </c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V19" s="113"/>
    </row>
    <row r="20" spans="4:100" ht="6" customHeight="1">
      <c r="D20" s="86"/>
      <c r="E20" s="89"/>
      <c r="F20" s="91"/>
      <c r="G20" s="91"/>
      <c r="H20" s="86"/>
      <c r="I20" s="86"/>
      <c r="J20" s="86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V20" s="112"/>
      <c r="AW20" s="96"/>
      <c r="BD20" s="86"/>
      <c r="BE20" s="89"/>
      <c r="BF20" s="91"/>
      <c r="BG20" s="91"/>
      <c r="BH20" s="86"/>
      <c r="BI20" s="86"/>
      <c r="BJ20" s="86"/>
      <c r="BS20" s="86"/>
      <c r="BT20" s="86"/>
      <c r="BU20" s="86"/>
      <c r="BV20" s="86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V20" s="113"/>
    </row>
    <row r="21" spans="2:100" s="11" customFormat="1" ht="12.75">
      <c r="B21" s="31" t="s">
        <v>0</v>
      </c>
      <c r="C21" s="29" t="s">
        <v>29</v>
      </c>
      <c r="D21" s="87" t="s">
        <v>2</v>
      </c>
      <c r="E21" s="101"/>
      <c r="F21" s="87"/>
      <c r="G21" s="87"/>
      <c r="H21" s="22"/>
      <c r="I21" s="21"/>
      <c r="J21" s="22"/>
      <c r="K21" s="23"/>
      <c r="L21" s="18"/>
      <c r="M21" s="43" t="s">
        <v>3</v>
      </c>
      <c r="N21" s="18" t="s">
        <v>4</v>
      </c>
      <c r="O21" s="18" t="s">
        <v>5</v>
      </c>
      <c r="P21" s="18" t="s">
        <v>6</v>
      </c>
      <c r="Q21" s="18" t="s">
        <v>7</v>
      </c>
      <c r="R21" s="18"/>
      <c r="S21" s="86"/>
      <c r="T21" s="86"/>
      <c r="U21" s="86"/>
      <c r="V21" s="86"/>
      <c r="W21" s="87"/>
      <c r="X21" s="87" t="s">
        <v>8</v>
      </c>
      <c r="Y21" s="88" t="s">
        <v>9</v>
      </c>
      <c r="Z21" s="87" t="s">
        <v>4</v>
      </c>
      <c r="AA21" s="87" t="s">
        <v>5</v>
      </c>
      <c r="AB21" s="87" t="s">
        <v>6</v>
      </c>
      <c r="AC21" s="87" t="s">
        <v>7</v>
      </c>
      <c r="AD21" s="87"/>
      <c r="AE21" s="21" t="s">
        <v>10</v>
      </c>
      <c r="AF21" s="52" t="s">
        <v>11</v>
      </c>
      <c r="AG21" s="52"/>
      <c r="AH21" s="52"/>
      <c r="AI21" s="52"/>
      <c r="AJ21" s="52" t="s">
        <v>12</v>
      </c>
      <c r="AK21" s="88" t="s">
        <v>13</v>
      </c>
      <c r="AL21" s="52" t="s">
        <v>14</v>
      </c>
      <c r="AM21" s="52"/>
      <c r="AN21" s="52"/>
      <c r="AO21" s="52"/>
      <c r="AP21" s="52" t="s">
        <v>15</v>
      </c>
      <c r="AQ21" s="52" t="s">
        <v>16</v>
      </c>
      <c r="AR21" s="52"/>
      <c r="AS21" s="52"/>
      <c r="AT21" s="52"/>
      <c r="AU21" s="89" t="s">
        <v>17</v>
      </c>
      <c r="AV21" s="88" t="s">
        <v>18</v>
      </c>
      <c r="AW21" s="90"/>
      <c r="AX21" s="91"/>
      <c r="AY21" s="91"/>
      <c r="AZ21" s="91"/>
      <c r="BB21" s="39" t="s">
        <v>0</v>
      </c>
      <c r="BC21" s="49" t="s">
        <v>38</v>
      </c>
      <c r="BD21" s="87" t="s">
        <v>2</v>
      </c>
      <c r="BE21" s="101"/>
      <c r="BF21" s="87"/>
      <c r="BG21" s="87"/>
      <c r="BH21" s="22"/>
      <c r="BI21" s="21"/>
      <c r="BJ21" s="22"/>
      <c r="BK21" s="23"/>
      <c r="BL21" s="18"/>
      <c r="BM21" s="43" t="s">
        <v>3</v>
      </c>
      <c r="BN21" s="18" t="s">
        <v>4</v>
      </c>
      <c r="BO21" s="18" t="s">
        <v>5</v>
      </c>
      <c r="BP21" s="18" t="s">
        <v>6</v>
      </c>
      <c r="BQ21" s="18" t="s">
        <v>7</v>
      </c>
      <c r="BR21" s="18"/>
      <c r="BS21" s="86"/>
      <c r="BT21" s="86"/>
      <c r="BU21" s="86"/>
      <c r="BV21" s="86"/>
      <c r="BW21" s="18"/>
      <c r="BX21" s="18" t="s">
        <v>8</v>
      </c>
      <c r="BY21" s="88" t="s">
        <v>9</v>
      </c>
      <c r="BZ21" s="18" t="s">
        <v>4</v>
      </c>
      <c r="CA21" s="18" t="s">
        <v>5</v>
      </c>
      <c r="CB21" s="18" t="s">
        <v>6</v>
      </c>
      <c r="CC21" s="18" t="s">
        <v>7</v>
      </c>
      <c r="CD21" s="18"/>
      <c r="CE21" s="23" t="s">
        <v>10</v>
      </c>
      <c r="CF21" s="16" t="s">
        <v>11</v>
      </c>
      <c r="CG21" s="16"/>
      <c r="CH21" s="16"/>
      <c r="CI21" s="16"/>
      <c r="CJ21" s="16" t="s">
        <v>12</v>
      </c>
      <c r="CK21" s="24" t="s">
        <v>13</v>
      </c>
      <c r="CL21" s="16" t="s">
        <v>14</v>
      </c>
      <c r="CM21" s="16"/>
      <c r="CN21" s="16"/>
      <c r="CO21" s="16"/>
      <c r="CP21" s="16" t="s">
        <v>15</v>
      </c>
      <c r="CQ21" s="16" t="s">
        <v>16</v>
      </c>
      <c r="CR21" s="16"/>
      <c r="CS21" s="16"/>
      <c r="CT21" s="16"/>
      <c r="CU21" s="17" t="s">
        <v>17</v>
      </c>
      <c r="CV21" s="24" t="s">
        <v>18</v>
      </c>
    </row>
    <row r="22" spans="2:100" ht="12.75">
      <c r="B22" s="3" t="s">
        <v>19</v>
      </c>
      <c r="C22" s="3" t="s">
        <v>20</v>
      </c>
      <c r="D22" s="86"/>
      <c r="E22" s="86"/>
      <c r="F22" s="86"/>
      <c r="G22" s="86"/>
      <c r="L22" s="1"/>
      <c r="M22" s="10" t="str">
        <f>VLOOKUP(1,$X$22:$AC$25,2,FALSE)</f>
        <v>Ukraine</v>
      </c>
      <c r="N22" s="2">
        <f>VLOOKUP(1,$X$22:$AC$25,3,FALSE)</f>
        <v>9</v>
      </c>
      <c r="O22" s="2">
        <f>VLOOKUP(1,$X$22:$AC$25,4,FALSE)</f>
        <v>9</v>
      </c>
      <c r="P22" s="2">
        <f>VLOOKUP(1,$X$22:$AC$25,5,FALSE)</f>
        <v>4</v>
      </c>
      <c r="Q22" s="2">
        <f>VLOOKUP(1,$X$22:$AC$25,6,FALSE)</f>
        <v>5</v>
      </c>
      <c r="S22" s="92"/>
      <c r="T22" s="93">
        <f>IF(H23="",0,IF(K23=$B$65,IF(H23&gt;J23,3,IF(H23=J23,1,0)),0))</f>
        <v>0</v>
      </c>
      <c r="U22" s="93">
        <f>IF(H25="",0,IF(K25=$B$65,IF(H25&gt;J25,3,IF(H25=J25,1,0)),0))</f>
        <v>1</v>
      </c>
      <c r="V22" s="93">
        <f>IF(J27="",0,IF(K28=$B$65,IF(H27&lt;J27,3,IF(H27=J27,1,0)),0))</f>
        <v>3</v>
      </c>
      <c r="W22" s="94"/>
      <c r="X22" s="94">
        <f>RANK(AD22,$AD$22:$AD$25)</f>
        <v>2</v>
      </c>
      <c r="Y22" s="95" t="s">
        <v>68</v>
      </c>
      <c r="Z22" s="94">
        <f>SUM(S22:V22)</f>
        <v>4</v>
      </c>
      <c r="AA22" s="94">
        <f>SUM(S26:V26)</f>
        <v>6</v>
      </c>
      <c r="AB22" s="94">
        <f>SUM(S26:S29)</f>
        <v>6</v>
      </c>
      <c r="AC22" s="94">
        <f>AA22-AB22</f>
        <v>0</v>
      </c>
      <c r="AD22" s="28">
        <f>IF(P$28="",(((((((AE22*10+Z22)*100+AC22)*100+AA22)*10+AK22)*10+AJ22)*100+AP22)*100+AU22)*10+AV22,(((((((AE22*10+Z22)*10+AK22)*10+AJ22)*100+AP22)*100+AU22)*100+AC22)*100+AA22)*10+AV22)</f>
        <v>400000000064</v>
      </c>
      <c r="AE22" s="97"/>
      <c r="AF22" s="108"/>
      <c r="AG22" s="108">
        <f>IF($Z22=$Z23,$T22-$S23,0)</f>
        <v>0</v>
      </c>
      <c r="AH22" s="108">
        <f>IF($Z22=$Z24,$U22-$S24,0)</f>
        <v>0</v>
      </c>
      <c r="AI22" s="108">
        <f>IF($Z22=$Z25,$V22-$S25,0)</f>
        <v>0</v>
      </c>
      <c r="AJ22" s="108">
        <f>SUM(AF22:AI22)</f>
        <v>0</v>
      </c>
      <c r="AK22" s="97"/>
      <c r="AL22" s="108"/>
      <c r="AM22" s="108">
        <f>IF($Z22=$Z23,$T26-$S27,0)</f>
        <v>0</v>
      </c>
      <c r="AN22" s="108">
        <f>IF($Z22=$Z24,$U26-$S28,0)</f>
        <v>0</v>
      </c>
      <c r="AO22" s="108">
        <f>IF($Z22=$Z25,$V26-$S29,0)</f>
        <v>0</v>
      </c>
      <c r="AP22" s="108">
        <f>SUM(AL22:AO22)</f>
        <v>0</v>
      </c>
      <c r="AQ22" s="108"/>
      <c r="AR22" s="108">
        <f>IF($Z22=$Z23,$T26,0)</f>
        <v>0</v>
      </c>
      <c r="AS22" s="108">
        <f>IF($Z22=$Z24,$U26,0)</f>
        <v>0</v>
      </c>
      <c r="AT22" s="108">
        <f>IF($Z22=$Z25,$V26,0)</f>
        <v>0</v>
      </c>
      <c r="AU22" s="108">
        <f>SUM(AQ22:AT22)</f>
        <v>0</v>
      </c>
      <c r="AV22" s="97">
        <v>4</v>
      </c>
      <c r="AW22" s="96"/>
      <c r="BB22" s="3" t="s">
        <v>19</v>
      </c>
      <c r="BC22" s="3" t="s">
        <v>20</v>
      </c>
      <c r="BD22" s="86"/>
      <c r="BE22" s="86"/>
      <c r="BF22" s="86"/>
      <c r="BG22" s="86"/>
      <c r="BL22" s="1"/>
      <c r="BM22" s="10" t="str">
        <f>VLOOKUP(1,$BX$22:$CC$25,2,FALSE)</f>
        <v>Portugal</v>
      </c>
      <c r="BN22" s="2">
        <f>VLOOKUP(1,$BX$22:$CC$25,3,FALSE)</f>
        <v>6</v>
      </c>
      <c r="BO22" s="2">
        <f>VLOOKUP(1,$BX$22:$CC$25,4,FALSE)</f>
        <v>9</v>
      </c>
      <c r="BP22" s="2">
        <f>VLOOKUP(1,$BX$22:$CC$25,5,FALSE)</f>
        <v>8</v>
      </c>
      <c r="BQ22" s="2">
        <f>VLOOKUP(1,$BX$22:$CC$25,6,FALSE)</f>
        <v>1</v>
      </c>
      <c r="BS22" s="92"/>
      <c r="BT22" s="93">
        <f>IF(BH23="",0,IF(BK23=$B$65,IF(BH23&gt;BJ23,3,IF(BH23=BJ23,1,0)),0))</f>
        <v>0</v>
      </c>
      <c r="BU22" s="93">
        <f>IF(BH25="",0,IF(BK25=$B$65,IF(BH25&gt;BJ25,3,IF(BH25=BJ25,1,0)),0))</f>
        <v>3</v>
      </c>
      <c r="BV22" s="93">
        <f>IF(BJ27="",0,IF(BK28=$B$65,IF(BH27&lt;BJ27,3,IF(BH27=BJ27,1,0)),0))</f>
        <v>1</v>
      </c>
      <c r="BW22" s="1"/>
      <c r="BX22" s="1">
        <f>RANK(CD22,$CD$22:$CD$25)</f>
        <v>3</v>
      </c>
      <c r="BY22" s="95" t="s">
        <v>161</v>
      </c>
      <c r="BZ22" s="1">
        <f>SUM(BS22:BV22)</f>
        <v>4</v>
      </c>
      <c r="CA22" s="1">
        <f>SUM(BS26:BV26)</f>
        <v>9</v>
      </c>
      <c r="CB22" s="1">
        <f>SUM(BS26:BS29)</f>
        <v>10</v>
      </c>
      <c r="CC22" s="1">
        <f>CA22-CB22</f>
        <v>-1</v>
      </c>
      <c r="CD22" s="28">
        <f>IF(BP$28="",(((((((CE22*10+BZ22)*100+CC22)*100+CA22)*10+CK22)*10+CJ22)*100+CP22)*100+CU22)*10+CV22,(((((((CE22*10+BZ22)*10+CK22)*10+CJ22)*100+CP22)*100+CU22)*100+CC22)*100+CA22)*10+CV22)</f>
        <v>400000299094</v>
      </c>
      <c r="CE22" s="5"/>
      <c r="CF22" s="109"/>
      <c r="CG22" s="109">
        <f>IF($BZ22=$BZ23,$BT22-$BS23,0)</f>
        <v>0</v>
      </c>
      <c r="CH22" s="109">
        <f>IF($BZ22=$BZ24,$BU22-$BS24,0)</f>
        <v>0</v>
      </c>
      <c r="CI22" s="109">
        <f>IF($BZ22=$BZ25,$BV22-$BS25,0)</f>
        <v>0</v>
      </c>
      <c r="CJ22" s="109">
        <f>SUM(CF22:CI22)</f>
        <v>0</v>
      </c>
      <c r="CK22" s="5"/>
      <c r="CL22" s="109"/>
      <c r="CM22" s="109">
        <f>IF($BZ22=$BZ23,$BT26-$BS27,0)</f>
        <v>0</v>
      </c>
      <c r="CN22" s="109">
        <f>IF($BZ22=$BZ24,$BU26-$BS28,0)</f>
        <v>0</v>
      </c>
      <c r="CO22" s="109">
        <f>IF($BZ22=$BZ25,$BV26-$BS29,0)</f>
        <v>0</v>
      </c>
      <c r="CP22" s="109">
        <f>SUM(CL22:CO22)</f>
        <v>0</v>
      </c>
      <c r="CQ22" s="109"/>
      <c r="CR22" s="109">
        <f>IF($BZ22=$BZ23,$BT26,0)</f>
        <v>0</v>
      </c>
      <c r="CS22" s="109">
        <f>IF($BZ22=$BZ24,$BU26,0)</f>
        <v>0</v>
      </c>
      <c r="CT22" s="109">
        <f>IF($BZ22=$BZ25,$BV26,0)</f>
        <v>3</v>
      </c>
      <c r="CU22" s="109">
        <f>SUM(CQ22:CT22)</f>
        <v>3</v>
      </c>
      <c r="CV22" s="5">
        <v>4</v>
      </c>
    </row>
    <row r="23" spans="1:100" ht="12.75">
      <c r="A23" s="2">
        <v>5</v>
      </c>
      <c r="B23" s="7">
        <v>43996.875</v>
      </c>
      <c r="C23" s="4" t="s">
        <v>144</v>
      </c>
      <c r="D23" s="88" t="str">
        <f>Y22</f>
        <v>Niederlande</v>
      </c>
      <c r="E23" s="52" t="s">
        <v>21</v>
      </c>
      <c r="F23" s="88" t="str">
        <f>Y23</f>
        <v>Ukraine</v>
      </c>
      <c r="G23" s="87"/>
      <c r="H23" s="110">
        <f aca="true" ca="1" t="shared" si="8" ref="H23:H28">IF($B$66="",1,INT(RAND()*5)+INT(RAND()*3)*INT(RAND()*2))</f>
        <v>1</v>
      </c>
      <c r="I23" s="12" t="s">
        <v>22</v>
      </c>
      <c r="J23" s="110">
        <f aca="true" ca="1" t="shared" si="9" ref="J23:J28">IF($B$66="",0,INT(RAND()*5)+INT(RAND()*3)*INT(RAND()*2))</f>
        <v>3</v>
      </c>
      <c r="K23" s="8" t="s">
        <v>23</v>
      </c>
      <c r="L23" s="1"/>
      <c r="M23" s="10" t="str">
        <f>VLOOKUP(2,$X$22:$AC$25,2,FALSE)</f>
        <v>Niederlande</v>
      </c>
      <c r="N23" s="2">
        <f>VLOOKUP(2,$X$22:$AC$25,3,FALSE)</f>
        <v>4</v>
      </c>
      <c r="O23" s="2">
        <f>VLOOKUP(2,$X$22:$AC$25,4,FALSE)</f>
        <v>6</v>
      </c>
      <c r="P23" s="2">
        <f>VLOOKUP(2,$X$22:$AC$25,5,FALSE)</f>
        <v>6</v>
      </c>
      <c r="Q23" s="2">
        <f>VLOOKUP(2,$X$22:$AC$25,6,FALSE)</f>
        <v>0</v>
      </c>
      <c r="S23" s="93">
        <f>IF(J23="",0,IF(K23=$B$65,IF(H23&lt;J23,3,IF(H23=J23,1,0)),0))</f>
        <v>3</v>
      </c>
      <c r="T23" s="92"/>
      <c r="U23" s="93">
        <f>IF(H28="",0,IF(K27=$B$65,IF(H28&gt;J28,3,IF(H28=J28,1,0)),0))</f>
        <v>3</v>
      </c>
      <c r="V23" s="93">
        <f>IF(H26="",0,IF(K26=$B$65,IF(H26&gt;J26,3,IF(H26=J26,1,0)),0))</f>
        <v>3</v>
      </c>
      <c r="W23" s="94"/>
      <c r="X23" s="94">
        <f>RANK(AD23,$AD$22:$AD$25)</f>
        <v>1</v>
      </c>
      <c r="Y23" s="95" t="s">
        <v>155</v>
      </c>
      <c r="Z23" s="94">
        <f>SUM(S23:V23)</f>
        <v>9</v>
      </c>
      <c r="AA23" s="94">
        <f>SUM(S27:V27)</f>
        <v>9</v>
      </c>
      <c r="AB23" s="94">
        <f>SUM(T26:T29)</f>
        <v>4</v>
      </c>
      <c r="AC23" s="94">
        <f>AA23-AB23</f>
        <v>5</v>
      </c>
      <c r="AD23" s="28">
        <f>IF(P$28="",(((((((AE23*10+Z23)*100+AC23)*100+AA23)*10+AK23)*10+AJ23)*100+AP23)*100+AU23)*10+AV23,(((((((AE23*10+Z23)*10+AK23)*10+AJ23)*100+AP23)*100+AU23)*100+AC23)*100+AA23)*10+AV23)</f>
        <v>900000005093</v>
      </c>
      <c r="AE23" s="97"/>
      <c r="AF23" s="108">
        <f>IF($Z23=$Z22,$S23-$T22,0)</f>
        <v>0</v>
      </c>
      <c r="AG23" s="108"/>
      <c r="AH23" s="108">
        <f>IF($Z23=$Z24,$U23-$T24,0)</f>
        <v>0</v>
      </c>
      <c r="AI23" s="108">
        <f>IF($Z23=$Z25,$V23-$T25,0)</f>
        <v>0</v>
      </c>
      <c r="AJ23" s="108">
        <f>SUM(AF23:AI23)</f>
        <v>0</v>
      </c>
      <c r="AK23" s="97"/>
      <c r="AL23" s="108">
        <f>IF($Z23=$Z22,$S27-$T26,0)</f>
        <v>0</v>
      </c>
      <c r="AM23" s="108"/>
      <c r="AN23" s="108">
        <f>IF($Z23=$Z24,$U27-$T28,0)</f>
        <v>0</v>
      </c>
      <c r="AO23" s="108">
        <f>IF($Z23=$Z25,$V27-$T29,0)</f>
        <v>0</v>
      </c>
      <c r="AP23" s="108">
        <f>SUM(AL23:AO23)</f>
        <v>0</v>
      </c>
      <c r="AQ23" s="108">
        <f>IF($Z23=$Z22,$S27,0)</f>
        <v>0</v>
      </c>
      <c r="AR23" s="108"/>
      <c r="AS23" s="108">
        <f>IF($Z23=$Z24,$U27,0)</f>
        <v>0</v>
      </c>
      <c r="AT23" s="108">
        <f>IF($Z23=$Z25,$V27,0)</f>
        <v>0</v>
      </c>
      <c r="AU23" s="108">
        <f>SUM(AQ23:AT23)</f>
        <v>0</v>
      </c>
      <c r="AV23" s="97">
        <v>3</v>
      </c>
      <c r="AW23" s="96"/>
      <c r="BA23" s="2">
        <v>11</v>
      </c>
      <c r="BB23" s="7">
        <v>43998.75</v>
      </c>
      <c r="BC23" s="4" t="s">
        <v>143</v>
      </c>
      <c r="BD23" s="88" t="str">
        <f>BY22</f>
        <v>Ungarn</v>
      </c>
      <c r="BE23" s="52" t="s">
        <v>21</v>
      </c>
      <c r="BF23" s="88" t="str">
        <f>BY23</f>
        <v>Portugal</v>
      </c>
      <c r="BG23" s="87"/>
      <c r="BH23" s="110">
        <f aca="true" ca="1" t="shared" si="10" ref="BH23:BH28">IF($B$66="",1,INT(RAND()*5)+INT(RAND()*3)*INT(RAND()*2))</f>
        <v>1</v>
      </c>
      <c r="BI23" s="12" t="s">
        <v>22</v>
      </c>
      <c r="BJ23" s="110">
        <f aca="true" ca="1" t="shared" si="11" ref="BJ23:BJ28">IF($B$66="",0,INT(RAND()*5)+INT(RAND()*3)*INT(RAND()*2))</f>
        <v>4</v>
      </c>
      <c r="BK23" s="8" t="s">
        <v>23</v>
      </c>
      <c r="BL23" s="1"/>
      <c r="BM23" s="10" t="str">
        <f>VLOOKUP(2,$BX$22:$CC$25,2,FALSE)</f>
        <v>Deutschland</v>
      </c>
      <c r="BN23" s="2">
        <f>VLOOKUP(2,$BX$22:$CC$25,3,FALSE)</f>
        <v>4</v>
      </c>
      <c r="BO23" s="2">
        <f>VLOOKUP(2,$BX$22:$CC$25,4,FALSE)</f>
        <v>6</v>
      </c>
      <c r="BP23" s="2">
        <f>VLOOKUP(2,$BX$22:$CC$25,5,FALSE)</f>
        <v>6</v>
      </c>
      <c r="BQ23" s="2">
        <f>VLOOKUP(2,$BX$22:$CC$25,6,FALSE)</f>
        <v>0</v>
      </c>
      <c r="BS23" s="93">
        <f>IF(BJ23="",0,IF(BK23=$B$65,IF(BH23&lt;BJ23,3,IF(BH23=BJ23,1,0)),0))</f>
        <v>3</v>
      </c>
      <c r="BT23" s="92"/>
      <c r="BU23" s="93">
        <f>IF(BH28="",0,IF(BK27=$B$65,IF(BH28&gt;BJ28,3,IF(BH28=BJ28,1,0)),0))</f>
        <v>0</v>
      </c>
      <c r="BV23" s="93">
        <f>IF(BH26="",0,IF(BK26=$B$65,IF(BH26&gt;BJ26,3,IF(BH26=BJ26,1,0)),0))</f>
        <v>3</v>
      </c>
      <c r="BW23" s="1"/>
      <c r="BX23" s="1">
        <f>RANK(CD23,$CD$22:$CD$25)</f>
        <v>1</v>
      </c>
      <c r="BY23" s="95" t="s">
        <v>160</v>
      </c>
      <c r="BZ23" s="1">
        <f>SUM(BS23:BV23)</f>
        <v>6</v>
      </c>
      <c r="CA23" s="1">
        <f>SUM(BS27:BV27)</f>
        <v>9</v>
      </c>
      <c r="CB23" s="1">
        <f>SUM(BT26:BT29)</f>
        <v>8</v>
      </c>
      <c r="CC23" s="1">
        <f>CA23-CB23</f>
        <v>1</v>
      </c>
      <c r="CD23" s="28">
        <f>IF(BP$28="",(((((((CE23*10+BZ23)*100+CC23)*100+CA23)*10+CK23)*10+CJ23)*100+CP23)*100+CU23)*10+CV23,(((((((CE23*10+BZ23)*10+CK23)*10+CJ23)*100+CP23)*100+CU23)*100+CC23)*100+CA23)*10+CV23)</f>
        <v>600000001093</v>
      </c>
      <c r="CE23" s="5"/>
      <c r="CF23" s="109">
        <f>IF($BZ23=$BZ22,$BS23-$BT22,0)</f>
        <v>0</v>
      </c>
      <c r="CG23" s="109"/>
      <c r="CH23" s="109">
        <f>IF($BZ23=$BZ24,$BU23-$BT24,0)</f>
        <v>0</v>
      </c>
      <c r="CI23" s="109">
        <f>IF($BZ23=$BZ25,$BV23-$BT25,0)</f>
        <v>0</v>
      </c>
      <c r="CJ23" s="109">
        <f>SUM(CF23:CI23)</f>
        <v>0</v>
      </c>
      <c r="CK23" s="5"/>
      <c r="CL23" s="109">
        <f>IF($BZ23=$BZ22,$BS27-$BT26,0)</f>
        <v>0</v>
      </c>
      <c r="CM23" s="109"/>
      <c r="CN23" s="109">
        <f>IF($BZ23=$BZ24,$BU27-$BT28,0)</f>
        <v>0</v>
      </c>
      <c r="CO23" s="109">
        <f>IF($BZ23=$BZ25,$BV27-$BT29,0)</f>
        <v>0</v>
      </c>
      <c r="CP23" s="109">
        <f>SUM(CL23:CO23)</f>
        <v>0</v>
      </c>
      <c r="CQ23" s="109">
        <f>IF($BZ23=$BZ22,$BS27,0)</f>
        <v>0</v>
      </c>
      <c r="CR23" s="109"/>
      <c r="CS23" s="109">
        <f>IF($BZ23=$BZ24,$BU27,0)</f>
        <v>0</v>
      </c>
      <c r="CT23" s="109">
        <f>IF($BZ23=$BZ25,$BV27,0)</f>
        <v>0</v>
      </c>
      <c r="CU23" s="109">
        <f>SUM(CQ23:CT23)</f>
        <v>0</v>
      </c>
      <c r="CV23" s="5">
        <v>3</v>
      </c>
    </row>
    <row r="24" spans="1:100" ht="12.75">
      <c r="A24" s="2">
        <v>6</v>
      </c>
      <c r="B24" s="7">
        <v>43996.75</v>
      </c>
      <c r="C24" s="4" t="s">
        <v>141</v>
      </c>
      <c r="D24" s="88" t="str">
        <f>Y24</f>
        <v>Österreich</v>
      </c>
      <c r="E24" s="52" t="s">
        <v>21</v>
      </c>
      <c r="F24" s="88" t="str">
        <f>Y25</f>
        <v>Weißrussland</v>
      </c>
      <c r="G24" s="87"/>
      <c r="H24" s="111">
        <f ca="1" t="shared" si="8"/>
        <v>1</v>
      </c>
      <c r="I24" s="12" t="s">
        <v>22</v>
      </c>
      <c r="J24" s="111">
        <f ca="1" t="shared" si="9"/>
        <v>4</v>
      </c>
      <c r="K24" s="8" t="s">
        <v>23</v>
      </c>
      <c r="L24" s="1"/>
      <c r="M24" s="10" t="str">
        <f>VLOOKUP(3,$X$22:$AC$25,2,FALSE)</f>
        <v>Weißrussland</v>
      </c>
      <c r="N24" s="2">
        <f>VLOOKUP(3,$X$22:$AC$25,3,FALSE)</f>
        <v>3</v>
      </c>
      <c r="O24" s="2">
        <f>VLOOKUP(3,$X$22:$AC$25,4,FALSE)</f>
        <v>6</v>
      </c>
      <c r="P24" s="2">
        <f>VLOOKUP(3,$X$22:$AC$25,5,FALSE)</f>
        <v>7</v>
      </c>
      <c r="Q24" s="2">
        <f>VLOOKUP(3,$X$22:$AC$25,6,FALSE)</f>
        <v>-1</v>
      </c>
      <c r="S24" s="93">
        <f>IF(J25="",0,IF(K25=$B$65,IF(H25&lt;J25,3,IF(H25=J25,1,0)),0))</f>
        <v>1</v>
      </c>
      <c r="T24" s="93">
        <f>IF(J28="",0,IF(K27=$B$65,IF(H28&lt;J28,3,IF(H28=J28,1,0)),0))</f>
        <v>0</v>
      </c>
      <c r="U24" s="92"/>
      <c r="V24" s="93">
        <f>IF(H24="",0,IF(K24=$B$65,IF(H24&gt;J24,3,IF(H24=J24,1,0)),0))</f>
        <v>0</v>
      </c>
      <c r="W24" s="94"/>
      <c r="X24" s="94">
        <f>RANK(AD24,$AD$22:$AD$25)</f>
        <v>4</v>
      </c>
      <c r="Y24" s="95" t="s">
        <v>156</v>
      </c>
      <c r="Z24" s="94">
        <f>SUM(S24:V24)</f>
        <v>1</v>
      </c>
      <c r="AA24" s="94">
        <f>SUM(S28:V28)</f>
        <v>5</v>
      </c>
      <c r="AB24" s="94">
        <f>SUM(U26:U29)</f>
        <v>9</v>
      </c>
      <c r="AC24" s="94">
        <f>AA24-AB24</f>
        <v>-4</v>
      </c>
      <c r="AD24" s="28">
        <f>IF(P$28="",(((((((AE24*10+Z24)*100+AC24)*100+AA24)*10+AK24)*10+AJ24)*100+AP24)*100+AU24)*10+AV24,(((((((AE24*10+Z24)*10+AK24)*10+AJ24)*100+AP24)*100+AU24)*100+AC24)*100+AA24)*10+AV24)</f>
        <v>99999996052</v>
      </c>
      <c r="AE24" s="97"/>
      <c r="AF24" s="108">
        <f>IF($Z24=$Z22,$S24-$U22,0)</f>
        <v>0</v>
      </c>
      <c r="AG24" s="108">
        <f>IF($Z24=$Z23,$T24-$U23,0)</f>
        <v>0</v>
      </c>
      <c r="AH24" s="108"/>
      <c r="AI24" s="108">
        <f>IF($Z24=$Z25,$V24-$U25,0)</f>
        <v>0</v>
      </c>
      <c r="AJ24" s="108">
        <f>SUM(AF24:AI24)</f>
        <v>0</v>
      </c>
      <c r="AK24" s="97"/>
      <c r="AL24" s="108">
        <f>IF($Z24=$Z22,$S28-$U26,0)</f>
        <v>0</v>
      </c>
      <c r="AM24" s="108">
        <f>IF($Z24=$Z23,$T28-$U27,0)</f>
        <v>0</v>
      </c>
      <c r="AN24" s="108"/>
      <c r="AO24" s="108">
        <f>IF($Z24=$Z25,$V28-$U29,0)</f>
        <v>0</v>
      </c>
      <c r="AP24" s="108">
        <f>SUM(AL24:AO24)</f>
        <v>0</v>
      </c>
      <c r="AQ24" s="108">
        <f>IF($Z24=$Z22,$S28,0)</f>
        <v>0</v>
      </c>
      <c r="AR24" s="108">
        <f>IF($Z24=$Z23,$T28,0)</f>
        <v>0</v>
      </c>
      <c r="AS24" s="108"/>
      <c r="AT24" s="108">
        <f>IF($Z24=$Z25,$V28,0)</f>
        <v>0</v>
      </c>
      <c r="AU24" s="108">
        <f>SUM(AQ24:AT24)</f>
        <v>0</v>
      </c>
      <c r="AV24" s="97">
        <v>2</v>
      </c>
      <c r="AW24" s="96"/>
      <c r="BA24" s="2">
        <v>12</v>
      </c>
      <c r="BB24" s="4">
        <v>43998.875</v>
      </c>
      <c r="BC24" s="4" t="s">
        <v>136</v>
      </c>
      <c r="BD24" s="88" t="str">
        <f>BY24</f>
        <v>Frankreich</v>
      </c>
      <c r="BE24" s="52" t="s">
        <v>21</v>
      </c>
      <c r="BF24" s="88" t="str">
        <f>BY25</f>
        <v>Deutschland</v>
      </c>
      <c r="BG24" s="87"/>
      <c r="BH24" s="111">
        <f ca="1" t="shared" si="10"/>
        <v>1</v>
      </c>
      <c r="BI24" s="12" t="s">
        <v>22</v>
      </c>
      <c r="BJ24" s="111">
        <f ca="1" t="shared" si="11"/>
        <v>2</v>
      </c>
      <c r="BK24" s="8" t="s">
        <v>23</v>
      </c>
      <c r="BL24" s="1"/>
      <c r="BM24" s="10" t="str">
        <f>VLOOKUP(3,$BX$22:$CC$25,2,FALSE)</f>
        <v>Ungarn</v>
      </c>
      <c r="BN24" s="2">
        <f>VLOOKUP(3,$BX$22:$CC$25,3,FALSE)</f>
        <v>4</v>
      </c>
      <c r="BO24" s="2">
        <f>VLOOKUP(3,$BX$22:$CC$25,4,FALSE)</f>
        <v>9</v>
      </c>
      <c r="BP24" s="2">
        <f>VLOOKUP(3,$BX$22:$CC$25,5,FALSE)</f>
        <v>10</v>
      </c>
      <c r="BQ24" s="2">
        <f>VLOOKUP(3,$BX$22:$CC$25,6,FALSE)</f>
        <v>-1</v>
      </c>
      <c r="BS24" s="93">
        <f>IF(BJ25="",0,IF(BK25=$B$65,IF(BH25&lt;BJ25,3,IF(BH25=BJ25,1,0)),0))</f>
        <v>0</v>
      </c>
      <c r="BT24" s="93">
        <f>IF(BJ28="",0,IF(BK27=$B$65,IF(BH28&lt;BJ28,3,IF(BH28=BJ28,1,0)),0))</f>
        <v>3</v>
      </c>
      <c r="BU24" s="92"/>
      <c r="BV24" s="93">
        <f>IF(BH24="",0,IF(BK24=$B$65,IF(BH24&gt;BJ24,3,IF(BH24=BJ24,1,0)),0))</f>
        <v>0</v>
      </c>
      <c r="BW24" s="1"/>
      <c r="BX24" s="1">
        <f>RANK(CD24,$CD$22:$CD$25)</f>
        <v>4</v>
      </c>
      <c r="BY24" s="95" t="s">
        <v>66</v>
      </c>
      <c r="BZ24" s="1">
        <f>SUM(BS24:BV24)</f>
        <v>3</v>
      </c>
      <c r="CA24" s="1">
        <f>SUM(BS28:BV28)</f>
        <v>10</v>
      </c>
      <c r="CB24" s="1">
        <f>SUM(BU26:BU29)</f>
        <v>10</v>
      </c>
      <c r="CC24" s="1">
        <f>CA24-CB24</f>
        <v>0</v>
      </c>
      <c r="CD24" s="28">
        <f>IF(BP$28="",(((((((CE24*10+BZ24)*100+CC24)*100+CA24)*10+CK24)*10+CJ24)*100+CP24)*100+CU24)*10+CV24,(((((((CE24*10+BZ24)*10+CK24)*10+CJ24)*100+CP24)*100+CU24)*100+CC24)*100+CA24)*10+CV24)</f>
        <v>300000000102</v>
      </c>
      <c r="CE24" s="5"/>
      <c r="CF24" s="109">
        <f>IF($BZ24=$BZ22,$BS24-$BU22,0)</f>
        <v>0</v>
      </c>
      <c r="CG24" s="109">
        <f>IF($BZ24=$BZ23,$BT24-$BU23,0)</f>
        <v>0</v>
      </c>
      <c r="CH24" s="109"/>
      <c r="CI24" s="109">
        <f>IF($BZ24=$BZ25,$BV24-$BU25,0)</f>
        <v>0</v>
      </c>
      <c r="CJ24" s="109">
        <f>SUM(CF24:CI24)</f>
        <v>0</v>
      </c>
      <c r="CK24" s="5"/>
      <c r="CL24" s="109">
        <f>IF($BZ24=$BZ22,$BS28-$BU26,0)</f>
        <v>0</v>
      </c>
      <c r="CM24" s="109">
        <f>IF($BZ24=$BZ23,$BT28-$BU27,0)</f>
        <v>0</v>
      </c>
      <c r="CN24" s="109"/>
      <c r="CO24" s="109">
        <f>IF($BZ24=$BZ25,$BV28-$BU29,0)</f>
        <v>0</v>
      </c>
      <c r="CP24" s="109">
        <f>SUM(CL24:CO24)</f>
        <v>0</v>
      </c>
      <c r="CQ24" s="109">
        <f>IF($BZ24=$BZ22,$BS28,0)</f>
        <v>0</v>
      </c>
      <c r="CR24" s="109">
        <f>IF($BZ24=$BZ23,$BT28,0)</f>
        <v>0</v>
      </c>
      <c r="CS24" s="109"/>
      <c r="CT24" s="109">
        <f>IF($BZ24=$BZ25,$BV28,0)</f>
        <v>0</v>
      </c>
      <c r="CU24" s="109">
        <f>SUM(CQ24:CT24)</f>
        <v>0</v>
      </c>
      <c r="CV24" s="5">
        <v>2</v>
      </c>
    </row>
    <row r="25" spans="1:100" ht="12.75">
      <c r="A25" s="2">
        <f>A23+12</f>
        <v>17</v>
      </c>
      <c r="B25" s="7">
        <v>44000.875</v>
      </c>
      <c r="C25" s="4" t="s">
        <v>144</v>
      </c>
      <c r="D25" s="88" t="str">
        <f>Y22</f>
        <v>Niederlande</v>
      </c>
      <c r="E25" s="52" t="s">
        <v>21</v>
      </c>
      <c r="F25" s="88" t="str">
        <f>Y24</f>
        <v>Österreich</v>
      </c>
      <c r="G25" s="87"/>
      <c r="H25" s="111">
        <f ca="1" t="shared" si="8"/>
        <v>3</v>
      </c>
      <c r="I25" s="12" t="s">
        <v>22</v>
      </c>
      <c r="J25" s="111">
        <f ca="1" t="shared" si="9"/>
        <v>3</v>
      </c>
      <c r="K25" s="8" t="s">
        <v>23</v>
      </c>
      <c r="L25" s="1"/>
      <c r="M25" s="10" t="str">
        <f>VLOOKUP(4,$X$22:$AC$25,2,FALSE)</f>
        <v>Österreich</v>
      </c>
      <c r="N25" s="2">
        <f>VLOOKUP(4,$X$22:$AC$25,3,FALSE)</f>
        <v>1</v>
      </c>
      <c r="O25" s="2">
        <f>VLOOKUP(4,$X$22:$AC$25,4,FALSE)</f>
        <v>5</v>
      </c>
      <c r="P25" s="2">
        <f>VLOOKUP(4,$X$22:$AC$25,5,FALSE)</f>
        <v>9</v>
      </c>
      <c r="Q25" s="2">
        <f>VLOOKUP(4,$X$22:$AC$25,6,FALSE)</f>
        <v>-4</v>
      </c>
      <c r="S25" s="93">
        <f>IF(H27="",0,IF(K28=$B$65,IF(H27&gt;J27,3,IF(H27=J27,1,0)),0))</f>
        <v>0</v>
      </c>
      <c r="T25" s="93">
        <f>IF(J26="",0,IF(K26=$B$65,IF(H26&lt;J26,3,IF(H26=J26,1,0)),0))</f>
        <v>0</v>
      </c>
      <c r="U25" s="93">
        <f>IF(J24="",0,IF(K24=$B$65,IF(H24&lt;J24,3,IF(H24=J24,1,0)),0))</f>
        <v>3</v>
      </c>
      <c r="V25" s="92"/>
      <c r="W25" s="94"/>
      <c r="X25" s="94">
        <f>RANK(AD25,$AD$22:$AD$25)</f>
        <v>3</v>
      </c>
      <c r="Y25" s="95" t="s">
        <v>164</v>
      </c>
      <c r="Z25" s="94">
        <f>SUM(S25:V25)</f>
        <v>3</v>
      </c>
      <c r="AA25" s="94">
        <f>SUM(S29:V29)</f>
        <v>6</v>
      </c>
      <c r="AB25" s="94">
        <f>SUM(V26:V29)</f>
        <v>7</v>
      </c>
      <c r="AC25" s="94">
        <f>AA25-AB25</f>
        <v>-1</v>
      </c>
      <c r="AD25" s="28">
        <f>IF(P$28="",(((((((AE25*10+Z25)*100+AC25)*100+AA25)*10+AK25)*10+AJ25)*100+AP25)*100+AU25)*10+AV25,(((((((AE25*10+Z25)*10+AK25)*10+AJ25)*100+AP25)*100+AU25)*100+AC25)*100+AA25)*10+AV25)</f>
        <v>299999999061</v>
      </c>
      <c r="AE25" s="97"/>
      <c r="AF25" s="108">
        <f>IF($Z25=$Z22,$S25-$V22,0)</f>
        <v>0</v>
      </c>
      <c r="AG25" s="108">
        <f>IF($Z25=$Z23,$T25-$V23,0)</f>
        <v>0</v>
      </c>
      <c r="AH25" s="108">
        <f>IF($Z25=$Z24,$U25-$V24,0)</f>
        <v>0</v>
      </c>
      <c r="AI25" s="108"/>
      <c r="AJ25" s="108">
        <f>SUM(AF25:AI25)</f>
        <v>0</v>
      </c>
      <c r="AK25" s="97"/>
      <c r="AL25" s="108">
        <f>IF($Z25=$Z22,$S29-$V26,0)</f>
        <v>0</v>
      </c>
      <c r="AM25" s="108">
        <f>IF($Z25=$Z23,$T29-$V27,0)</f>
        <v>0</v>
      </c>
      <c r="AN25" s="108">
        <f>IF($Z25=$Z24,$U29-$V28,0)</f>
        <v>0</v>
      </c>
      <c r="AO25" s="108"/>
      <c r="AP25" s="108">
        <f>SUM(AL25:AO25)</f>
        <v>0</v>
      </c>
      <c r="AQ25" s="108">
        <f>IF($Z25=$Z22,$S29,0)</f>
        <v>0</v>
      </c>
      <c r="AR25" s="108">
        <f>IF($Z25=$Z23,$T29,0)</f>
        <v>0</v>
      </c>
      <c r="AS25" s="108">
        <f>IF($Z25=$Z24,$U29,0)</f>
        <v>0</v>
      </c>
      <c r="AT25" s="108"/>
      <c r="AU25" s="108">
        <f>SUM(AQ25:AT25)</f>
        <v>0</v>
      </c>
      <c r="AV25" s="97">
        <v>1</v>
      </c>
      <c r="AW25" s="96"/>
      <c r="BA25" s="2">
        <f>BA23+12</f>
        <v>23</v>
      </c>
      <c r="BB25" s="7">
        <v>44002.625</v>
      </c>
      <c r="BC25" s="4" t="s">
        <v>143</v>
      </c>
      <c r="BD25" s="88" t="str">
        <f>BY22</f>
        <v>Ungarn</v>
      </c>
      <c r="BE25" s="52" t="s">
        <v>21</v>
      </c>
      <c r="BF25" s="88" t="str">
        <f>BY24</f>
        <v>Frankreich</v>
      </c>
      <c r="BG25" s="87"/>
      <c r="BH25" s="111">
        <f ca="1" t="shared" si="10"/>
        <v>5</v>
      </c>
      <c r="BI25" s="12" t="s">
        <v>22</v>
      </c>
      <c r="BJ25" s="111">
        <f ca="1" t="shared" si="11"/>
        <v>3</v>
      </c>
      <c r="BK25" s="8" t="s">
        <v>23</v>
      </c>
      <c r="BL25" s="1"/>
      <c r="BM25" s="10" t="str">
        <f>VLOOKUP(4,$BX$22:$CC$25,2,FALSE)</f>
        <v>Frankreich</v>
      </c>
      <c r="BN25" s="2">
        <f>VLOOKUP(4,$BX$22:$CC$25,3,FALSE)</f>
        <v>3</v>
      </c>
      <c r="BO25" s="2">
        <f>VLOOKUP(4,$BX$22:$CC$25,4,FALSE)</f>
        <v>10</v>
      </c>
      <c r="BP25" s="2">
        <f>VLOOKUP(4,$BX$22:$CC$25,5,FALSE)</f>
        <v>10</v>
      </c>
      <c r="BQ25" s="2">
        <f>VLOOKUP(4,$BX$22:$CC$25,6,FALSE)</f>
        <v>0</v>
      </c>
      <c r="BS25" s="93">
        <f>IF(BH27="",0,IF(BK28=$B$65,IF(BH27&gt;BJ27,3,IF(BH27=BJ27,1,0)),0))</f>
        <v>1</v>
      </c>
      <c r="BT25" s="93">
        <f>IF(BJ26="",0,IF(BK26=$B$65,IF(BH26&lt;BJ26,3,IF(BH26=BJ26,1,0)),0))</f>
        <v>0</v>
      </c>
      <c r="BU25" s="93">
        <f>IF(BJ24="",0,IF(BK24=$B$65,IF(BH24&lt;BJ24,3,IF(BH24=BJ24,1,0)),0))</f>
        <v>3</v>
      </c>
      <c r="BV25" s="92"/>
      <c r="BW25" s="1"/>
      <c r="BX25" s="1">
        <f>RANK(CD25,$CD$22:$CD$25)</f>
        <v>2</v>
      </c>
      <c r="BY25" s="95" t="s">
        <v>65</v>
      </c>
      <c r="BZ25" s="1">
        <f>SUM(BS25:BV25)</f>
        <v>4</v>
      </c>
      <c r="CA25" s="1">
        <f>SUM(BS29:BV29)</f>
        <v>6</v>
      </c>
      <c r="CB25" s="1">
        <f>SUM(BV26:BV29)</f>
        <v>6</v>
      </c>
      <c r="CC25" s="1">
        <f>CA25-CB25</f>
        <v>0</v>
      </c>
      <c r="CD25" s="28">
        <f>IF(BP$28="",(((((((CE25*10+BZ25)*100+CC25)*100+CA25)*10+CK25)*10+CJ25)*100+CP25)*100+CU25)*10+CV25,(((((((CE25*10+BZ25)*10+CK25)*10+CJ25)*100+CP25)*100+CU25)*100+CC25)*100+CA25)*10+CV25)</f>
        <v>400000300061</v>
      </c>
      <c r="CE25" s="5"/>
      <c r="CF25" s="109">
        <f>IF($BZ25=$BZ22,$BS25-$BV22,0)</f>
        <v>0</v>
      </c>
      <c r="CG25" s="109">
        <f>IF($BZ25=$BZ23,$BT25-$BV23,0)</f>
        <v>0</v>
      </c>
      <c r="CH25" s="109">
        <f>IF($BZ25=$BZ24,$BU25-$BV24,0)</f>
        <v>0</v>
      </c>
      <c r="CI25" s="109"/>
      <c r="CJ25" s="109">
        <f>SUM(CF25:CI25)</f>
        <v>0</v>
      </c>
      <c r="CK25" s="5"/>
      <c r="CL25" s="109">
        <f>IF($BZ25=$BZ22,$BS29-$BV26,0)</f>
        <v>0</v>
      </c>
      <c r="CM25" s="109">
        <f>IF($BZ25=$BZ23,$BT29-$BV27,0)</f>
        <v>0</v>
      </c>
      <c r="CN25" s="109">
        <f>IF($BZ25=$BZ24,$BU29-$BV28,0)</f>
        <v>0</v>
      </c>
      <c r="CO25" s="109"/>
      <c r="CP25" s="109">
        <f>SUM(CL25:CO25)</f>
        <v>0</v>
      </c>
      <c r="CQ25" s="109">
        <f>IF($BZ25=$BZ22,$BS29,0)</f>
        <v>3</v>
      </c>
      <c r="CR25" s="109">
        <f>IF($BZ25=$BZ23,$BT29,0)</f>
        <v>0</v>
      </c>
      <c r="CS25" s="109">
        <f>IF($BZ25=$BZ24,$BU29,0)</f>
        <v>0</v>
      </c>
      <c r="CT25" s="109"/>
      <c r="CU25" s="109">
        <f>SUM(CQ25:CT25)</f>
        <v>3</v>
      </c>
      <c r="CV25" s="5">
        <v>1</v>
      </c>
    </row>
    <row r="26" spans="1:100" ht="12.75">
      <c r="A26" s="2">
        <f>A24+12</f>
        <v>18</v>
      </c>
      <c r="B26" s="7">
        <v>44000.625</v>
      </c>
      <c r="C26" s="4" t="s">
        <v>141</v>
      </c>
      <c r="D26" s="88" t="str">
        <f>Y23</f>
        <v>Ukraine</v>
      </c>
      <c r="E26" s="52" t="s">
        <v>21</v>
      </c>
      <c r="F26" s="88" t="str">
        <f>Y25</f>
        <v>Weißrussland</v>
      </c>
      <c r="G26" s="87"/>
      <c r="H26" s="111">
        <f ca="1" t="shared" si="8"/>
        <v>4</v>
      </c>
      <c r="I26" s="12" t="s">
        <v>22</v>
      </c>
      <c r="J26" s="111">
        <f ca="1" t="shared" si="9"/>
        <v>2</v>
      </c>
      <c r="K26" s="8" t="s">
        <v>23</v>
      </c>
      <c r="L26" s="1"/>
      <c r="N26" s="1"/>
      <c r="O26" s="1"/>
      <c r="P26" s="1"/>
      <c r="S26" s="92"/>
      <c r="T26" s="93">
        <f>IF(K23=$B$65,H23,0)</f>
        <v>1</v>
      </c>
      <c r="U26" s="93">
        <f>IF(K25=$B$65,H25,0)</f>
        <v>3</v>
      </c>
      <c r="V26" s="93">
        <f>IF(K28=$B$65,J27,0)</f>
        <v>2</v>
      </c>
      <c r="W26" s="94"/>
      <c r="X26" s="94"/>
      <c r="Y26" s="94"/>
      <c r="Z26" s="94"/>
      <c r="AA26" s="94"/>
      <c r="AB26" s="94"/>
      <c r="AC26" s="94"/>
      <c r="AD26" s="98"/>
      <c r="AE26" s="99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V26" s="108"/>
      <c r="AW26" s="96"/>
      <c r="BA26" s="2">
        <f>BA24+12</f>
        <v>24</v>
      </c>
      <c r="BB26" s="7">
        <v>44002.75</v>
      </c>
      <c r="BC26" s="4" t="s">
        <v>136</v>
      </c>
      <c r="BD26" s="88" t="str">
        <f>BY23</f>
        <v>Portugal</v>
      </c>
      <c r="BE26" s="52" t="s">
        <v>21</v>
      </c>
      <c r="BF26" s="88" t="str">
        <f>BY25</f>
        <v>Deutschland</v>
      </c>
      <c r="BG26" s="87"/>
      <c r="BH26" s="111">
        <f ca="1" t="shared" si="10"/>
        <v>2</v>
      </c>
      <c r="BI26" s="12" t="s">
        <v>22</v>
      </c>
      <c r="BJ26" s="111">
        <f ca="1" t="shared" si="11"/>
        <v>1</v>
      </c>
      <c r="BK26" s="8" t="s">
        <v>23</v>
      </c>
      <c r="BL26" s="1"/>
      <c r="BN26" s="1"/>
      <c r="BO26" s="1"/>
      <c r="BP26" s="1"/>
      <c r="BS26" s="92"/>
      <c r="BT26" s="93">
        <f>IF(BK23=$B$65,BH23,0)</f>
        <v>1</v>
      </c>
      <c r="BU26" s="93">
        <f>IF(BK25=$B$65,BH25,0)</f>
        <v>5</v>
      </c>
      <c r="BV26" s="93">
        <f>IF(BK28=$B$65,BJ27,0)</f>
        <v>3</v>
      </c>
      <c r="BW26" s="1"/>
      <c r="BX26" s="1"/>
      <c r="BY26" s="94"/>
      <c r="BZ26" s="1"/>
      <c r="CA26" s="1"/>
      <c r="CB26" s="1"/>
      <c r="CC26" s="1"/>
      <c r="CD26" s="6"/>
      <c r="CE26" s="8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V26" s="109"/>
    </row>
    <row r="27" spans="1:100" ht="12.75">
      <c r="A27" s="2">
        <f>A25+12</f>
        <v>29</v>
      </c>
      <c r="B27" s="7">
        <v>44004.75</v>
      </c>
      <c r="C27" s="4" t="s">
        <v>144</v>
      </c>
      <c r="D27" s="88" t="str">
        <f>Y25</f>
        <v>Weißrussland</v>
      </c>
      <c r="E27" s="52" t="s">
        <v>21</v>
      </c>
      <c r="F27" s="88" t="str">
        <f>Y22</f>
        <v>Niederlande</v>
      </c>
      <c r="G27" s="86"/>
      <c r="H27" s="110">
        <f ca="1" t="shared" si="8"/>
        <v>0</v>
      </c>
      <c r="I27" s="14" t="s">
        <v>22</v>
      </c>
      <c r="J27" s="110">
        <f ca="1" t="shared" si="9"/>
        <v>2</v>
      </c>
      <c r="K27" s="8" t="s">
        <v>23</v>
      </c>
      <c r="M27" s="46" t="str">
        <f>IF(N22&gt;0,M22,"")</f>
        <v>Ukraine</v>
      </c>
      <c r="N27" s="2" t="s">
        <v>30</v>
      </c>
      <c r="P27" s="34"/>
      <c r="S27" s="93">
        <f>IF(K23=$B$65,J23,0)</f>
        <v>3</v>
      </c>
      <c r="T27" s="92"/>
      <c r="U27" s="93">
        <f>IF(K27=$B$65,H28,0)</f>
        <v>2</v>
      </c>
      <c r="V27" s="93">
        <f>IF(K26=$B$65,H26,0)</f>
        <v>4</v>
      </c>
      <c r="AD27" s="86" t="s">
        <v>118</v>
      </c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V27" s="112"/>
      <c r="AW27" s="96"/>
      <c r="BA27" s="2">
        <f>BA25+12</f>
        <v>35</v>
      </c>
      <c r="BB27" s="7">
        <v>44006.875</v>
      </c>
      <c r="BC27" s="4" t="s">
        <v>136</v>
      </c>
      <c r="BD27" s="88" t="str">
        <f>BY25</f>
        <v>Deutschland</v>
      </c>
      <c r="BE27" s="52" t="s">
        <v>21</v>
      </c>
      <c r="BF27" s="88" t="str">
        <f>BY22</f>
        <v>Ungarn</v>
      </c>
      <c r="BG27" s="86"/>
      <c r="BH27" s="110">
        <f ca="1" t="shared" si="10"/>
        <v>3</v>
      </c>
      <c r="BI27" s="14" t="s">
        <v>22</v>
      </c>
      <c r="BJ27" s="110">
        <f ca="1" t="shared" si="11"/>
        <v>3</v>
      </c>
      <c r="BK27" s="8" t="s">
        <v>23</v>
      </c>
      <c r="BM27" s="49" t="str">
        <f>IF(BN22&gt;0,BM22,"")</f>
        <v>Portugal</v>
      </c>
      <c r="BN27" s="2" t="s">
        <v>39</v>
      </c>
      <c r="BP27" s="34"/>
      <c r="BS27" s="93">
        <f>IF(BK23=$B$65,BJ23,0)</f>
        <v>4</v>
      </c>
      <c r="BT27" s="92"/>
      <c r="BU27" s="93">
        <f>IF(BK27=$B$65,BH28,0)</f>
        <v>3</v>
      </c>
      <c r="BV27" s="93">
        <f>IF(BK26=$B$65,BH26,0)</f>
        <v>2</v>
      </c>
      <c r="CD27" s="2" t="s">
        <v>118</v>
      </c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V27" s="113"/>
    </row>
    <row r="28" spans="1:100" ht="12.75">
      <c r="A28" s="2">
        <f>A26+12</f>
        <v>30</v>
      </c>
      <c r="B28" s="7">
        <v>44004.75</v>
      </c>
      <c r="C28" s="4" t="s">
        <v>141</v>
      </c>
      <c r="D28" s="88" t="str">
        <f>Y23</f>
        <v>Ukraine</v>
      </c>
      <c r="E28" s="52" t="s">
        <v>21</v>
      </c>
      <c r="F28" s="88" t="str">
        <f>Y24</f>
        <v>Österreich</v>
      </c>
      <c r="G28" s="86"/>
      <c r="H28" s="111">
        <f ca="1" t="shared" si="8"/>
        <v>2</v>
      </c>
      <c r="I28" s="12" t="s">
        <v>22</v>
      </c>
      <c r="J28" s="111">
        <f ca="1" t="shared" si="9"/>
        <v>1</v>
      </c>
      <c r="K28" s="8" t="s">
        <v>23</v>
      </c>
      <c r="M28" s="46" t="str">
        <f>IF(N23&gt;0,M23,"")</f>
        <v>Niederlande</v>
      </c>
      <c r="N28" s="2" t="s">
        <v>31</v>
      </c>
      <c r="O28" s="35"/>
      <c r="P28" s="36" t="s">
        <v>11</v>
      </c>
      <c r="S28" s="93">
        <f>IF(K25=$B$65,J25,0)</f>
        <v>3</v>
      </c>
      <c r="T28" s="93">
        <f>IF(K27=$B$65,J28,0)</f>
        <v>1</v>
      </c>
      <c r="U28" s="92"/>
      <c r="V28" s="93">
        <f>IF(K24=$B$65,H24,0)</f>
        <v>1</v>
      </c>
      <c r="AD28" s="86" t="s">
        <v>119</v>
      </c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V28" s="112"/>
      <c r="AW28" s="96"/>
      <c r="BA28" s="2">
        <f>BA26+12</f>
        <v>36</v>
      </c>
      <c r="BB28" s="7">
        <v>43636.875</v>
      </c>
      <c r="BC28" s="4" t="s">
        <v>143</v>
      </c>
      <c r="BD28" s="88" t="str">
        <f>BY23</f>
        <v>Portugal</v>
      </c>
      <c r="BE28" s="52" t="s">
        <v>21</v>
      </c>
      <c r="BF28" s="88" t="str">
        <f>BY24</f>
        <v>Frankreich</v>
      </c>
      <c r="BG28" s="86"/>
      <c r="BH28" s="111">
        <f ca="1" t="shared" si="10"/>
        <v>3</v>
      </c>
      <c r="BI28" s="12" t="s">
        <v>22</v>
      </c>
      <c r="BJ28" s="111">
        <f ca="1" t="shared" si="11"/>
        <v>6</v>
      </c>
      <c r="BK28" s="8" t="s">
        <v>23</v>
      </c>
      <c r="BM28" s="49" t="str">
        <f>IF(BN23&gt;0,BM23,"")</f>
        <v>Deutschland</v>
      </c>
      <c r="BN28" s="2" t="s">
        <v>40</v>
      </c>
      <c r="BO28" s="35"/>
      <c r="BP28" s="36" t="s">
        <v>11</v>
      </c>
      <c r="BS28" s="93">
        <f>IF(BK25=$B$65,BJ25,0)</f>
        <v>3</v>
      </c>
      <c r="BT28" s="93">
        <f>IF(BK27=$B$65,BJ28,0)</f>
        <v>6</v>
      </c>
      <c r="BU28" s="92"/>
      <c r="BV28" s="93">
        <f>IF(BK24=$B$65,BH24,0)</f>
        <v>1</v>
      </c>
      <c r="CD28" s="2" t="s">
        <v>119</v>
      </c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V28" s="113"/>
    </row>
    <row r="29" spans="4:100" ht="12.75">
      <c r="D29" s="86"/>
      <c r="E29" s="86"/>
      <c r="F29" s="86"/>
      <c r="G29" s="86"/>
      <c r="M29" s="46" t="str">
        <f>IF(N24&gt;0,M24,"")</f>
        <v>Weißrussland</v>
      </c>
      <c r="N29" s="2" t="s">
        <v>72</v>
      </c>
      <c r="S29" s="93">
        <f>IF(K28=$B$65,H27,0)</f>
        <v>0</v>
      </c>
      <c r="T29" s="93">
        <f>IF(K26=$B$65,J26,0)</f>
        <v>2</v>
      </c>
      <c r="U29" s="93">
        <f>IF(K24=$B$65,J24,0)</f>
        <v>4</v>
      </c>
      <c r="V29" s="92"/>
      <c r="AD29" s="86" t="s">
        <v>120</v>
      </c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V29" s="112"/>
      <c r="AW29" s="96"/>
      <c r="BD29" s="86"/>
      <c r="BE29" s="86"/>
      <c r="BF29" s="86"/>
      <c r="BG29" s="86"/>
      <c r="BM29" s="49" t="str">
        <f>IF(BN24&gt;0,BM24,"")</f>
        <v>Ungarn</v>
      </c>
      <c r="BN29" s="2" t="s">
        <v>73</v>
      </c>
      <c r="BS29" s="93">
        <f>IF(BK28=$B$65,BH27,0)</f>
        <v>3</v>
      </c>
      <c r="BT29" s="93">
        <f>IF(BK26=$B$65,BJ26,0)</f>
        <v>1</v>
      </c>
      <c r="BU29" s="93">
        <f>IF(BK24=$B$65,BJ24,0)</f>
        <v>2</v>
      </c>
      <c r="BV29" s="92"/>
      <c r="CD29" s="2" t="s">
        <v>120</v>
      </c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V29" s="113"/>
    </row>
    <row r="30" spans="4:100" ht="6" customHeight="1">
      <c r="D30" s="86"/>
      <c r="E30" s="89"/>
      <c r="F30" s="91"/>
      <c r="G30" s="91"/>
      <c r="H30" s="86"/>
      <c r="I30" s="86"/>
      <c r="J30" s="86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V30" s="112"/>
      <c r="AW30" s="96"/>
      <c r="BD30" s="86"/>
      <c r="BE30" s="89"/>
      <c r="BF30" s="91"/>
      <c r="BG30" s="91"/>
      <c r="BH30" s="86"/>
      <c r="BI30" s="86"/>
      <c r="BJ30" s="86"/>
      <c r="BS30" s="86"/>
      <c r="BT30" s="86"/>
      <c r="BU30" s="86"/>
      <c r="BV30" s="86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V30" s="113"/>
    </row>
    <row r="31" spans="2:95" ht="12.75">
      <c r="B31" s="41" t="s">
        <v>117</v>
      </c>
      <c r="C31" s="85" t="str">
        <f>CONCATENATE(D35,D36,D37,D38)</f>
        <v>BCDF</v>
      </c>
      <c r="AW31" s="96"/>
      <c r="BJ31"/>
      <c r="BK31"/>
      <c r="BL31"/>
      <c r="BM31"/>
      <c r="BN31"/>
      <c r="BO31"/>
      <c r="BP31"/>
      <c r="BQ31"/>
      <c r="BR31"/>
      <c r="BS31" s="80"/>
      <c r="BT31" s="80"/>
      <c r="BU31" s="80"/>
      <c r="CE31"/>
      <c r="CF31" s="80" t="s">
        <v>27</v>
      </c>
      <c r="CG31" s="80"/>
      <c r="CH31" s="80"/>
      <c r="CI31"/>
      <c r="CJ31" t="s">
        <v>30</v>
      </c>
      <c r="CK31"/>
      <c r="CL31"/>
      <c r="CM31" t="s">
        <v>36</v>
      </c>
      <c r="CN31"/>
      <c r="CO31"/>
      <c r="CP31"/>
      <c r="CQ31" t="s">
        <v>39</v>
      </c>
    </row>
    <row r="32" spans="13:97" ht="12.75">
      <c r="M32" s="43" t="s">
        <v>126</v>
      </c>
      <c r="AW32" s="96"/>
      <c r="BJ32"/>
      <c r="BK32"/>
      <c r="BL32"/>
      <c r="BM32"/>
      <c r="BN32"/>
      <c r="BO32"/>
      <c r="BP32"/>
      <c r="BQ32"/>
      <c r="BR32"/>
      <c r="BS32" s="102"/>
      <c r="BT32" s="102"/>
      <c r="BU32" s="102"/>
      <c r="CE32"/>
      <c r="CF32" s="80" t="s">
        <v>95</v>
      </c>
      <c r="CG32" s="80" t="s">
        <v>97</v>
      </c>
      <c r="CH32" s="80" t="s">
        <v>98</v>
      </c>
      <c r="CI32" t="s">
        <v>100</v>
      </c>
      <c r="CJ32" t="s">
        <v>97</v>
      </c>
      <c r="CK32" t="s">
        <v>98</v>
      </c>
      <c r="CL32" t="s">
        <v>100</v>
      </c>
      <c r="CM32" t="s">
        <v>95</v>
      </c>
      <c r="CN32" t="s">
        <v>99</v>
      </c>
      <c r="CO32" t="s">
        <v>96</v>
      </c>
      <c r="CP32" t="s">
        <v>97</v>
      </c>
      <c r="CQ32" t="s">
        <v>95</v>
      </c>
      <c r="CR32" s="2" t="s">
        <v>99</v>
      </c>
      <c r="CS32" s="2" t="s">
        <v>96</v>
      </c>
    </row>
    <row r="33" spans="4:98" ht="12.75">
      <c r="D33" s="26" t="s">
        <v>127</v>
      </c>
      <c r="F33" s="26" t="s">
        <v>128</v>
      </c>
      <c r="M33" s="43"/>
      <c r="AW33" s="96"/>
      <c r="BJ33"/>
      <c r="BK33"/>
      <c r="BL33"/>
      <c r="BM33"/>
      <c r="BN33"/>
      <c r="BO33"/>
      <c r="BP33"/>
      <c r="BQ33"/>
      <c r="BR33"/>
      <c r="BS33" s="102"/>
      <c r="BT33" s="102"/>
      <c r="BU33" s="102"/>
      <c r="CE33"/>
      <c r="CF33" s="103" t="s">
        <v>80</v>
      </c>
      <c r="CG33" s="103" t="s">
        <v>83</v>
      </c>
      <c r="CH33" s="103" t="s">
        <v>85</v>
      </c>
      <c r="CI33" s="104" t="s">
        <v>87</v>
      </c>
      <c r="CJ33" s="104" t="s">
        <v>80</v>
      </c>
      <c r="CK33" s="104" t="s">
        <v>81</v>
      </c>
      <c r="CL33" s="104" t="s">
        <v>82</v>
      </c>
      <c r="CM33" s="104" t="s">
        <v>83</v>
      </c>
      <c r="CN33" s="104" t="s">
        <v>80</v>
      </c>
      <c r="CO33" s="104" t="s">
        <v>86</v>
      </c>
      <c r="CP33" s="104" t="s">
        <v>89</v>
      </c>
      <c r="CQ33" s="104" t="s">
        <v>85</v>
      </c>
      <c r="CR33" s="104" t="s">
        <v>83</v>
      </c>
      <c r="CS33" s="104" t="s">
        <v>80</v>
      </c>
      <c r="CT33" s="103"/>
    </row>
    <row r="34" spans="1:100" s="11" customFormat="1" ht="12.75">
      <c r="A34" s="27"/>
      <c r="D34" s="18" t="s">
        <v>129</v>
      </c>
      <c r="F34" s="18" t="s">
        <v>95</v>
      </c>
      <c r="L34" s="18"/>
      <c r="M34" s="43" t="s">
        <v>3</v>
      </c>
      <c r="N34" s="18" t="s">
        <v>4</v>
      </c>
      <c r="O34" s="18" t="s">
        <v>5</v>
      </c>
      <c r="P34" s="18" t="s">
        <v>6</v>
      </c>
      <c r="Q34" s="18" t="s">
        <v>7</v>
      </c>
      <c r="R34" s="18" t="s">
        <v>8</v>
      </c>
      <c r="S34" s="91"/>
      <c r="T34" s="91" t="s">
        <v>96</v>
      </c>
      <c r="U34" s="91"/>
      <c r="V34" s="91"/>
      <c r="W34" s="91"/>
      <c r="X34" s="87" t="s">
        <v>121</v>
      </c>
      <c r="Y34" s="91" t="s">
        <v>117</v>
      </c>
      <c r="Z34" s="91"/>
      <c r="AA34" s="91"/>
      <c r="AB34" s="91"/>
      <c r="AC34" s="91"/>
      <c r="AD34" s="91"/>
      <c r="AE34" s="21" t="s">
        <v>10</v>
      </c>
      <c r="AF34" s="87" t="s">
        <v>8</v>
      </c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88" t="s">
        <v>18</v>
      </c>
      <c r="AW34" s="91"/>
      <c r="BJ34"/>
      <c r="BK34"/>
      <c r="BL34"/>
      <c r="BM34"/>
      <c r="BN34"/>
      <c r="BO34"/>
      <c r="BP34"/>
      <c r="BQ34"/>
      <c r="BR34"/>
      <c r="BS34" s="102"/>
      <c r="BT34" s="102"/>
      <c r="BU34" s="102"/>
      <c r="CE34"/>
      <c r="CF34" s="103" t="s">
        <v>81</v>
      </c>
      <c r="CG34" s="103" t="s">
        <v>84</v>
      </c>
      <c r="CH34" s="103" t="s">
        <v>86</v>
      </c>
      <c r="CI34" s="104" t="s">
        <v>91</v>
      </c>
      <c r="CJ34" s="104" t="s">
        <v>86</v>
      </c>
      <c r="CK34" s="104" t="s">
        <v>83</v>
      </c>
      <c r="CL34" s="104" t="s">
        <v>84</v>
      </c>
      <c r="CM34" s="104" t="s">
        <v>84</v>
      </c>
      <c r="CN34" s="104" t="s">
        <v>81</v>
      </c>
      <c r="CO34" s="104" t="s">
        <v>87</v>
      </c>
      <c r="CP34" s="104" t="s">
        <v>93</v>
      </c>
      <c r="CQ34" s="104" t="s">
        <v>86</v>
      </c>
      <c r="CR34" s="104" t="s">
        <v>84</v>
      </c>
      <c r="CS34" s="104" t="s">
        <v>81</v>
      </c>
      <c r="CV34" s="2"/>
    </row>
    <row r="35" spans="1:97" ht="12.75">
      <c r="A35" s="28"/>
      <c r="B35" s="41" t="str">
        <f>CONCATENATE("3",D35)</f>
        <v>3B</v>
      </c>
      <c r="C35" s="42" t="str">
        <f>IF(AND(N$35=0,N$36=0,N$37=0,N$38=0),"",VLOOKUP(1,$F$35:$M$43,8,FALSE))</f>
        <v>Russland</v>
      </c>
      <c r="D35" s="1" t="str">
        <f>IF(AND(N$35=0,N$36=0,N$37=0,N$38=0),"",VLOOKUP(1,$F$35:$M$38,7,FALSE))</f>
        <v>B</v>
      </c>
      <c r="F35" s="1">
        <f>RANK(T35,$T$35:$T$38)</f>
        <v>1</v>
      </c>
      <c r="I35" s="2"/>
      <c r="K35" s="10"/>
      <c r="L35" s="81" t="str">
        <f aca="true" t="shared" si="12" ref="L35:L40">MID(R35,2,1)</f>
        <v>B</v>
      </c>
      <c r="M35" s="82" t="str">
        <f>VLOOKUP(1,$X$35:$AC$40,2,FALSE)</f>
        <v>Russland</v>
      </c>
      <c r="N35" s="2">
        <f>VLOOKUP(1,$X$35:$AC$40,3,FALSE)</f>
        <v>4</v>
      </c>
      <c r="O35" s="2">
        <f>VLOOKUP(1,$X$35:$AC$40,4,FALSE)</f>
        <v>11</v>
      </c>
      <c r="P35" s="2">
        <f>VLOOKUP(1,$X$35:$AC$40,5,FALSE)</f>
        <v>8</v>
      </c>
      <c r="Q35" s="2">
        <f>VLOOKUP(1,$X$35:$AC$40,6,FALSE)</f>
        <v>3</v>
      </c>
      <c r="R35" s="15" t="str">
        <f>VLOOKUP(1,$X$35:$AF$40,9,FALSE)</f>
        <v>3B</v>
      </c>
      <c r="T35" s="86">
        <f>71-CODE(L35)</f>
        <v>5</v>
      </c>
      <c r="X35" s="94">
        <f aca="true" t="shared" si="13" ref="X35:X40">RANK(AD35,$AD$35:$AD$40)</f>
        <v>6</v>
      </c>
      <c r="Y35" s="105" t="str">
        <f>M4</f>
        <v>Türkei</v>
      </c>
      <c r="Z35" s="86">
        <f>N4</f>
        <v>3</v>
      </c>
      <c r="AA35" s="86">
        <f>O4</f>
        <v>8</v>
      </c>
      <c r="AB35" s="86">
        <f>P4</f>
        <v>11</v>
      </c>
      <c r="AC35" s="86">
        <f>Q4</f>
        <v>-3</v>
      </c>
      <c r="AD35" s="96">
        <f aca="true" t="shared" si="14" ref="AD35:AD40">AE35*10000000000000000+Z35*100000000000000+AC35*1000000000000+AA35*10000000000+AV35</f>
        <v>297080000000006</v>
      </c>
      <c r="AE35" s="97"/>
      <c r="AF35" s="86" t="str">
        <f>N9</f>
        <v>3A</v>
      </c>
      <c r="AV35" s="97">
        <v>6</v>
      </c>
      <c r="BJ35"/>
      <c r="BK35"/>
      <c r="BL35"/>
      <c r="BM35"/>
      <c r="BN35"/>
      <c r="BO35"/>
      <c r="BP35"/>
      <c r="BQ35"/>
      <c r="BR35"/>
      <c r="BS35" s="102"/>
      <c r="BT35" s="102"/>
      <c r="BU35" s="102"/>
      <c r="CE35"/>
      <c r="CF35" s="103" t="s">
        <v>82</v>
      </c>
      <c r="CG35" s="103"/>
      <c r="CH35" s="103" t="s">
        <v>88</v>
      </c>
      <c r="CI35" s="104" t="s">
        <v>92</v>
      </c>
      <c r="CJ35" s="104" t="s">
        <v>87</v>
      </c>
      <c r="CK35" s="104" t="s">
        <v>92</v>
      </c>
      <c r="CL35" s="104" t="s">
        <v>85</v>
      </c>
      <c r="CM35" s="104"/>
      <c r="CN35" s="104" t="s">
        <v>82</v>
      </c>
      <c r="CO35" s="104" t="s">
        <v>88</v>
      </c>
      <c r="CP35" s="104" t="s">
        <v>94</v>
      </c>
      <c r="CQ35" s="104" t="s">
        <v>87</v>
      </c>
      <c r="CR35" s="104" t="s">
        <v>91</v>
      </c>
      <c r="CS35" s="104" t="s">
        <v>82</v>
      </c>
    </row>
    <row r="36" spans="1:97" ht="12.75">
      <c r="A36" s="28"/>
      <c r="B36" s="41" t="str">
        <f>CONCATENATE("3",D36)</f>
        <v>3C</v>
      </c>
      <c r="C36" s="42" t="str">
        <f>IF(AND(N$35=0,N$36=0,N$37=0,N$38=0),"",VLOOKUP(2,$F$35:$M$43,8,FALSE))</f>
        <v>Weißrussland</v>
      </c>
      <c r="D36" s="1" t="str">
        <f>IF(AND(N$35=0,N$36=0,N$37=0,N$38=0),"",VLOOKUP(2,$F$35:$M$38,7,FALSE))</f>
        <v>C</v>
      </c>
      <c r="F36" s="1">
        <f>RANK(T36,$T$35:$T$38)</f>
        <v>3</v>
      </c>
      <c r="I36" s="2"/>
      <c r="K36" s="10"/>
      <c r="L36" s="81" t="str">
        <f t="shared" si="12"/>
        <v>D</v>
      </c>
      <c r="M36" s="82" t="str">
        <f>VLOOKUP(2,$X$35:$AC$40,2,FALSE)</f>
        <v>Schottland</v>
      </c>
      <c r="N36" s="2">
        <f>VLOOKUP(2,$X$35:$AC$40,3,FALSE)</f>
        <v>4</v>
      </c>
      <c r="O36" s="2">
        <f>VLOOKUP(2,$X$35:$AC$40,4,FALSE)</f>
        <v>7</v>
      </c>
      <c r="P36" s="2">
        <f>VLOOKUP(2,$X$35:$AC$40,5,FALSE)</f>
        <v>6</v>
      </c>
      <c r="Q36" s="2">
        <f>VLOOKUP(2,$X$35:$AC$40,6,FALSE)</f>
        <v>1</v>
      </c>
      <c r="R36" s="15" t="str">
        <f>VLOOKUP(2,$X$35:$AF$40,9,FALSE)</f>
        <v>3D</v>
      </c>
      <c r="T36" s="86">
        <f>71-CODE(L36)</f>
        <v>3</v>
      </c>
      <c r="X36" s="94">
        <f t="shared" si="13"/>
        <v>1</v>
      </c>
      <c r="Y36" s="105" t="str">
        <f>M14</f>
        <v>Russland</v>
      </c>
      <c r="Z36" s="86">
        <f>N14</f>
        <v>4</v>
      </c>
      <c r="AA36" s="86">
        <f>O14</f>
        <v>11</v>
      </c>
      <c r="AB36" s="86">
        <f>P14</f>
        <v>8</v>
      </c>
      <c r="AC36" s="86">
        <f>Q14</f>
        <v>3</v>
      </c>
      <c r="AD36" s="96">
        <f t="shared" si="14"/>
        <v>403110000000005</v>
      </c>
      <c r="AE36" s="97"/>
      <c r="AF36" s="86" t="str">
        <f>N19</f>
        <v>3B</v>
      </c>
      <c r="AV36" s="97">
        <v>5</v>
      </c>
      <c r="BJ36"/>
      <c r="BK36"/>
      <c r="BL36"/>
      <c r="BM36"/>
      <c r="BN36"/>
      <c r="BO36"/>
      <c r="BP36"/>
      <c r="BQ36"/>
      <c r="BR36"/>
      <c r="BS36" s="102"/>
      <c r="BT36" s="102"/>
      <c r="BU36" s="102"/>
      <c r="CE36"/>
      <c r="CF36" s="103"/>
      <c r="CG36" s="103"/>
      <c r="CH36" s="103" t="s">
        <v>89</v>
      </c>
      <c r="CI36" s="104" t="s">
        <v>93</v>
      </c>
      <c r="CJ36" s="104" t="s">
        <v>90</v>
      </c>
      <c r="CK36" s="104" t="s">
        <v>93</v>
      </c>
      <c r="CL36" s="104" t="s">
        <v>88</v>
      </c>
      <c r="CM36" s="104"/>
      <c r="CN36" s="104" t="s">
        <v>85</v>
      </c>
      <c r="CO36" s="104" t="s">
        <v>91</v>
      </c>
      <c r="CP36" s="104"/>
      <c r="CQ36" s="104" t="s">
        <v>88</v>
      </c>
      <c r="CR36" s="104" t="s">
        <v>92</v>
      </c>
      <c r="CS36" s="104" t="s">
        <v>90</v>
      </c>
    </row>
    <row r="37" spans="1:97" ht="12.75">
      <c r="A37" s="28"/>
      <c r="B37" s="41" t="str">
        <f>CONCATENATE("3",D37)</f>
        <v>3D</v>
      </c>
      <c r="C37" s="42" t="str">
        <f>IF(AND(N$35=0,N$36=0,N$37=0,N$38=0),"",VLOOKUP(3,$F$35:$M$43,8,FALSE))</f>
        <v>Schottland</v>
      </c>
      <c r="D37" s="1" t="str">
        <f>IF(AND(N$35=0,N$36=0,N$37=0,N$38=0),"",VLOOKUP(3,$F$35:$M$38,7,FALSE))</f>
        <v>D</v>
      </c>
      <c r="F37" s="1">
        <f>RANK(T37,$T$35:$T$38)</f>
        <v>4</v>
      </c>
      <c r="I37" s="2"/>
      <c r="K37" s="10"/>
      <c r="L37" s="81" t="str">
        <f t="shared" si="12"/>
        <v>F</v>
      </c>
      <c r="M37" s="82" t="str">
        <f>VLOOKUP(3,$X$35:$AC$40,2,FALSE)</f>
        <v>Ungarn</v>
      </c>
      <c r="N37" s="2">
        <f>VLOOKUP(3,$X$35:$AC$40,3,FALSE)</f>
        <v>4</v>
      </c>
      <c r="O37" s="2">
        <f>VLOOKUP(3,$X$35:$AC$40,4,FALSE)</f>
        <v>9</v>
      </c>
      <c r="P37" s="2">
        <f>VLOOKUP(3,$X$35:$AC$40,5,FALSE)</f>
        <v>10</v>
      </c>
      <c r="Q37" s="2">
        <f>VLOOKUP(3,$X$35:$AC$40,6,FALSE)</f>
        <v>-1</v>
      </c>
      <c r="R37" s="15" t="str">
        <f>VLOOKUP(3,$X$35:$AF$40,9,FALSE)</f>
        <v>3F</v>
      </c>
      <c r="T37" s="86">
        <f>71-CODE(L37)</f>
        <v>1</v>
      </c>
      <c r="X37" s="94">
        <f t="shared" si="13"/>
        <v>4</v>
      </c>
      <c r="Y37" s="105" t="str">
        <f>M24</f>
        <v>Weißrussland</v>
      </c>
      <c r="Z37" s="86">
        <f>N24</f>
        <v>3</v>
      </c>
      <c r="AA37" s="86">
        <f>O24</f>
        <v>6</v>
      </c>
      <c r="AB37" s="86">
        <f>P24</f>
        <v>7</v>
      </c>
      <c r="AC37" s="86">
        <f>Q24</f>
        <v>-1</v>
      </c>
      <c r="AD37" s="96">
        <f t="shared" si="14"/>
        <v>299060000000004</v>
      </c>
      <c r="AE37" s="97"/>
      <c r="AF37" s="86" t="str">
        <f>N29</f>
        <v>3C</v>
      </c>
      <c r="AV37" s="97">
        <v>4</v>
      </c>
      <c r="BJ37"/>
      <c r="BK37"/>
      <c r="BL37"/>
      <c r="BM37"/>
      <c r="BN37"/>
      <c r="BO37"/>
      <c r="BP37"/>
      <c r="BQ37"/>
      <c r="BR37"/>
      <c r="BS37" s="102"/>
      <c r="BT37" s="102"/>
      <c r="BU37" s="102"/>
      <c r="CE37"/>
      <c r="CF37" s="103"/>
      <c r="CG37" s="103"/>
      <c r="CH37" s="103" t="s">
        <v>90</v>
      </c>
      <c r="CI37" s="104" t="s">
        <v>94</v>
      </c>
      <c r="CJ37" s="104" t="s">
        <v>91</v>
      </c>
      <c r="CK37" s="104" t="s">
        <v>94</v>
      </c>
      <c r="CL37" s="104" t="s">
        <v>89</v>
      </c>
      <c r="CM37" s="104"/>
      <c r="CN37" s="104" t="s">
        <v>90</v>
      </c>
      <c r="CO37" s="104" t="s">
        <v>92</v>
      </c>
      <c r="CP37" s="104"/>
      <c r="CQ37" s="104" t="s">
        <v>89</v>
      </c>
      <c r="CR37" s="104" t="s">
        <v>93</v>
      </c>
      <c r="CS37" s="104" t="s">
        <v>94</v>
      </c>
    </row>
    <row r="38" spans="1:95" ht="12.75">
      <c r="A38" s="28"/>
      <c r="B38" s="41" t="str">
        <f>CONCATENATE("3",D38)</f>
        <v>3F</v>
      </c>
      <c r="C38" s="42" t="str">
        <f>IF(AND(N$35=0,N$36=0,N$37=0,N$38=0),"",VLOOKUP(4,$F$35:$M$43,8,FALSE))</f>
        <v>Ungarn</v>
      </c>
      <c r="D38" s="1" t="str">
        <f>IF(AND(N$35=0,N$36=0,N$37=0,N$38=0),"",VLOOKUP(4,$F$35:$M$38,7,FALSE))</f>
        <v>F</v>
      </c>
      <c r="F38" s="1">
        <f>RANK(T38,$T$35:$T$38)</f>
        <v>2</v>
      </c>
      <c r="I38" s="2"/>
      <c r="K38" s="10"/>
      <c r="L38" s="81" t="str">
        <f t="shared" si="12"/>
        <v>C</v>
      </c>
      <c r="M38" s="82" t="str">
        <f>VLOOKUP(4,$X$35:$AC$40,2,FALSE)</f>
        <v>Weißrussland</v>
      </c>
      <c r="N38" s="2">
        <f>VLOOKUP(4,$X$35:$AC$40,3,FALSE)</f>
        <v>3</v>
      </c>
      <c r="O38" s="2">
        <f>VLOOKUP(4,$X$35:$AC$40,4,FALSE)</f>
        <v>6</v>
      </c>
      <c r="P38" s="2">
        <f>VLOOKUP(4,$X$35:$AC$40,5,FALSE)</f>
        <v>7</v>
      </c>
      <c r="Q38" s="2">
        <f>VLOOKUP(4,$X$35:$AC$40,6,FALSE)</f>
        <v>-1</v>
      </c>
      <c r="R38" s="15" t="str">
        <f>VLOOKUP(4,$X$35:$AF$40,9,FALSE)</f>
        <v>3C</v>
      </c>
      <c r="T38" s="86">
        <f>71-CODE(L38)</f>
        <v>4</v>
      </c>
      <c r="X38" s="94">
        <f t="shared" si="13"/>
        <v>2</v>
      </c>
      <c r="Y38" s="105" t="str">
        <f>BM4</f>
        <v>Schottland</v>
      </c>
      <c r="Z38" s="86">
        <f>BN4</f>
        <v>4</v>
      </c>
      <c r="AA38" s="86">
        <f>BO4</f>
        <v>7</v>
      </c>
      <c r="AB38" s="86">
        <f>BP4</f>
        <v>6</v>
      </c>
      <c r="AC38" s="86">
        <f>BQ4</f>
        <v>1</v>
      </c>
      <c r="AD38" s="96">
        <f t="shared" si="14"/>
        <v>401070000000003</v>
      </c>
      <c r="AE38" s="97"/>
      <c r="AF38" s="86" t="str">
        <f>BN9</f>
        <v>3D</v>
      </c>
      <c r="AV38" s="97">
        <v>3</v>
      </c>
      <c r="BJ38"/>
      <c r="BK38"/>
      <c r="BL38"/>
      <c r="BM38"/>
      <c r="BN38"/>
      <c r="BO38"/>
      <c r="BP38"/>
      <c r="BQ38"/>
      <c r="BR38"/>
      <c r="BS38" s="102"/>
      <c r="BT38" s="102"/>
      <c r="BU38" s="102"/>
      <c r="CE38"/>
      <c r="CF38" s="103"/>
      <c r="CG38" s="103"/>
      <c r="CH38" s="103"/>
      <c r="CI38" s="104"/>
      <c r="CJ38" s="104"/>
      <c r="CK38" s="104"/>
      <c r="CL38" s="104"/>
      <c r="CM38" s="104"/>
      <c r="CN38" s="104"/>
      <c r="CO38" s="104"/>
      <c r="CP38" s="104"/>
      <c r="CQ38" s="104"/>
    </row>
    <row r="39" spans="1:95" ht="12.75">
      <c r="A39" s="28"/>
      <c r="H39" s="2"/>
      <c r="I39" s="2"/>
      <c r="K39" s="10"/>
      <c r="L39" s="1" t="str">
        <f t="shared" si="12"/>
        <v>E</v>
      </c>
      <c r="M39" s="10" t="str">
        <f>VLOOKUP(5,$X$35:$AC$40,2,FALSE)</f>
        <v>Schweden</v>
      </c>
      <c r="N39" s="2">
        <f>VLOOKUP(5,$X$35:$AC$40,3,FALSE)</f>
        <v>3</v>
      </c>
      <c r="O39" s="2">
        <f>VLOOKUP(5,$X$35:$AC$40,4,FALSE)</f>
        <v>4</v>
      </c>
      <c r="P39" s="2">
        <f>VLOOKUP(5,$X$35:$AC$40,5,FALSE)</f>
        <v>6</v>
      </c>
      <c r="Q39" s="2">
        <f>VLOOKUP(5,$X$35:$AC$40,6,FALSE)</f>
        <v>-2</v>
      </c>
      <c r="R39" s="15" t="str">
        <f>VLOOKUP(5,$X$35:$AF$40,9,FALSE)</f>
        <v>3E</v>
      </c>
      <c r="X39" s="94">
        <f t="shared" si="13"/>
        <v>5</v>
      </c>
      <c r="Y39" s="105" t="str">
        <f>BM14</f>
        <v>Schweden</v>
      </c>
      <c r="Z39" s="86">
        <f>BN14</f>
        <v>3</v>
      </c>
      <c r="AA39" s="86">
        <f>BO14</f>
        <v>4</v>
      </c>
      <c r="AB39" s="86">
        <f>BP14</f>
        <v>6</v>
      </c>
      <c r="AC39" s="86">
        <f>BQ14</f>
        <v>-2</v>
      </c>
      <c r="AD39" s="96">
        <f t="shared" si="14"/>
        <v>298040000000002</v>
      </c>
      <c r="AE39" s="97"/>
      <c r="AF39" s="86" t="str">
        <f>BN19</f>
        <v>3E</v>
      </c>
      <c r="AV39" s="97">
        <v>2</v>
      </c>
      <c r="BJ39"/>
      <c r="BK39"/>
      <c r="BL39"/>
      <c r="BM39"/>
      <c r="BN39"/>
      <c r="BO39"/>
      <c r="BP39"/>
      <c r="BQ39"/>
      <c r="BR39"/>
      <c r="BS39" s="102"/>
      <c r="BT39" s="102"/>
      <c r="BU39" s="102"/>
      <c r="CE39"/>
      <c r="CF39" s="103"/>
      <c r="CG39" s="103"/>
      <c r="CH39" s="103"/>
      <c r="CI39" s="104"/>
      <c r="CJ39" s="104"/>
      <c r="CK39" s="104"/>
      <c r="CL39" s="104"/>
      <c r="CM39" s="104"/>
      <c r="CN39" s="104"/>
      <c r="CO39" s="104"/>
      <c r="CP39" s="104"/>
      <c r="CQ39" s="104"/>
    </row>
    <row r="40" spans="1:95" ht="12.75">
      <c r="A40" s="28"/>
      <c r="H40" s="2"/>
      <c r="I40" s="2"/>
      <c r="K40" s="10"/>
      <c r="L40" s="1" t="str">
        <f t="shared" si="12"/>
        <v>A</v>
      </c>
      <c r="M40" s="10" t="str">
        <f>VLOOKUP(6,$X$35:$AC$40,2,FALSE)</f>
        <v>Türkei</v>
      </c>
      <c r="N40" s="2">
        <f>VLOOKUP(6,$X$35:$AC$40,3,FALSE)</f>
        <v>3</v>
      </c>
      <c r="O40" s="2">
        <f>VLOOKUP(6,$X$35:$AC$40,4,FALSE)</f>
        <v>8</v>
      </c>
      <c r="P40" s="2">
        <f>VLOOKUP(6,$X$35:$AC$40,5,FALSE)</f>
        <v>11</v>
      </c>
      <c r="Q40" s="2">
        <f>VLOOKUP(6,$X$35:$AC$40,6,FALSE)</f>
        <v>-3</v>
      </c>
      <c r="R40" s="15" t="str">
        <f>VLOOKUP(6,$X$35:$AF$40,9,FALSE)</f>
        <v>3A</v>
      </c>
      <c r="X40" s="94">
        <f t="shared" si="13"/>
        <v>3</v>
      </c>
      <c r="Y40" s="105" t="str">
        <f>BM24</f>
        <v>Ungarn</v>
      </c>
      <c r="Z40" s="86">
        <f>BN24</f>
        <v>4</v>
      </c>
      <c r="AA40" s="86">
        <f>BO24</f>
        <v>9</v>
      </c>
      <c r="AB40" s="86">
        <f>BP24</f>
        <v>10</v>
      </c>
      <c r="AC40" s="86">
        <f>BQ24</f>
        <v>-1</v>
      </c>
      <c r="AD40" s="96">
        <f t="shared" si="14"/>
        <v>399090000000001</v>
      </c>
      <c r="AE40" s="97"/>
      <c r="AF40" s="86" t="str">
        <f>BN29</f>
        <v>3F</v>
      </c>
      <c r="AV40" s="97">
        <v>1</v>
      </c>
      <c r="BJ40"/>
      <c r="BK40"/>
      <c r="BL40"/>
      <c r="BM40"/>
      <c r="BN40"/>
      <c r="BO40"/>
      <c r="BP40"/>
      <c r="BQ40"/>
      <c r="BR40"/>
      <c r="BS40" s="102"/>
      <c r="BT40" s="102"/>
      <c r="BU40" s="102"/>
      <c r="CE40"/>
      <c r="CF40" s="103"/>
      <c r="CG40" s="103"/>
      <c r="CH40" s="103"/>
      <c r="CI40" s="104"/>
      <c r="CJ40" s="104"/>
      <c r="CK40" s="104"/>
      <c r="CL40" s="104"/>
      <c r="CM40" s="104"/>
      <c r="CN40" s="104"/>
      <c r="CO40" s="104"/>
      <c r="CP40" s="104"/>
      <c r="CQ40" s="104"/>
    </row>
    <row r="41" spans="1:95" ht="12.75">
      <c r="A41" s="28"/>
      <c r="H41" s="2"/>
      <c r="I41" s="2"/>
      <c r="J41" s="1"/>
      <c r="K41" s="2"/>
      <c r="M41" s="2"/>
      <c r="AE41" s="86"/>
      <c r="BJ41"/>
      <c r="BK41"/>
      <c r="BL41"/>
      <c r="BM41"/>
      <c r="BN41"/>
      <c r="BO41"/>
      <c r="BP41"/>
      <c r="BQ41"/>
      <c r="BR41"/>
      <c r="BS41" s="102"/>
      <c r="BT41" s="102"/>
      <c r="BU41" s="102"/>
      <c r="CE41"/>
      <c r="CF41" s="103"/>
      <c r="CG41" s="103"/>
      <c r="CH41" s="103"/>
      <c r="CI41" s="104"/>
      <c r="CJ41" s="104"/>
      <c r="CK41" s="104"/>
      <c r="CL41" s="104"/>
      <c r="CM41" s="104"/>
      <c r="CN41" s="104"/>
      <c r="CO41" s="104"/>
      <c r="CP41" s="104"/>
      <c r="CQ41" s="104"/>
    </row>
    <row r="42" spans="1:100" ht="12.75">
      <c r="A42" s="28"/>
      <c r="H42" s="2"/>
      <c r="I42" s="2"/>
      <c r="J42" s="1"/>
      <c r="K42" s="2"/>
      <c r="M42" s="2"/>
      <c r="AD42" s="86" t="s">
        <v>118</v>
      </c>
      <c r="AE42" s="86"/>
      <c r="BJ42"/>
      <c r="BK42"/>
      <c r="BL42"/>
      <c r="BM42"/>
      <c r="BN42"/>
      <c r="BO42"/>
      <c r="BP42"/>
      <c r="BQ42"/>
      <c r="BR42"/>
      <c r="BS42" s="102"/>
      <c r="BT42" s="102"/>
      <c r="BU42" s="102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</row>
    <row r="43" spans="1:84" ht="12.75" customHeight="1">
      <c r="A43" s="28"/>
      <c r="H43" s="2"/>
      <c r="I43" s="2"/>
      <c r="J43" s="1"/>
      <c r="K43" s="2"/>
      <c r="M43" s="2"/>
      <c r="AD43" s="86" t="s">
        <v>120</v>
      </c>
      <c r="AE43" s="86"/>
      <c r="AX43" s="80"/>
      <c r="AY43" s="80"/>
      <c r="AZ43" s="80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3:84" ht="3.75" customHeight="1">
      <c r="C44" s="3"/>
      <c r="E44" s="3"/>
      <c r="F44" s="3"/>
      <c r="H44" s="12"/>
      <c r="I44" s="13"/>
      <c r="J44" s="12"/>
      <c r="AD44" s="98"/>
      <c r="AX44" s="80"/>
      <c r="AY44" s="80"/>
      <c r="AZ44" s="80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3:84" ht="3.75" customHeight="1">
      <c r="C45" s="3"/>
      <c r="E45" s="3"/>
      <c r="F45" s="3"/>
      <c r="H45" s="12"/>
      <c r="I45" s="13"/>
      <c r="J45" s="12"/>
      <c r="AD45" s="98"/>
      <c r="AX45" s="80"/>
      <c r="AY45" s="80"/>
      <c r="AZ45" s="80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3:84" ht="3.75" customHeight="1">
      <c r="C46" s="3"/>
      <c r="E46" s="3"/>
      <c r="F46" s="3"/>
      <c r="H46" s="12"/>
      <c r="I46" s="13"/>
      <c r="J46" s="12"/>
      <c r="AD46" s="98"/>
      <c r="AX46" s="80"/>
      <c r="AY46" s="80"/>
      <c r="AZ46" s="80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:104" s="11" customFormat="1" ht="12.75">
      <c r="B47" s="18" t="s">
        <v>41</v>
      </c>
      <c r="C47" s="24"/>
      <c r="D47" s="18"/>
      <c r="E47" s="15"/>
      <c r="F47" s="18"/>
      <c r="G47" s="18"/>
      <c r="H47" s="22"/>
      <c r="I47" s="21"/>
      <c r="J47" s="22"/>
      <c r="K47" s="50"/>
      <c r="L47" s="18"/>
      <c r="M47" s="24"/>
      <c r="N47" s="18"/>
      <c r="O47" s="18"/>
      <c r="P47" s="18"/>
      <c r="Q47" s="18"/>
      <c r="R47" s="18"/>
      <c r="S47" s="87"/>
      <c r="T47" s="87"/>
      <c r="U47" s="87"/>
      <c r="V47" s="87"/>
      <c r="W47" s="87"/>
      <c r="X47" s="87"/>
      <c r="Y47" s="88"/>
      <c r="Z47" s="87"/>
      <c r="AA47" s="87"/>
      <c r="AB47" s="87"/>
      <c r="AC47" s="87"/>
      <c r="AD47" s="106"/>
      <c r="AE47" s="21"/>
      <c r="AF47" s="87"/>
      <c r="AG47" s="87"/>
      <c r="AH47" s="87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80"/>
      <c r="AY47" s="80"/>
      <c r="AZ47" s="80"/>
      <c r="BA47" s="2"/>
      <c r="BB47" s="51" t="s">
        <v>50</v>
      </c>
      <c r="BC47" s="24"/>
      <c r="BD47" s="15"/>
      <c r="BE47" s="15"/>
      <c r="BF47" s="15"/>
      <c r="BG47" s="18"/>
      <c r="BH47" s="22"/>
      <c r="BI47" s="21"/>
      <c r="BJ47" s="22"/>
      <c r="BK47" s="50"/>
      <c r="BL47" s="18"/>
      <c r="BM47" s="24"/>
      <c r="BN47" s="18"/>
      <c r="BO47" s="18"/>
      <c r="BP47" s="18"/>
      <c r="BQ47" s="1"/>
      <c r="BR47" s="1"/>
      <c r="BS47" s="94"/>
      <c r="BT47" s="94"/>
      <c r="BU47" s="94"/>
      <c r="BV47" s="94"/>
      <c r="BW47" s="94"/>
      <c r="BX47" s="94"/>
      <c r="BY47" s="95"/>
      <c r="BZ47" s="94"/>
      <c r="CA47" s="94"/>
      <c r="CB47" s="94"/>
      <c r="CC47" s="94"/>
      <c r="CD47" s="94"/>
      <c r="CE47" s="98"/>
      <c r="CF47" s="99"/>
      <c r="CG47" s="94"/>
      <c r="CH47" s="94"/>
      <c r="CI47" s="86"/>
      <c r="CJ47" s="86"/>
      <c r="CK47" s="86"/>
      <c r="CL47" s="86"/>
      <c r="CM47" s="86"/>
      <c r="CN47" s="86"/>
      <c r="CO47" s="94"/>
      <c r="CP47" s="86"/>
      <c r="CQ47" s="86"/>
      <c r="CR47" s="86"/>
      <c r="CS47" s="86"/>
      <c r="CT47" s="86"/>
      <c r="CU47" s="86"/>
      <c r="CV47" s="86"/>
      <c r="CW47" s="86"/>
      <c r="CX47" s="80"/>
      <c r="CY47" s="80"/>
      <c r="CZ47" s="80"/>
    </row>
    <row r="48" spans="2:104" ht="12.75">
      <c r="B48" s="3" t="s">
        <v>19</v>
      </c>
      <c r="C48" s="3" t="s">
        <v>20</v>
      </c>
      <c r="D48" s="18"/>
      <c r="E48" s="15"/>
      <c r="F48" s="18"/>
      <c r="G48" s="18"/>
      <c r="H48" s="22"/>
      <c r="I48" s="12"/>
      <c r="J48" s="22"/>
      <c r="K48" s="50"/>
      <c r="L48" s="1"/>
      <c r="M48" s="3"/>
      <c r="N48" s="1"/>
      <c r="O48" s="1"/>
      <c r="P48" s="1"/>
      <c r="Q48" s="1"/>
      <c r="V48" s="94"/>
      <c r="W48" s="94"/>
      <c r="Y48" s="3" t="s">
        <v>122</v>
      </c>
      <c r="Z48" s="94"/>
      <c r="AB48" s="94" t="s">
        <v>95</v>
      </c>
      <c r="AC48" s="94"/>
      <c r="AD48" s="98"/>
      <c r="AE48" s="21" t="s">
        <v>123</v>
      </c>
      <c r="AF48" s="94"/>
      <c r="AG48" s="94"/>
      <c r="AH48" s="94"/>
      <c r="AX48" s="80"/>
      <c r="AY48" s="80"/>
      <c r="AZ48" s="80"/>
      <c r="BB48" s="3" t="s">
        <v>19</v>
      </c>
      <c r="BC48" s="3" t="s">
        <v>20</v>
      </c>
      <c r="BD48" s="15"/>
      <c r="BE48" s="15"/>
      <c r="BF48" s="15"/>
      <c r="BG48" s="18"/>
      <c r="BH48" s="22"/>
      <c r="BI48" s="12"/>
      <c r="BJ48" s="68"/>
      <c r="BK48" s="50"/>
      <c r="BL48" s="1"/>
      <c r="BM48" s="3"/>
      <c r="BN48" s="1"/>
      <c r="BO48" s="1"/>
      <c r="BP48" s="1"/>
      <c r="BQ48" s="1"/>
      <c r="BR48" s="1"/>
      <c r="BS48" s="94"/>
      <c r="BT48" s="94"/>
      <c r="BU48" s="94"/>
      <c r="BV48" s="94"/>
      <c r="BW48" s="94"/>
      <c r="BX48" s="94"/>
      <c r="BY48" s="95"/>
      <c r="BZ48" s="94"/>
      <c r="CA48" s="94"/>
      <c r="CB48" s="94"/>
      <c r="CC48" s="94"/>
      <c r="CD48" s="94"/>
      <c r="CE48" s="98"/>
      <c r="CF48" s="99"/>
      <c r="CG48" s="94"/>
      <c r="CH48" s="94"/>
      <c r="CI48" s="86"/>
      <c r="CJ48" s="86"/>
      <c r="CK48" s="86"/>
      <c r="CL48" s="86"/>
      <c r="CM48" s="86"/>
      <c r="CN48" s="86"/>
      <c r="CO48" s="94"/>
      <c r="CP48" s="86"/>
      <c r="CQ48" s="86"/>
      <c r="CR48" s="86"/>
      <c r="CS48" s="86"/>
      <c r="CT48" s="86"/>
      <c r="CU48" s="86"/>
      <c r="CV48" s="86"/>
      <c r="CW48" s="86"/>
      <c r="CX48" s="80"/>
      <c r="CY48" s="80"/>
      <c r="CZ48" s="80"/>
    </row>
    <row r="49" spans="1:104" ht="12.75">
      <c r="A49" s="2">
        <v>37</v>
      </c>
      <c r="B49" s="7">
        <v>44009.875</v>
      </c>
      <c r="C49" s="4" t="s">
        <v>139</v>
      </c>
      <c r="D49" s="30" t="str">
        <f>M7</f>
        <v>Italien</v>
      </c>
      <c r="E49" s="16" t="s">
        <v>21</v>
      </c>
      <c r="F49" s="46" t="str">
        <f>M28</f>
        <v>Niederlande</v>
      </c>
      <c r="G49" s="18"/>
      <c r="H49" s="110">
        <f aca="true" ca="1" t="shared" si="15" ref="H49:H56">IF($B$66="",1,IF(OR(J49&lt;1,INT(RAND()*10&lt;6)),J49+1,J49-1))</f>
        <v>2</v>
      </c>
      <c r="I49" s="12" t="s">
        <v>22</v>
      </c>
      <c r="J49" s="110">
        <f aca="true" ca="1" t="shared" si="16" ref="J49:J56">IF($B$66="",0,INT(RAND()*5)+INT(RAND()*3)*INT(RAND()*2))</f>
        <v>3</v>
      </c>
      <c r="K49" s="8" t="s">
        <v>23</v>
      </c>
      <c r="L49" s="1"/>
      <c r="M49" s="70" t="str">
        <f aca="true" t="shared" si="17" ref="M49:M56">IF(J49="","",IF(J49=H49,"falsch!!! K.Remis",IF(H49&gt;J49,D49,F49)))</f>
        <v>Niederlande</v>
      </c>
      <c r="N49" s="1" t="str">
        <f>N7</f>
        <v>1A</v>
      </c>
      <c r="O49" s="1" t="str">
        <f>N28</f>
        <v>2C</v>
      </c>
      <c r="P49" s="1" t="s">
        <v>42</v>
      </c>
      <c r="Q49" s="1"/>
      <c r="V49" s="94"/>
      <c r="W49" s="94"/>
      <c r="Y49" s="1"/>
      <c r="Z49" s="94"/>
      <c r="AB49" s="94"/>
      <c r="AC49" s="80"/>
      <c r="AD49" s="80"/>
      <c r="AE49" s="97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X49" s="80"/>
      <c r="AY49" s="80"/>
      <c r="AZ49" s="80"/>
      <c r="BA49" s="2">
        <f>A56+1</f>
        <v>45</v>
      </c>
      <c r="BB49" s="7">
        <v>44015.875</v>
      </c>
      <c r="BC49" s="114" t="s">
        <v>136</v>
      </c>
      <c r="BD49" s="71" t="str">
        <f>M49</f>
        <v>Niederlande</v>
      </c>
      <c r="BE49" s="16" t="s">
        <v>21</v>
      </c>
      <c r="BF49" s="71" t="str">
        <f>M50</f>
        <v>Dänemark</v>
      </c>
      <c r="BG49" s="15"/>
      <c r="BH49" s="110">
        <f ca="1">IF($B$66="",1,IF(OR(BJ49&lt;1,INT(RAND()*10&lt;6)),BJ49+1,BJ49-1))</f>
        <v>1</v>
      </c>
      <c r="BI49" s="12" t="s">
        <v>22</v>
      </c>
      <c r="BJ49" s="110">
        <f ca="1">IF($B$66="",0,INT(RAND()*5)+INT(RAND()*3)*INT(RAND()*2))</f>
        <v>2</v>
      </c>
      <c r="BK49" s="8" t="s">
        <v>23</v>
      </c>
      <c r="BL49" s="1"/>
      <c r="BM49" s="72" t="str">
        <f>IF(BJ49="","",IF(BJ49=BH49,"falsch!!! K.Remis",IF(BH49&gt;BJ49,BD49,BF49)))</f>
        <v>Dänemark</v>
      </c>
      <c r="BN49" s="1" t="str">
        <f>P49</f>
        <v>AF1</v>
      </c>
      <c r="BO49" s="1" t="str">
        <f>P50</f>
        <v>AF2</v>
      </c>
      <c r="BP49" s="2" t="s">
        <v>52</v>
      </c>
      <c r="BQ49" s="1"/>
      <c r="BR49" s="1"/>
      <c r="BS49" s="94"/>
      <c r="BT49" s="94"/>
      <c r="BU49" s="94"/>
      <c r="BV49" s="94"/>
      <c r="BW49" s="94"/>
      <c r="BX49" s="94"/>
      <c r="BY49" s="95"/>
      <c r="BZ49" s="94"/>
      <c r="CA49" s="94"/>
      <c r="CB49" s="94"/>
      <c r="CC49" s="94"/>
      <c r="CD49" s="94"/>
      <c r="CE49" s="98"/>
      <c r="CF49" s="99"/>
      <c r="CG49" s="94"/>
      <c r="CH49" s="94"/>
      <c r="CI49" s="86"/>
      <c r="CJ49" s="86"/>
      <c r="CK49" s="86"/>
      <c r="CL49" s="86"/>
      <c r="CM49" s="86"/>
      <c r="CN49" s="86"/>
      <c r="CO49" s="94"/>
      <c r="CP49" s="86"/>
      <c r="CQ49" s="86"/>
      <c r="CR49" s="86"/>
      <c r="CS49" s="86"/>
      <c r="CT49" s="86"/>
      <c r="CU49" s="86"/>
      <c r="CV49" s="86"/>
      <c r="CW49" s="86"/>
      <c r="CX49" s="80"/>
      <c r="CY49" s="80"/>
      <c r="CZ49" s="80"/>
    </row>
    <row r="50" spans="1:104" ht="12.75">
      <c r="A50" s="2">
        <f>A49+1</f>
        <v>38</v>
      </c>
      <c r="B50" s="7">
        <v>44010.875</v>
      </c>
      <c r="C50" s="4" t="s">
        <v>140</v>
      </c>
      <c r="D50" s="45" t="str">
        <f>M17</f>
        <v>Dänemark</v>
      </c>
      <c r="E50" s="16" t="s">
        <v>21</v>
      </c>
      <c r="F50" s="42" t="str">
        <f>VLOOKUP(O50,$B$35:$C$38,2,TRUE)</f>
        <v>Ungarn</v>
      </c>
      <c r="G50" s="18"/>
      <c r="H50" s="111">
        <f ca="1" t="shared" si="15"/>
        <v>1</v>
      </c>
      <c r="I50" s="12" t="s">
        <v>22</v>
      </c>
      <c r="J50" s="111">
        <f ca="1" t="shared" si="16"/>
        <v>0</v>
      </c>
      <c r="K50" s="8" t="s">
        <v>23</v>
      </c>
      <c r="L50" s="1"/>
      <c r="M50" s="70" t="str">
        <f t="shared" si="17"/>
        <v>Dänemark</v>
      </c>
      <c r="N50" s="1" t="str">
        <f>N17</f>
        <v>1B</v>
      </c>
      <c r="O50" s="1" t="str">
        <f>IF(AE50="",CONCATENATE("3",AB50),CONCATENATE("3",AE50))</f>
        <v>3F</v>
      </c>
      <c r="P50" s="1" t="s">
        <v>43</v>
      </c>
      <c r="Q50" s="1"/>
      <c r="V50" s="94"/>
      <c r="W50" s="94"/>
      <c r="Y50" s="3" t="s">
        <v>132</v>
      </c>
      <c r="Z50" s="94"/>
      <c r="AA50" s="94" t="s">
        <v>124</v>
      </c>
      <c r="AB50" s="107" t="str">
        <f>IF(COUNTIF($CF$33:$CF$41,C$31)&gt;0,$CF$32,IF(COUNTIF($CG$33:$CG$41,C$31)&gt;0,$CG$32,IF(COUNTIF($CH$33:$CH$41,C$31)&gt;0,$CH$32,IF(COUNTIF($CI$33:$CI$41,C$31)&gt;0,$CI$32,CONCATENATE("??? ",C$31)))))</f>
        <v>F</v>
      </c>
      <c r="AC50" s="80"/>
      <c r="AD50" s="80"/>
      <c r="AE50" s="97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X50" s="80"/>
      <c r="AY50" s="80"/>
      <c r="AZ50" s="80"/>
      <c r="BA50" s="2">
        <f>BA49+1</f>
        <v>46</v>
      </c>
      <c r="BB50" s="7">
        <v>44015.75</v>
      </c>
      <c r="BC50" s="114" t="s">
        <v>135</v>
      </c>
      <c r="BD50" s="53" t="str">
        <f>M51</f>
        <v>Portugal</v>
      </c>
      <c r="BE50" s="52" t="s">
        <v>21</v>
      </c>
      <c r="BF50" s="53" t="str">
        <f>M52</f>
        <v>Irland</v>
      </c>
      <c r="BG50" s="15"/>
      <c r="BH50" s="110">
        <f ca="1">IF($B$66="",1,IF(OR(BJ50&lt;1,INT(RAND()*10&lt;6)),BJ50+1,BJ50-1))</f>
        <v>4</v>
      </c>
      <c r="BI50" s="12" t="s">
        <v>22</v>
      </c>
      <c r="BJ50" s="110">
        <f ca="1">IF($B$66="",0,INT(RAND()*5)+INT(RAND()*3)*INT(RAND()*2))</f>
        <v>3</v>
      </c>
      <c r="BK50" s="8" t="s">
        <v>23</v>
      </c>
      <c r="BL50" s="1"/>
      <c r="BM50" s="54" t="str">
        <f>IF(BJ50="","",IF(BJ50=BH50,"falsch!!! K.Remis",IF(BH50&gt;BJ50,BD50,BF50)))</f>
        <v>Portugal</v>
      </c>
      <c r="BN50" s="1" t="str">
        <f>P51</f>
        <v>AF3</v>
      </c>
      <c r="BO50" s="1" t="str">
        <f>P52</f>
        <v>AF4</v>
      </c>
      <c r="BP50" s="2" t="s">
        <v>54</v>
      </c>
      <c r="BQ50" s="1"/>
      <c r="BR50" s="1"/>
      <c r="BS50" s="94"/>
      <c r="BT50" s="94"/>
      <c r="BU50" s="94"/>
      <c r="BV50" s="94"/>
      <c r="BW50" s="94"/>
      <c r="BX50" s="94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6"/>
      <c r="CQ50" s="86"/>
      <c r="CR50" s="86"/>
      <c r="CS50" s="86"/>
      <c r="CT50" s="86"/>
      <c r="CU50" s="86"/>
      <c r="CV50" s="86"/>
      <c r="CW50" s="86"/>
      <c r="CX50" s="80"/>
      <c r="CY50" s="80"/>
      <c r="CZ50" s="80"/>
    </row>
    <row r="51" spans="1:104" ht="12.75">
      <c r="A51" s="2">
        <f aca="true" t="shared" si="18" ref="A51:A56">A50+1</f>
        <v>39</v>
      </c>
      <c r="B51" s="7">
        <v>44011.875</v>
      </c>
      <c r="C51" s="4" t="s">
        <v>141</v>
      </c>
      <c r="D51" s="49" t="str">
        <f>BM27</f>
        <v>Portugal</v>
      </c>
      <c r="E51" s="16" t="s">
        <v>21</v>
      </c>
      <c r="F51" s="42" t="str">
        <f>VLOOKUP(O51,$B$35:$C$38,2,TRUE)</f>
        <v>Russland</v>
      </c>
      <c r="G51" s="18"/>
      <c r="H51" s="111">
        <f ca="1" t="shared" si="15"/>
        <v>4</v>
      </c>
      <c r="I51" s="12" t="s">
        <v>22</v>
      </c>
      <c r="J51" s="111">
        <f ca="1" t="shared" si="16"/>
        <v>3</v>
      </c>
      <c r="K51" s="8" t="s">
        <v>23</v>
      </c>
      <c r="L51" s="1"/>
      <c r="M51" s="55" t="str">
        <f t="shared" si="17"/>
        <v>Portugal</v>
      </c>
      <c r="N51" s="1" t="str">
        <f>BN27</f>
        <v>1F</v>
      </c>
      <c r="O51" s="1" t="str">
        <f>IF(AE51="",CONCATENATE("3",AB51),CONCATENATE("3",AE51))</f>
        <v>3B</v>
      </c>
      <c r="P51" s="1" t="s">
        <v>44</v>
      </c>
      <c r="Q51" s="1"/>
      <c r="V51" s="94"/>
      <c r="W51" s="94"/>
      <c r="Y51" s="3" t="s">
        <v>134</v>
      </c>
      <c r="Z51" s="94"/>
      <c r="AA51" s="94" t="s">
        <v>124</v>
      </c>
      <c r="AB51" s="107" t="str">
        <f>IF(COUNTIF($CQ$33:$CQ$41,C$31)&gt;0,$CQ$32,IF(COUNTIF($CR$33:$CR$41,C$31)&gt;0,$CR$32,IF(COUNTIF($CS$33:$CS$41,C$31)&gt;0,$CS$32,CONCATENATE("??? ",C$31))))</f>
        <v>B</v>
      </c>
      <c r="AC51" s="80"/>
      <c r="AD51" s="80"/>
      <c r="AE51" s="97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X51" s="80"/>
      <c r="AY51" s="80"/>
      <c r="AZ51" s="80"/>
      <c r="BA51" s="2">
        <f>BA50+1</f>
        <v>47</v>
      </c>
      <c r="BB51" s="7">
        <v>44016.75</v>
      </c>
      <c r="BC51" s="114" t="s">
        <v>137</v>
      </c>
      <c r="BD51" s="56" t="str">
        <f>M53</f>
        <v>Ukraine</v>
      </c>
      <c r="BE51" s="52" t="s">
        <v>21</v>
      </c>
      <c r="BF51" s="56" t="str">
        <f>M54</f>
        <v>Wales</v>
      </c>
      <c r="BG51" s="15"/>
      <c r="BH51" s="110">
        <f ca="1">IF($B$66="",1,IF(OR(BJ51&lt;1,INT(RAND()*10&lt;6)),BJ51+1,BJ51-1))</f>
        <v>5</v>
      </c>
      <c r="BI51" s="12" t="s">
        <v>22</v>
      </c>
      <c r="BJ51" s="110">
        <f ca="1">IF($B$66="",0,INT(RAND()*5)+INT(RAND()*3)*INT(RAND()*2))</f>
        <v>4</v>
      </c>
      <c r="BK51" s="8" t="s">
        <v>23</v>
      </c>
      <c r="BL51" s="1"/>
      <c r="BM51" s="57" t="str">
        <f>IF(BJ51="","",IF(BJ51=BH51,"falsch!!! K.Remis",IF(BH51&gt;BJ51,BD51,BF51)))</f>
        <v>Ukraine</v>
      </c>
      <c r="BN51" s="1" t="str">
        <f>P53</f>
        <v>AF5</v>
      </c>
      <c r="BO51" s="1" t="str">
        <f>P54</f>
        <v>AF6</v>
      </c>
      <c r="BP51" s="1" t="s">
        <v>51</v>
      </c>
      <c r="BQ51" s="1"/>
      <c r="BR51" s="1"/>
      <c r="BS51" s="94"/>
      <c r="BT51" s="94"/>
      <c r="BU51" s="94"/>
      <c r="BV51" s="94"/>
      <c r="BW51" s="94"/>
      <c r="BX51" s="94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6"/>
      <c r="CQ51" s="86"/>
      <c r="CR51" s="86"/>
      <c r="CS51" s="86"/>
      <c r="CT51" s="86"/>
      <c r="CU51" s="86"/>
      <c r="CV51" s="86"/>
      <c r="CW51" s="86"/>
      <c r="CX51" s="80"/>
      <c r="CY51" s="80"/>
      <c r="CZ51" s="80"/>
    </row>
    <row r="52" spans="1:104" ht="12.75">
      <c r="A52" s="2">
        <f t="shared" si="18"/>
        <v>40</v>
      </c>
      <c r="B52" s="7">
        <v>44011.75</v>
      </c>
      <c r="C52" s="4" t="s">
        <v>142</v>
      </c>
      <c r="D52" s="47" t="str">
        <f>BM8</f>
        <v>England</v>
      </c>
      <c r="E52" s="16" t="s">
        <v>21</v>
      </c>
      <c r="F52" s="48" t="str">
        <f>BM18</f>
        <v>Irland</v>
      </c>
      <c r="G52" s="18"/>
      <c r="H52" s="111">
        <f ca="1" t="shared" si="15"/>
        <v>1</v>
      </c>
      <c r="I52" s="12" t="s">
        <v>22</v>
      </c>
      <c r="J52" s="111">
        <f ca="1" t="shared" si="16"/>
        <v>2</v>
      </c>
      <c r="K52" s="8" t="s">
        <v>23</v>
      </c>
      <c r="L52" s="1"/>
      <c r="M52" s="55" t="str">
        <f t="shared" si="17"/>
        <v>Irland</v>
      </c>
      <c r="N52" s="1" t="str">
        <f>BN8</f>
        <v>2D</v>
      </c>
      <c r="O52" s="1" t="str">
        <f>BN18</f>
        <v>2E</v>
      </c>
      <c r="P52" s="1" t="s">
        <v>45</v>
      </c>
      <c r="Q52" s="1"/>
      <c r="V52" s="94"/>
      <c r="W52" s="94"/>
      <c r="Y52" s="3"/>
      <c r="Z52" s="94"/>
      <c r="AA52" s="94"/>
      <c r="AB52" s="107"/>
      <c r="AC52" s="80"/>
      <c r="AD52" s="80"/>
      <c r="AE52" s="97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X52" s="80"/>
      <c r="AY52" s="80"/>
      <c r="AZ52" s="80"/>
      <c r="BA52" s="2">
        <f>BA51+1</f>
        <v>48</v>
      </c>
      <c r="BB52" s="7">
        <v>44016.875</v>
      </c>
      <c r="BC52" s="114" t="s">
        <v>138</v>
      </c>
      <c r="BD52" s="58" t="str">
        <f>M55</f>
        <v>Kroatien</v>
      </c>
      <c r="BE52" s="16" t="s">
        <v>21</v>
      </c>
      <c r="BF52" s="58" t="str">
        <f>M56</f>
        <v>Weißrussland</v>
      </c>
      <c r="BG52" s="15"/>
      <c r="BH52" s="110">
        <f ca="1">IF($B$66="",1,IF(OR(BJ52&lt;1,INT(RAND()*10&lt;6)),BJ52+1,BJ52-1))</f>
        <v>1</v>
      </c>
      <c r="BI52" s="12" t="s">
        <v>22</v>
      </c>
      <c r="BJ52" s="110">
        <f ca="1">IF($B$66="",0,INT(RAND()*5)+INT(RAND()*3)*INT(RAND()*2))</f>
        <v>0</v>
      </c>
      <c r="BK52" s="8" t="s">
        <v>23</v>
      </c>
      <c r="BL52" s="1"/>
      <c r="BM52" s="59" t="str">
        <f>IF(BJ52="","",IF(BJ52=BH52,"falsch!!! K.Remis",IF(BH52&gt;BJ52,BD52,BF52)))</f>
        <v>Kroatien</v>
      </c>
      <c r="BN52" s="1" t="str">
        <f>P55</f>
        <v>AF7</v>
      </c>
      <c r="BO52" s="1" t="str">
        <f>P56</f>
        <v>AF8</v>
      </c>
      <c r="BP52" s="1" t="s">
        <v>53</v>
      </c>
      <c r="BQ52" s="1"/>
      <c r="BR52" s="1"/>
      <c r="BS52" s="94"/>
      <c r="BT52" s="94"/>
      <c r="BU52" s="94"/>
      <c r="BV52" s="94"/>
      <c r="BW52" s="94"/>
      <c r="BX52" s="94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6"/>
      <c r="CQ52" s="86"/>
      <c r="CR52" s="86"/>
      <c r="CS52" s="86"/>
      <c r="CT52" s="86"/>
      <c r="CU52" s="86"/>
      <c r="CV52" s="86"/>
      <c r="CW52" s="86"/>
      <c r="CX52" s="80"/>
      <c r="CY52" s="80"/>
      <c r="CZ52" s="80"/>
    </row>
    <row r="53" spans="1:104" ht="12.75">
      <c r="A53" s="2">
        <f t="shared" si="18"/>
        <v>41</v>
      </c>
      <c r="B53" s="7">
        <v>44010.75</v>
      </c>
      <c r="C53" s="4" t="s">
        <v>143</v>
      </c>
      <c r="D53" s="46" t="str">
        <f>M27</f>
        <v>Ukraine</v>
      </c>
      <c r="E53" s="16" t="s">
        <v>21</v>
      </c>
      <c r="F53" s="42" t="str">
        <f>VLOOKUP(O53,$B$35:$C$38,2,TRUE)</f>
        <v>Schottland</v>
      </c>
      <c r="G53" s="18"/>
      <c r="H53" s="111">
        <f ca="1" t="shared" si="15"/>
        <v>2</v>
      </c>
      <c r="I53" s="12" t="s">
        <v>22</v>
      </c>
      <c r="J53" s="111">
        <f ca="1" t="shared" si="16"/>
        <v>1</v>
      </c>
      <c r="K53" s="8" t="s">
        <v>23</v>
      </c>
      <c r="L53" s="1"/>
      <c r="M53" s="60" t="str">
        <f t="shared" si="17"/>
        <v>Ukraine</v>
      </c>
      <c r="N53" s="1" t="str">
        <f>N27</f>
        <v>1C</v>
      </c>
      <c r="O53" s="1" t="str">
        <f>IF(AE53="",CONCATENATE("3",AB53),CONCATENATE("3",AE53))</f>
        <v>3D</v>
      </c>
      <c r="P53" s="1" t="s">
        <v>46</v>
      </c>
      <c r="Q53" s="1"/>
      <c r="V53" s="94"/>
      <c r="W53" s="94"/>
      <c r="Y53" s="3" t="s">
        <v>131</v>
      </c>
      <c r="Z53" s="94"/>
      <c r="AA53" s="94" t="s">
        <v>124</v>
      </c>
      <c r="AB53" s="107" t="str">
        <f>IF(COUNTIF($CJ$33:$CJ$41,C$31)&gt;0,$CJ$32,IF(COUNTIF($CK$33:$CK$41,C$31)&gt;0,$CK$32,IF(COUNTIF($CL$33:$CL$41,C$31)&gt;0,$CL$32,CONCATENATE("??? ",C$31))))</f>
        <v>D</v>
      </c>
      <c r="AC53" s="80"/>
      <c r="AD53" s="80"/>
      <c r="AE53" s="97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X53" s="80"/>
      <c r="AY53" s="80"/>
      <c r="AZ53" s="80"/>
      <c r="BD53" s="17"/>
      <c r="BE53" s="17"/>
      <c r="BF53" s="17"/>
      <c r="BG53" s="17"/>
      <c r="BQ53" s="1"/>
      <c r="BR53" s="1"/>
      <c r="BS53" s="94"/>
      <c r="BT53" s="94"/>
      <c r="BU53" s="94"/>
      <c r="BV53" s="94"/>
      <c r="BW53" s="94"/>
      <c r="BX53" s="94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6"/>
      <c r="CQ53" s="86"/>
      <c r="CR53" s="86"/>
      <c r="CS53" s="86"/>
      <c r="CT53" s="86"/>
      <c r="CU53" s="86"/>
      <c r="CV53" s="86"/>
      <c r="CW53" s="86"/>
      <c r="CX53" s="80"/>
      <c r="CY53" s="80"/>
      <c r="CZ53" s="80"/>
    </row>
    <row r="54" spans="1:104" ht="12.75">
      <c r="A54" s="2">
        <f t="shared" si="18"/>
        <v>42</v>
      </c>
      <c r="B54" s="7">
        <v>44009.75</v>
      </c>
      <c r="C54" s="4" t="s">
        <v>144</v>
      </c>
      <c r="D54" s="30" t="str">
        <f>M8</f>
        <v>Wales</v>
      </c>
      <c r="E54" s="16" t="s">
        <v>21</v>
      </c>
      <c r="F54" s="45" t="str">
        <f>M18</f>
        <v>Finnland</v>
      </c>
      <c r="G54" s="18"/>
      <c r="H54" s="111">
        <f ca="1" t="shared" si="15"/>
        <v>5</v>
      </c>
      <c r="I54" s="12" t="s">
        <v>22</v>
      </c>
      <c r="J54" s="111">
        <f ca="1" t="shared" si="16"/>
        <v>4</v>
      </c>
      <c r="K54" s="8" t="s">
        <v>23</v>
      </c>
      <c r="L54" s="1"/>
      <c r="M54" s="60" t="str">
        <f t="shared" si="17"/>
        <v>Wales</v>
      </c>
      <c r="N54" s="1" t="str">
        <f>N8</f>
        <v>2A</v>
      </c>
      <c r="O54" s="1" t="str">
        <f>N18</f>
        <v>2B</v>
      </c>
      <c r="P54" s="1" t="s">
        <v>47</v>
      </c>
      <c r="Q54" s="1"/>
      <c r="V54" s="94"/>
      <c r="W54" s="94"/>
      <c r="Y54" s="3"/>
      <c r="Z54" s="94"/>
      <c r="AA54" s="94"/>
      <c r="AB54" s="107"/>
      <c r="AC54" s="80"/>
      <c r="AD54" s="80"/>
      <c r="AE54" s="97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X54" s="80"/>
      <c r="AY54" s="80"/>
      <c r="AZ54" s="80"/>
      <c r="BB54" s="61" t="s">
        <v>55</v>
      </c>
      <c r="BC54" s="24"/>
      <c r="BD54" s="15"/>
      <c r="BE54" s="15"/>
      <c r="BF54" s="15"/>
      <c r="BG54" s="18"/>
      <c r="BH54" s="22"/>
      <c r="BI54" s="21"/>
      <c r="BJ54" s="22"/>
      <c r="BK54" s="50"/>
      <c r="BL54" s="18"/>
      <c r="BM54" s="24"/>
      <c r="BN54" s="18"/>
      <c r="BO54" s="18"/>
      <c r="BP54" s="18"/>
      <c r="BQ54" s="1"/>
      <c r="BR54" s="1"/>
      <c r="BS54" s="94"/>
      <c r="BT54" s="94"/>
      <c r="BU54" s="94"/>
      <c r="BV54" s="94"/>
      <c r="BW54" s="94"/>
      <c r="BX54" s="94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6"/>
      <c r="CQ54" s="86"/>
      <c r="CR54" s="86"/>
      <c r="CS54" s="86"/>
      <c r="CT54" s="86"/>
      <c r="CU54" s="86"/>
      <c r="CV54" s="86"/>
      <c r="CW54" s="86"/>
      <c r="CX54" s="80"/>
      <c r="CY54" s="80"/>
      <c r="CZ54" s="80"/>
    </row>
    <row r="55" spans="1:104" ht="12.75">
      <c r="A55" s="2">
        <f t="shared" si="18"/>
        <v>43</v>
      </c>
      <c r="B55" s="7">
        <v>44012.75</v>
      </c>
      <c r="C55" s="4" t="s">
        <v>145</v>
      </c>
      <c r="D55" s="47" t="str">
        <f>BM7</f>
        <v>Kroatien</v>
      </c>
      <c r="E55" s="16" t="s">
        <v>21</v>
      </c>
      <c r="F55" s="49" t="str">
        <f>BM28</f>
        <v>Deutschland</v>
      </c>
      <c r="G55" s="18"/>
      <c r="H55" s="111">
        <f ca="1" t="shared" si="15"/>
        <v>5</v>
      </c>
      <c r="I55" s="12" t="s">
        <v>22</v>
      </c>
      <c r="J55" s="111">
        <f ca="1" t="shared" si="16"/>
        <v>4</v>
      </c>
      <c r="K55" s="8" t="s">
        <v>23</v>
      </c>
      <c r="L55" s="1"/>
      <c r="M55" s="62" t="str">
        <f t="shared" si="17"/>
        <v>Kroatien</v>
      </c>
      <c r="N55" s="1" t="str">
        <f>BN7</f>
        <v>1D</v>
      </c>
      <c r="O55" s="1" t="str">
        <f>BN28</f>
        <v>2F</v>
      </c>
      <c r="P55" s="1" t="s">
        <v>48</v>
      </c>
      <c r="Q55" s="1"/>
      <c r="V55" s="94"/>
      <c r="W55" s="94"/>
      <c r="Y55" s="3"/>
      <c r="Z55" s="94"/>
      <c r="AA55" s="94"/>
      <c r="AB55" s="107"/>
      <c r="AC55" s="80"/>
      <c r="AD55" s="80"/>
      <c r="AE55" s="97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X55" s="80"/>
      <c r="AY55" s="80"/>
      <c r="AZ55" s="80"/>
      <c r="BB55" s="3" t="s">
        <v>19</v>
      </c>
      <c r="BC55" s="3" t="s">
        <v>20</v>
      </c>
      <c r="BD55" s="15"/>
      <c r="BE55" s="15"/>
      <c r="BF55" s="15"/>
      <c r="BG55" s="18"/>
      <c r="BH55" s="22"/>
      <c r="BI55" s="12"/>
      <c r="BJ55" s="22"/>
      <c r="BK55" s="50"/>
      <c r="BL55" s="1"/>
      <c r="BM55" s="3"/>
      <c r="BN55" s="1"/>
      <c r="BO55" s="1"/>
      <c r="BP55" s="1"/>
      <c r="BQ55" s="1"/>
      <c r="BR55" s="1"/>
      <c r="BS55" s="94"/>
      <c r="BT55" s="94"/>
      <c r="BU55" s="94"/>
      <c r="BV55" s="94"/>
      <c r="BW55" s="94"/>
      <c r="BX55" s="94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6"/>
      <c r="CQ55" s="86"/>
      <c r="CR55" s="86"/>
      <c r="CS55" s="86"/>
      <c r="CT55" s="86"/>
      <c r="CU55" s="86"/>
      <c r="CV55" s="86"/>
      <c r="CW55" s="86"/>
      <c r="CX55" s="80"/>
      <c r="CY55" s="80"/>
      <c r="CZ55" s="80"/>
    </row>
    <row r="56" spans="1:104" ht="12.75">
      <c r="A56" s="2">
        <f t="shared" si="18"/>
        <v>44</v>
      </c>
      <c r="B56" s="7">
        <v>44012.875</v>
      </c>
      <c r="C56" s="4" t="s">
        <v>146</v>
      </c>
      <c r="D56" s="48" t="str">
        <f>BM17</f>
        <v>Polen</v>
      </c>
      <c r="E56" s="16" t="s">
        <v>21</v>
      </c>
      <c r="F56" s="42" t="str">
        <f>VLOOKUP(O56,$B$35:$C$38,2,TRUE)</f>
        <v>Weißrussland</v>
      </c>
      <c r="G56" s="18"/>
      <c r="H56" s="111">
        <f ca="1" t="shared" si="15"/>
        <v>2</v>
      </c>
      <c r="I56" s="12" t="s">
        <v>22</v>
      </c>
      <c r="J56" s="111">
        <f ca="1" t="shared" si="16"/>
        <v>3</v>
      </c>
      <c r="K56" s="8" t="s">
        <v>23</v>
      </c>
      <c r="L56" s="1"/>
      <c r="M56" s="62" t="str">
        <f t="shared" si="17"/>
        <v>Weißrussland</v>
      </c>
      <c r="N56" s="1" t="str">
        <f>BN17</f>
        <v>1E</v>
      </c>
      <c r="O56" s="1" t="str">
        <f>IF(AE56="",CONCATENATE("3",AB56),CONCATENATE("3",AE56))</f>
        <v>3C</v>
      </c>
      <c r="P56" s="1" t="s">
        <v>49</v>
      </c>
      <c r="Q56" s="1"/>
      <c r="V56" s="94"/>
      <c r="W56" s="94"/>
      <c r="Y56" s="3" t="s">
        <v>133</v>
      </c>
      <c r="Z56" s="94"/>
      <c r="AA56" s="94" t="s">
        <v>124</v>
      </c>
      <c r="AB56" s="107" t="str">
        <f>IF(COUNTIF($CM$33:$CM$41,C$31)&gt;0,$CM$32,IF(COUNTIF($CN$33:$CN$41,C$31)&gt;0,$CN$32,IF(COUNTIF($CO$33:$CO$41,C$31)&gt;0,$CO$32,IF(COUNTIF($CP$33:$CP$41,C$31)&gt;0,$CP$32,CONCATENATE("??? ",C$31)))))</f>
        <v>C</v>
      </c>
      <c r="AC56" s="80"/>
      <c r="AD56" s="80"/>
      <c r="AE56" s="97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X56" s="80"/>
      <c r="AY56" s="80"/>
      <c r="AZ56" s="80"/>
      <c r="BA56" s="2">
        <f>BA52+1</f>
        <v>49</v>
      </c>
      <c r="BB56" s="7">
        <v>44019.875</v>
      </c>
      <c r="BC56" s="4" t="s">
        <v>139</v>
      </c>
      <c r="BD56" s="20" t="str">
        <f>BM50</f>
        <v>Portugal</v>
      </c>
      <c r="BE56" s="16" t="s">
        <v>21</v>
      </c>
      <c r="BF56" s="73" t="str">
        <f>BM49</f>
        <v>Dänemark</v>
      </c>
      <c r="BG56" s="18"/>
      <c r="BH56" s="110">
        <f ca="1">IF($B$66="",1,IF(OR(BJ56&lt;1,INT(RAND()*10&lt;6)),BJ56+1,BJ56-1))</f>
        <v>3</v>
      </c>
      <c r="BI56" s="12" t="s">
        <v>22</v>
      </c>
      <c r="BJ56" s="110">
        <f ca="1">IF($B$66="",0,INT(RAND()*5)+INT(RAND()*3)*INT(RAND()*2))</f>
        <v>2</v>
      </c>
      <c r="BK56" s="8" t="s">
        <v>23</v>
      </c>
      <c r="BL56" s="1"/>
      <c r="BM56" s="74" t="str">
        <f>IF(BJ56="","",IF(BJ56=BH56,"falsch!!! K.Remis",IF(BH56&gt;BJ56,BD56,BF56)))</f>
        <v>Portugal</v>
      </c>
      <c r="BN56" s="1" t="str">
        <f>BP50</f>
        <v>VF2</v>
      </c>
      <c r="BO56" s="1" t="str">
        <f>BP49</f>
        <v>VF1</v>
      </c>
      <c r="BP56" s="1" t="s">
        <v>56</v>
      </c>
      <c r="BQ56" s="1"/>
      <c r="BR56" s="1"/>
      <c r="BS56" s="94"/>
      <c r="BT56" s="94"/>
      <c r="BU56" s="94"/>
      <c r="BV56" s="94"/>
      <c r="BW56" s="94"/>
      <c r="BX56" s="94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6"/>
      <c r="CQ56" s="86"/>
      <c r="CR56" s="86"/>
      <c r="CS56" s="86"/>
      <c r="CT56" s="86"/>
      <c r="CU56" s="86"/>
      <c r="CV56" s="86"/>
      <c r="CW56" s="86"/>
      <c r="CX56" s="80"/>
      <c r="CY56" s="80"/>
      <c r="CZ56" s="80"/>
    </row>
    <row r="57" spans="2:104" ht="12.75">
      <c r="B57" s="1"/>
      <c r="C57" s="3"/>
      <c r="D57" s="18"/>
      <c r="E57" s="15"/>
      <c r="F57" s="18"/>
      <c r="G57" s="18"/>
      <c r="H57" s="22"/>
      <c r="I57" s="12"/>
      <c r="J57" s="22"/>
      <c r="K57" s="50"/>
      <c r="L57" s="1"/>
      <c r="M57" s="3"/>
      <c r="N57" s="1"/>
      <c r="O57" s="1"/>
      <c r="P57" s="1"/>
      <c r="Q57" s="1"/>
      <c r="R57" s="1"/>
      <c r="S57" s="94"/>
      <c r="T57" s="94"/>
      <c r="U57" s="94"/>
      <c r="V57" s="94"/>
      <c r="W57" s="94"/>
      <c r="Y57" s="80"/>
      <c r="Z57" s="80"/>
      <c r="AA57" s="80"/>
      <c r="AB57" s="80"/>
      <c r="AC57" s="80"/>
      <c r="AD57" s="80"/>
      <c r="AE57" s="86" t="s">
        <v>125</v>
      </c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X57" s="80"/>
      <c r="AY57" s="80"/>
      <c r="AZ57" s="80"/>
      <c r="BA57" s="2">
        <f>BA56+1</f>
        <v>50</v>
      </c>
      <c r="BB57" s="7">
        <v>44020.875</v>
      </c>
      <c r="BC57" s="114" t="s">
        <v>139</v>
      </c>
      <c r="BD57" s="64" t="str">
        <f>BM52</f>
        <v>Kroatien</v>
      </c>
      <c r="BE57" s="16" t="s">
        <v>21</v>
      </c>
      <c r="BF57" s="63" t="str">
        <f>BM51</f>
        <v>Ukraine</v>
      </c>
      <c r="BG57" s="18"/>
      <c r="BH57" s="110">
        <f ca="1">IF($B$66="",1,IF(OR(BJ57&lt;1,INT(RAND()*10&lt;6)),BJ57+1,BJ57-1))</f>
        <v>3</v>
      </c>
      <c r="BI57" s="12" t="s">
        <v>22</v>
      </c>
      <c r="BJ57" s="110">
        <f ca="1">IF($B$66="",0,INT(RAND()*5)+INT(RAND()*3)*INT(RAND()*2))</f>
        <v>2</v>
      </c>
      <c r="BK57" s="8" t="s">
        <v>23</v>
      </c>
      <c r="BL57" s="1"/>
      <c r="BM57" s="74" t="str">
        <f>IF(BJ57="","",IF(BJ57=BH57,"falsch!!! K.Remis",IF(BH57&gt;BJ57,BD57,BF57)))</f>
        <v>Kroatien</v>
      </c>
      <c r="BN57" s="1" t="str">
        <f>BP52</f>
        <v>VF4</v>
      </c>
      <c r="BO57" s="1" t="str">
        <f>BP51</f>
        <v>VF3</v>
      </c>
      <c r="BP57" s="1" t="s">
        <v>57</v>
      </c>
      <c r="BQ57" s="1"/>
      <c r="BR57" s="1"/>
      <c r="BS57" s="94"/>
      <c r="BT57" s="94"/>
      <c r="BU57" s="94"/>
      <c r="BV57" s="94"/>
      <c r="BW57" s="94"/>
      <c r="BX57" s="94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6"/>
      <c r="CQ57" s="86"/>
      <c r="CR57" s="86"/>
      <c r="CS57" s="86"/>
      <c r="CT57" s="86"/>
      <c r="CU57" s="86"/>
      <c r="CV57" s="86"/>
      <c r="CW57" s="86"/>
      <c r="CX57" s="80"/>
      <c r="CY57" s="80"/>
      <c r="CZ57" s="80"/>
    </row>
    <row r="58" spans="8:104" ht="12.75">
      <c r="H58" s="2"/>
      <c r="I58" s="2"/>
      <c r="J58" s="2"/>
      <c r="K58" s="2"/>
      <c r="M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B58" s="1"/>
      <c r="BC58" s="3"/>
      <c r="BD58" s="15"/>
      <c r="BE58" s="15"/>
      <c r="BF58" s="15"/>
      <c r="BG58" s="18"/>
      <c r="BH58" s="22"/>
      <c r="BI58" s="12"/>
      <c r="BJ58" s="22"/>
      <c r="BK58" s="50"/>
      <c r="BL58" s="1"/>
      <c r="BM58" s="65" t="str">
        <f>IF(BD56=BM56,BF56,BD56)</f>
        <v>Dänemark</v>
      </c>
      <c r="BN58" s="1"/>
      <c r="BO58" s="1"/>
      <c r="BP58" s="1" t="s">
        <v>58</v>
      </c>
      <c r="BQ58" s="1"/>
      <c r="BR58" s="1"/>
      <c r="BS58" s="94"/>
      <c r="BT58" s="94"/>
      <c r="BU58" s="94"/>
      <c r="BV58" s="94"/>
      <c r="BW58" s="94"/>
      <c r="BX58" s="94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6"/>
      <c r="CQ58" s="86"/>
      <c r="CR58" s="86"/>
      <c r="CS58" s="86"/>
      <c r="CT58" s="86"/>
      <c r="CU58" s="86"/>
      <c r="CV58" s="86"/>
      <c r="CW58" s="86"/>
      <c r="CX58" s="80"/>
      <c r="CY58" s="80"/>
      <c r="CZ58" s="80"/>
    </row>
    <row r="59" spans="2:104" ht="12.75">
      <c r="B59" s="66" t="s">
        <v>61</v>
      </c>
      <c r="C59" s="3"/>
      <c r="D59" s="11"/>
      <c r="E59" s="17"/>
      <c r="F59" s="11"/>
      <c r="G59" s="11"/>
      <c r="H59" s="26"/>
      <c r="J59" s="26"/>
      <c r="K59" s="50"/>
      <c r="M59" s="2"/>
      <c r="P59" s="1"/>
      <c r="AE59" s="95"/>
      <c r="AF59" s="100"/>
      <c r="BB59" s="66" t="s">
        <v>59</v>
      </c>
      <c r="BC59" s="3"/>
      <c r="BD59" s="11"/>
      <c r="BE59" s="17"/>
      <c r="BF59" s="11"/>
      <c r="BG59" s="11"/>
      <c r="BH59" s="26"/>
      <c r="BJ59" s="26"/>
      <c r="BK59" s="50"/>
      <c r="BM59" s="65" t="str">
        <f>IF(BD57=BM57,BF57,BD57)</f>
        <v>Ukraine</v>
      </c>
      <c r="BP59" s="1" t="s">
        <v>60</v>
      </c>
      <c r="BS59" s="86"/>
      <c r="BT59" s="86"/>
      <c r="BU59" s="86"/>
      <c r="BV59" s="86"/>
      <c r="BW59" s="86"/>
      <c r="BX59" s="86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6"/>
      <c r="CQ59" s="86"/>
      <c r="CR59" s="86"/>
      <c r="CS59" s="86"/>
      <c r="CT59" s="86"/>
      <c r="CU59" s="86"/>
      <c r="CV59" s="86"/>
      <c r="CW59" s="86"/>
      <c r="CX59" s="80"/>
      <c r="CY59" s="80"/>
      <c r="CZ59" s="80"/>
    </row>
    <row r="60" spans="2:104" ht="12.75">
      <c r="B60" s="3" t="s">
        <v>19</v>
      </c>
      <c r="C60" s="3" t="s">
        <v>20</v>
      </c>
      <c r="D60" s="11"/>
      <c r="E60" s="17"/>
      <c r="F60" s="11"/>
      <c r="G60" s="11"/>
      <c r="H60" s="69"/>
      <c r="J60" s="69"/>
      <c r="K60" s="50"/>
      <c r="M60" s="2" t="s">
        <v>165</v>
      </c>
      <c r="P60" s="1"/>
      <c r="Q60" s="1"/>
      <c r="R60" s="1"/>
      <c r="S60" s="94"/>
      <c r="T60" s="94"/>
      <c r="U60" s="94"/>
      <c r="V60" s="94"/>
      <c r="W60" s="94"/>
      <c r="AE60" s="94"/>
      <c r="AF60" s="99"/>
      <c r="AG60" s="94"/>
      <c r="AH60" s="94"/>
      <c r="AO60" s="94"/>
      <c r="BB60" s="3" t="s">
        <v>19</v>
      </c>
      <c r="BC60" s="3" t="s">
        <v>20</v>
      </c>
      <c r="BD60" s="11"/>
      <c r="BE60" s="17"/>
      <c r="BF60" s="11"/>
      <c r="BG60" s="11"/>
      <c r="BH60" s="26"/>
      <c r="BJ60" s="69"/>
      <c r="BK60" s="50"/>
      <c r="BM60" s="2"/>
      <c r="BP60" s="1"/>
      <c r="BQ60" s="1"/>
      <c r="BR60" s="1"/>
      <c r="BS60" s="94"/>
      <c r="BT60" s="94"/>
      <c r="BU60" s="94"/>
      <c r="BV60" s="94"/>
      <c r="BW60" s="94"/>
      <c r="BX60" s="86"/>
      <c r="BZ60" s="86"/>
      <c r="CA60" s="86"/>
      <c r="CB60" s="86"/>
      <c r="CC60" s="86"/>
      <c r="CD60" s="86"/>
      <c r="CE60" s="94"/>
      <c r="CF60" s="99"/>
      <c r="CG60" s="94"/>
      <c r="CH60" s="94"/>
      <c r="CI60" s="86"/>
      <c r="CJ60" s="86"/>
      <c r="CK60" s="86"/>
      <c r="CL60" s="86"/>
      <c r="CM60" s="86"/>
      <c r="CN60" s="86"/>
      <c r="CO60" s="94"/>
      <c r="CP60" s="86"/>
      <c r="CQ60" s="86"/>
      <c r="CR60" s="86"/>
      <c r="CS60" s="86"/>
      <c r="CT60" s="86"/>
      <c r="CU60" s="86"/>
      <c r="CV60" s="86"/>
      <c r="CW60" s="86"/>
      <c r="CX60" s="80"/>
      <c r="CY60" s="80"/>
      <c r="CZ60" s="80"/>
    </row>
    <row r="61" spans="1:104" ht="12.75">
      <c r="A61" s="2">
        <f>BA61+1</f>
        <v>52</v>
      </c>
      <c r="B61" s="7">
        <v>44024.875</v>
      </c>
      <c r="C61" s="114" t="s">
        <v>139</v>
      </c>
      <c r="D61" s="40" t="str">
        <f>BM56</f>
        <v>Portugal</v>
      </c>
      <c r="E61" s="24" t="s">
        <v>21</v>
      </c>
      <c r="F61" s="40" t="str">
        <f>BM57</f>
        <v>Kroatien</v>
      </c>
      <c r="G61" s="18"/>
      <c r="H61" s="110">
        <f ca="1">IF($B$66="",1,IF(OR(J61&lt;1,INT(RAND()*10&lt;6)),J61+1,J61-1))</f>
        <v>1</v>
      </c>
      <c r="I61" s="12" t="s">
        <v>22</v>
      </c>
      <c r="J61" s="110">
        <f ca="1">IF($B$66="",0,INT(RAND()*5)+INT(RAND()*3)*INT(RAND()*2))</f>
        <v>0</v>
      </c>
      <c r="K61" s="8" t="s">
        <v>23</v>
      </c>
      <c r="L61" s="1"/>
      <c r="M61" s="67" t="str">
        <f>IF(J61="","",IF(J61=H61,"falsch!!! K.Remis",IF(H61&gt;J61,D61,F61)))</f>
        <v>Portugal</v>
      </c>
      <c r="N61" s="1" t="str">
        <f>BP56</f>
        <v>F1</v>
      </c>
      <c r="O61" s="1" t="str">
        <f>BP57</f>
        <v>F2</v>
      </c>
      <c r="Q61" s="1"/>
      <c r="R61" s="1"/>
      <c r="S61" s="94"/>
      <c r="T61" s="94"/>
      <c r="U61" s="94"/>
      <c r="V61" s="94"/>
      <c r="W61" s="94"/>
      <c r="AE61" s="94"/>
      <c r="AF61" s="99"/>
      <c r="AG61" s="94"/>
      <c r="AH61" s="94"/>
      <c r="AO61" s="94"/>
      <c r="BA61" s="2">
        <f>BA57+1</f>
        <v>51</v>
      </c>
      <c r="BB61" s="7">
        <v>44023.875</v>
      </c>
      <c r="BC61" s="114" t="s">
        <v>147</v>
      </c>
      <c r="BD61" s="25" t="str">
        <f>BM58</f>
        <v>Dänemark</v>
      </c>
      <c r="BE61" s="24" t="s">
        <v>21</v>
      </c>
      <c r="BF61" s="25" t="str">
        <f>BM59</f>
        <v>Ukraine</v>
      </c>
      <c r="BG61" s="18"/>
      <c r="BH61" s="110">
        <f ca="1">IF($B$66="",1,IF(OR(BJ61&lt;1,INT(RAND()*10&lt;6)),BJ61+1,BJ61-1))</f>
        <v>1</v>
      </c>
      <c r="BI61" s="12" t="s">
        <v>22</v>
      </c>
      <c r="BJ61" s="110">
        <f ca="1">IF($B$66="",0,INT(RAND()*5)+INT(RAND()*3)*INT(RAND()*2))</f>
        <v>0</v>
      </c>
      <c r="BK61" s="8" t="s">
        <v>23</v>
      </c>
      <c r="BL61" s="1"/>
      <c r="BM61" s="3" t="str">
        <f>IF(BJ61="","",IF(BJ61=BH61,"falsch!!! K.Remis",IF(BH61&gt;BJ61,BD61,BF61)))</f>
        <v>Dänemark</v>
      </c>
      <c r="BN61" s="1" t="str">
        <f>BP58</f>
        <v>HF1</v>
      </c>
      <c r="BO61" s="1" t="str">
        <f>BP59</f>
        <v>HF2</v>
      </c>
      <c r="BQ61" s="1"/>
      <c r="BR61" s="1"/>
      <c r="BS61" s="94"/>
      <c r="BT61" s="94"/>
      <c r="BU61" s="94"/>
      <c r="BV61" s="94"/>
      <c r="BW61" s="94"/>
      <c r="BX61" s="86"/>
      <c r="BZ61" s="86"/>
      <c r="CA61" s="86"/>
      <c r="CB61" s="86"/>
      <c r="CC61" s="86"/>
      <c r="CD61" s="86"/>
      <c r="CE61" s="94"/>
      <c r="CF61" s="99"/>
      <c r="CG61" s="94"/>
      <c r="CH61" s="94"/>
      <c r="CI61" s="86"/>
      <c r="CJ61" s="86"/>
      <c r="CK61" s="86"/>
      <c r="CL61" s="86"/>
      <c r="CM61" s="86"/>
      <c r="CN61" s="86"/>
      <c r="CO61" s="94"/>
      <c r="CP61" s="86"/>
      <c r="CQ61" s="86"/>
      <c r="CR61" s="86"/>
      <c r="CS61" s="86"/>
      <c r="CT61" s="86"/>
      <c r="CU61" s="86"/>
      <c r="CV61" s="86"/>
      <c r="CW61" s="86"/>
      <c r="CX61" s="80"/>
      <c r="CY61" s="80"/>
      <c r="CZ61" s="80"/>
    </row>
    <row r="62" spans="8:104" ht="12.75">
      <c r="H62" s="2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D62" s="11"/>
      <c r="BE62" s="17"/>
      <c r="BF62" s="11"/>
      <c r="BG62" s="11"/>
      <c r="BH62" s="26"/>
      <c r="BJ62" s="26"/>
      <c r="BK62" s="50"/>
      <c r="BM62" s="2"/>
      <c r="BQ62" s="1"/>
      <c r="BR62" s="1"/>
      <c r="BS62" s="94"/>
      <c r="BT62" s="94"/>
      <c r="BU62" s="94"/>
      <c r="BV62" s="94"/>
      <c r="BW62" s="94"/>
      <c r="BX62" s="86"/>
      <c r="BZ62" s="86"/>
      <c r="CA62" s="86"/>
      <c r="CB62" s="86"/>
      <c r="CC62" s="86"/>
      <c r="CD62" s="86"/>
      <c r="CE62" s="94"/>
      <c r="CF62" s="99"/>
      <c r="CG62" s="94"/>
      <c r="CH62" s="94"/>
      <c r="CI62" s="86"/>
      <c r="CJ62" s="86"/>
      <c r="CK62" s="86"/>
      <c r="CL62" s="86"/>
      <c r="CM62" s="86"/>
      <c r="CN62" s="86"/>
      <c r="CO62" s="94"/>
      <c r="CP62" s="86"/>
      <c r="CQ62" s="86"/>
      <c r="CR62" s="86"/>
      <c r="CS62" s="86"/>
      <c r="CT62" s="86"/>
      <c r="CU62" s="86"/>
      <c r="CV62" s="86"/>
      <c r="CW62" s="86"/>
      <c r="CX62" s="80"/>
      <c r="CY62" s="80"/>
      <c r="CZ62" s="80"/>
    </row>
    <row r="63" spans="8:93" ht="12.75">
      <c r="H63" s="2"/>
      <c r="I63" s="2"/>
      <c r="J63" s="2"/>
      <c r="K63" s="2"/>
      <c r="M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 s="80"/>
      <c r="CH63" s="80"/>
      <c r="CI63" s="80"/>
      <c r="CJ63" s="80"/>
      <c r="CK63" s="80"/>
      <c r="CL63" s="80"/>
      <c r="CM63" s="80"/>
      <c r="CN63" s="80"/>
      <c r="CO63" s="80"/>
    </row>
    <row r="64" spans="8:93" ht="13.5" thickBot="1">
      <c r="H64" s="2"/>
      <c r="I64" s="2"/>
      <c r="J64" s="2"/>
      <c r="K64" s="2"/>
      <c r="M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2:82" ht="14.25" thickBot="1" thickTop="1">
      <c r="B65" s="76" t="s">
        <v>23</v>
      </c>
      <c r="C65" s="1" t="s">
        <v>63</v>
      </c>
      <c r="D65" s="3"/>
      <c r="E65" s="3"/>
      <c r="F65" s="3"/>
      <c r="G65" s="75"/>
      <c r="H65" s="79"/>
      <c r="AD65" s="95"/>
      <c r="BB65"/>
      <c r="BC65"/>
      <c r="BD65"/>
      <c r="BE65"/>
      <c r="BF65"/>
      <c r="BG65"/>
      <c r="BH65"/>
      <c r="BI65"/>
      <c r="BJ65"/>
      <c r="BK65"/>
      <c r="CD65" s="3"/>
    </row>
    <row r="66" spans="2:83" ht="14.25" thickBot="1" thickTop="1">
      <c r="B66" s="115" t="s">
        <v>70</v>
      </c>
      <c r="C66" s="2" t="s">
        <v>71</v>
      </c>
      <c r="E66" s="3"/>
      <c r="F66" s="3"/>
      <c r="AD66" s="95"/>
      <c r="AE66" s="86"/>
      <c r="BB66"/>
      <c r="BC66"/>
      <c r="BD66"/>
      <c r="BE66"/>
      <c r="BF66"/>
      <c r="BG66"/>
      <c r="BH66"/>
      <c r="BI66"/>
      <c r="BJ66"/>
      <c r="BK66"/>
      <c r="CD66" s="3"/>
      <c r="CE66" s="2"/>
    </row>
    <row r="67" spans="2:83" ht="14.25" thickBot="1" thickTop="1">
      <c r="B67" s="76">
        <f ca="1">IF($B$66="",1,INT(RAND()*5)+INT(RAND()*3)*INT(RAND()*2))</f>
        <v>3</v>
      </c>
      <c r="C67" s="2" t="s">
        <v>62</v>
      </c>
      <c r="E67" s="3"/>
      <c r="F67" s="3"/>
      <c r="AD67" s="95"/>
      <c r="AE67" s="86"/>
      <c r="BB67"/>
      <c r="BC67"/>
      <c r="BD67"/>
      <c r="BE67"/>
      <c r="BF67"/>
      <c r="BG67"/>
      <c r="BH67"/>
      <c r="BI67"/>
      <c r="BJ67"/>
      <c r="BK67"/>
      <c r="CD67" s="3"/>
      <c r="CE67" s="2"/>
    </row>
    <row r="68" ht="13.5" thickTop="1"/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 s="83"/>
      <c r="D74" s="80"/>
      <c r="E74" s="80"/>
      <c r="F74" s="80"/>
      <c r="G74" s="80"/>
      <c r="H74" s="80"/>
      <c r="I74" s="83"/>
      <c r="J74" s="83"/>
      <c r="K74" s="80"/>
      <c r="L74" s="80"/>
      <c r="M74" s="83"/>
      <c r="N74" s="83"/>
      <c r="O74" s="80"/>
      <c r="P74" s="80"/>
      <c r="Q74" s="83"/>
    </row>
    <row r="75" spans="1:17" ht="12.75">
      <c r="A75"/>
      <c r="B75"/>
      <c r="C75" s="80"/>
      <c r="D75" s="80"/>
      <c r="E75" s="80"/>
      <c r="F75" s="80"/>
      <c r="G75" s="80"/>
      <c r="H75" s="80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2.75">
      <c r="A77"/>
      <c r="B77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2.75">
      <c r="A78"/>
      <c r="B78"/>
      <c r="C78" s="83"/>
      <c r="D78" s="80"/>
      <c r="E78" s="80"/>
      <c r="F78" s="80"/>
      <c r="G78" s="80"/>
      <c r="H78" s="80"/>
      <c r="I78" s="83"/>
      <c r="J78" s="83"/>
      <c r="K78" s="80"/>
      <c r="L78" s="80"/>
      <c r="M78" s="83"/>
      <c r="N78" s="83"/>
      <c r="O78" s="80"/>
      <c r="P78" s="80"/>
      <c r="Q78" s="83"/>
    </row>
    <row r="79" spans="1:17" ht="12.75">
      <c r="A79"/>
      <c r="B79"/>
      <c r="C79" s="80"/>
      <c r="D79" s="80"/>
      <c r="E79" s="80"/>
      <c r="F79" s="80"/>
      <c r="G79" s="80"/>
      <c r="H79" s="80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1:17" ht="12.75">
      <c r="A81"/>
      <c r="B8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3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.75">
      <c r="A87"/>
      <c r="B87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.75">
      <c r="A88"/>
      <c r="B8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84"/>
      <c r="AJ88"/>
      <c r="AK88"/>
      <c r="AL88"/>
    </row>
    <row r="89" spans="1:38" ht="12.75">
      <c r="A89"/>
      <c r="B8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 s="84"/>
      <c r="AJ89"/>
      <c r="AK89"/>
      <c r="AL89"/>
    </row>
    <row r="90" spans="1:38" ht="12.75">
      <c r="A90"/>
      <c r="B9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/>
      <c r="S90"/>
      <c r="T90"/>
      <c r="U90"/>
      <c r="V90"/>
      <c r="W90"/>
      <c r="X90"/>
      <c r="Y90"/>
      <c r="Z90"/>
      <c r="AA90" s="84"/>
      <c r="AB90"/>
      <c r="AC90"/>
      <c r="AD90"/>
      <c r="AE90" s="84"/>
      <c r="AF90"/>
      <c r="AG90" s="84"/>
      <c r="AH90"/>
      <c r="AI90"/>
      <c r="AJ90" s="84"/>
      <c r="AK90"/>
      <c r="AL90"/>
    </row>
    <row r="91" spans="1:38" ht="12.75">
      <c r="A91"/>
      <c r="B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/>
      <c r="S91"/>
      <c r="T91"/>
      <c r="U91"/>
      <c r="V91"/>
      <c r="W91"/>
      <c r="X91"/>
      <c r="Y91"/>
      <c r="Z91"/>
      <c r="AA91" s="84"/>
      <c r="AB91" s="84"/>
      <c r="AC91" s="84"/>
      <c r="AD91"/>
      <c r="AE91" s="84"/>
      <c r="AF91"/>
      <c r="AG91" s="84"/>
      <c r="AH91"/>
      <c r="AI91" s="84"/>
      <c r="AJ91" s="84"/>
      <c r="AK91"/>
      <c r="AL91"/>
    </row>
    <row r="92" spans="1:38" ht="12.75">
      <c r="A92"/>
      <c r="B92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/>
      <c r="S92"/>
      <c r="T92"/>
      <c r="U92"/>
      <c r="V92"/>
      <c r="W92"/>
      <c r="X92"/>
      <c r="Y92"/>
      <c r="Z92"/>
      <c r="AA92" s="84"/>
      <c r="AB92" s="84"/>
      <c r="AC92" s="84"/>
      <c r="AD92"/>
      <c r="AE92"/>
      <c r="AF92"/>
      <c r="AG92" s="84"/>
      <c r="AH92"/>
      <c r="AI92" s="84"/>
      <c r="AJ92" s="84"/>
      <c r="AK92"/>
      <c r="AL92"/>
    </row>
    <row r="93" spans="1:38" ht="12.75">
      <c r="A93"/>
      <c r="B93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/>
      <c r="S93"/>
      <c r="T93"/>
      <c r="U93"/>
      <c r="V93"/>
      <c r="W93"/>
      <c r="X93"/>
      <c r="Y93"/>
      <c r="Z93"/>
      <c r="AA93" s="84"/>
      <c r="AB93" s="84"/>
      <c r="AC93" s="84"/>
      <c r="AD93"/>
      <c r="AE93"/>
      <c r="AF93"/>
      <c r="AG93" s="84"/>
      <c r="AH93"/>
      <c r="AI93" s="84"/>
      <c r="AJ93"/>
      <c r="AK93"/>
      <c r="AL93"/>
    </row>
    <row r="94" spans="1:38" ht="12.75">
      <c r="A94"/>
      <c r="B94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/>
      <c r="S94"/>
      <c r="T94"/>
      <c r="U94"/>
      <c r="V94"/>
      <c r="W94"/>
      <c r="X94"/>
      <c r="Y94"/>
      <c r="Z94"/>
      <c r="AA94" s="84"/>
      <c r="AB94"/>
      <c r="AC94"/>
      <c r="AD94"/>
      <c r="AE94"/>
      <c r="AF94"/>
      <c r="AG94"/>
      <c r="AH94"/>
      <c r="AI94" s="84"/>
      <c r="AJ94"/>
      <c r="AK94"/>
      <c r="AL94"/>
    </row>
    <row r="95" spans="1:3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84"/>
      <c r="AB95"/>
      <c r="AC95"/>
      <c r="AD95"/>
      <c r="AE95"/>
      <c r="AF95"/>
      <c r="AG95"/>
      <c r="AH95"/>
      <c r="AI95"/>
      <c r="AJ95"/>
      <c r="AK95"/>
      <c r="AL95"/>
    </row>
    <row r="96" spans="1:3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84"/>
      <c r="AB96"/>
      <c r="AC96"/>
      <c r="AD96"/>
      <c r="AE96"/>
      <c r="AF96"/>
      <c r="AG96"/>
      <c r="AH96"/>
      <c r="AI96"/>
      <c r="AJ96"/>
      <c r="AK96"/>
      <c r="AL96"/>
    </row>
    <row r="97" spans="1:3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84"/>
      <c r="AB97"/>
      <c r="AC97"/>
      <c r="AD97"/>
      <c r="AE97"/>
      <c r="AF97"/>
      <c r="AG97"/>
      <c r="AH97"/>
      <c r="AI97"/>
      <c r="AJ97"/>
      <c r="AK97"/>
      <c r="AL97"/>
    </row>
    <row r="98" spans="1:3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84"/>
      <c r="AB98"/>
      <c r="AC98"/>
      <c r="AD98"/>
      <c r="AE98"/>
      <c r="AF98"/>
      <c r="AG98"/>
      <c r="AH98"/>
      <c r="AI98"/>
      <c r="AJ98"/>
      <c r="AK98"/>
      <c r="AL98"/>
    </row>
    <row r="99" spans="1:3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84"/>
      <c r="AB99"/>
      <c r="AC99"/>
      <c r="AD99"/>
      <c r="AE99"/>
      <c r="AF99"/>
      <c r="AG99"/>
      <c r="AH99"/>
      <c r="AI99"/>
      <c r="AJ99"/>
      <c r="AK99"/>
      <c r="AL99"/>
    </row>
    <row r="100" spans="1:3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115"/>
  <sheetViews>
    <sheetView zoomScalePageLayoutView="0" workbookViewId="0" topLeftCell="A1">
      <selection activeCell="C49" sqref="C49:C56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4" customWidth="1"/>
    <col min="9" max="9" width="1.57421875" style="14" customWidth="1"/>
    <col min="10" max="10" width="3.57421875" style="14" customWidth="1"/>
    <col min="11" max="11" width="3.00390625" style="8" customWidth="1"/>
    <col min="12" max="12" width="2.00390625" style="2" customWidth="1"/>
    <col min="13" max="13" width="14.28125" style="10" customWidth="1"/>
    <col min="14" max="17" width="4.28125" style="2" customWidth="1"/>
    <col min="18" max="18" width="3.8515625" style="2" customWidth="1"/>
    <col min="19" max="22" width="2.00390625" style="86" hidden="1" customWidth="1"/>
    <col min="23" max="23" width="1.7109375" style="86" hidden="1" customWidth="1"/>
    <col min="24" max="24" width="3.00390625" style="86" hidden="1" customWidth="1"/>
    <col min="25" max="25" width="14.28125" style="86" hidden="1" customWidth="1"/>
    <col min="26" max="26" width="2.28125" style="86" hidden="1" customWidth="1"/>
    <col min="27" max="27" width="3.28125" style="86" hidden="1" customWidth="1"/>
    <col min="28" max="28" width="3.00390625" style="86" hidden="1" customWidth="1"/>
    <col min="29" max="29" width="4.421875" style="86" hidden="1" customWidth="1"/>
    <col min="30" max="30" width="19.28125" style="86" hidden="1" customWidth="1"/>
    <col min="31" max="31" width="3.140625" style="100" hidden="1" customWidth="1"/>
    <col min="32" max="32" width="3.57421875" style="86" hidden="1" customWidth="1"/>
    <col min="33" max="36" width="2.8515625" style="86" hidden="1" customWidth="1"/>
    <col min="37" max="37" width="3.140625" style="86" hidden="1" customWidth="1"/>
    <col min="38" max="38" width="6.421875" style="86" hidden="1" customWidth="1"/>
    <col min="39" max="42" width="2.8515625" style="86" hidden="1" customWidth="1"/>
    <col min="43" max="43" width="7.7109375" style="86" hidden="1" customWidth="1"/>
    <col min="44" max="47" width="3.00390625" style="86" hidden="1" customWidth="1"/>
    <col min="48" max="48" width="3.140625" style="86" hidden="1" customWidth="1"/>
    <col min="49" max="52" width="11.421875" style="86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4" customWidth="1"/>
    <col min="61" max="61" width="1.57421875" style="14" customWidth="1"/>
    <col min="62" max="62" width="3.57421875" style="14" customWidth="1"/>
    <col min="63" max="63" width="3.00390625" style="8" customWidth="1"/>
    <col min="64" max="64" width="2.00390625" style="2" customWidth="1"/>
    <col min="65" max="65" width="14.28125" style="10" customWidth="1"/>
    <col min="66" max="69" width="4.28125" style="2" customWidth="1"/>
    <col min="70" max="70" width="3.8515625" style="2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86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5.00390625" style="9" hidden="1" customWidth="1"/>
    <col min="84" max="100" width="5.00390625" style="2" hidden="1" customWidth="1"/>
    <col min="101" max="104" width="11.421875" style="2" hidden="1" customWidth="1"/>
    <col min="105" max="16384" width="11.421875" style="2" customWidth="1"/>
  </cols>
  <sheetData>
    <row r="1" spans="1:100" s="11" customFormat="1" ht="14.25" thickBot="1" thickTop="1">
      <c r="A1" s="11" t="s">
        <v>69</v>
      </c>
      <c r="B1" s="33" t="s">
        <v>0</v>
      </c>
      <c r="C1" s="30" t="s">
        <v>1</v>
      </c>
      <c r="D1" s="18" t="s">
        <v>2</v>
      </c>
      <c r="E1" s="15"/>
      <c r="F1" s="18"/>
      <c r="G1" s="77"/>
      <c r="H1" s="78"/>
      <c r="I1" s="21"/>
      <c r="J1" s="22"/>
      <c r="K1" s="23"/>
      <c r="L1" s="18"/>
      <c r="M1" s="43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/>
      <c r="S1" s="86"/>
      <c r="T1" s="86"/>
      <c r="U1" s="86"/>
      <c r="V1" s="86"/>
      <c r="W1" s="87"/>
      <c r="X1" s="87" t="s">
        <v>8</v>
      </c>
      <c r="Y1" s="88" t="s">
        <v>9</v>
      </c>
      <c r="Z1" s="87" t="s">
        <v>4</v>
      </c>
      <c r="AA1" s="87" t="s">
        <v>5</v>
      </c>
      <c r="AB1" s="87" t="s">
        <v>6</v>
      </c>
      <c r="AC1" s="87" t="s">
        <v>7</v>
      </c>
      <c r="AD1" s="87"/>
      <c r="AE1" s="21" t="s">
        <v>10</v>
      </c>
      <c r="AF1" s="52" t="s">
        <v>11</v>
      </c>
      <c r="AG1" s="52"/>
      <c r="AH1" s="52"/>
      <c r="AI1" s="52"/>
      <c r="AJ1" s="52" t="s">
        <v>12</v>
      </c>
      <c r="AK1" s="88" t="s">
        <v>13</v>
      </c>
      <c r="AL1" s="52" t="s">
        <v>14</v>
      </c>
      <c r="AM1" s="52"/>
      <c r="AN1" s="52"/>
      <c r="AO1" s="52"/>
      <c r="AP1" s="52" t="s">
        <v>15</v>
      </c>
      <c r="AQ1" s="52" t="s">
        <v>16</v>
      </c>
      <c r="AR1" s="52"/>
      <c r="AS1" s="52"/>
      <c r="AT1" s="52"/>
      <c r="AU1" s="89" t="s">
        <v>17</v>
      </c>
      <c r="AV1" s="88" t="s">
        <v>18</v>
      </c>
      <c r="AW1" s="90"/>
      <c r="AX1" s="91"/>
      <c r="AY1" s="91"/>
      <c r="AZ1" s="91"/>
      <c r="BB1" s="32" t="s">
        <v>0</v>
      </c>
      <c r="BC1" s="47" t="s">
        <v>32</v>
      </c>
      <c r="BD1" s="18" t="s">
        <v>2</v>
      </c>
      <c r="BE1" s="15"/>
      <c r="BF1" s="18"/>
      <c r="BG1" s="77"/>
      <c r="BH1" s="78"/>
      <c r="BI1" s="21"/>
      <c r="BJ1" s="22"/>
      <c r="BK1" s="23"/>
      <c r="BL1" s="18"/>
      <c r="BM1" s="43" t="s">
        <v>3</v>
      </c>
      <c r="BN1" s="18" t="s">
        <v>4</v>
      </c>
      <c r="BO1" s="18" t="s">
        <v>5</v>
      </c>
      <c r="BP1" s="18" t="s">
        <v>6</v>
      </c>
      <c r="BQ1" s="18" t="s">
        <v>7</v>
      </c>
      <c r="BR1" s="18"/>
      <c r="BS1" s="2"/>
      <c r="BT1" s="2"/>
      <c r="BU1" s="2"/>
      <c r="BV1" s="2"/>
      <c r="BW1" s="18"/>
      <c r="BX1" s="18" t="s">
        <v>8</v>
      </c>
      <c r="BY1" s="88" t="s">
        <v>9</v>
      </c>
      <c r="BZ1" s="18" t="s">
        <v>4</v>
      </c>
      <c r="CA1" s="18" t="s">
        <v>5</v>
      </c>
      <c r="CB1" s="18" t="s">
        <v>6</v>
      </c>
      <c r="CC1" s="18" t="s">
        <v>7</v>
      </c>
      <c r="CD1" s="18"/>
      <c r="CE1" s="23" t="s">
        <v>10</v>
      </c>
      <c r="CF1" s="16" t="s">
        <v>11</v>
      </c>
      <c r="CG1" s="16"/>
      <c r="CH1" s="16"/>
      <c r="CI1" s="16"/>
      <c r="CJ1" s="16" t="s">
        <v>12</v>
      </c>
      <c r="CK1" s="24" t="s">
        <v>13</v>
      </c>
      <c r="CL1" s="16" t="s">
        <v>14</v>
      </c>
      <c r="CM1" s="16"/>
      <c r="CN1" s="16"/>
      <c r="CO1" s="16"/>
      <c r="CP1" s="16" t="s">
        <v>15</v>
      </c>
      <c r="CQ1" s="16" t="s">
        <v>16</v>
      </c>
      <c r="CR1" s="16"/>
      <c r="CS1" s="16"/>
      <c r="CT1" s="16"/>
      <c r="CU1" s="17" t="s">
        <v>17</v>
      </c>
      <c r="CV1" s="24" t="s">
        <v>18</v>
      </c>
    </row>
    <row r="2" spans="2:100" ht="13.5" thickTop="1">
      <c r="B2" s="3" t="s">
        <v>19</v>
      </c>
      <c r="C2" s="3" t="s">
        <v>20</v>
      </c>
      <c r="L2" s="1"/>
      <c r="M2" s="10" t="str">
        <f>VLOOKUP(1,$X$2:$AC$5,2,FALSE)</f>
        <v>Wales</v>
      </c>
      <c r="N2" s="2">
        <f>VLOOKUP(1,$X$2:$AC$5,3,FALSE)</f>
        <v>9</v>
      </c>
      <c r="O2" s="2">
        <f>VLOOKUP(1,$X$2:$AC$5,4,FALSE)</f>
        <v>12</v>
      </c>
      <c r="P2" s="2">
        <f>VLOOKUP(1,$X$2:$AC$5,5,FALSE)</f>
        <v>4</v>
      </c>
      <c r="Q2" s="2">
        <f>VLOOKUP(1,$X$2:$AC$5,6,FALSE)</f>
        <v>8</v>
      </c>
      <c r="S2" s="92"/>
      <c r="T2" s="93">
        <f>IF(H3="",0,IF(K3=$B$65,IF(H3&gt;J3,3,IF(H3=J3,1,0)),0))</f>
        <v>0</v>
      </c>
      <c r="U2" s="93">
        <f>IF(H5="",0,IF(K5=$B$65,IF(H5&gt;J5,3,IF(H5=J5,1,0)),0))</f>
        <v>0</v>
      </c>
      <c r="V2" s="93">
        <f>IF(J7="",0,IF(K8=$B$65,IF(H7&lt;J7,3,IF(H7=J7,1,0)),0))</f>
        <v>0</v>
      </c>
      <c r="W2" s="94"/>
      <c r="X2" s="94">
        <f>RANK(AD2,$AD$2:$AD$5)</f>
        <v>4</v>
      </c>
      <c r="Y2" s="10" t="s">
        <v>148</v>
      </c>
      <c r="Z2" s="94">
        <f>SUM(S2:V2)</f>
        <v>0</v>
      </c>
      <c r="AA2" s="94">
        <f>SUM(S6:V6)</f>
        <v>4</v>
      </c>
      <c r="AB2" s="94">
        <f>SUM(S6:S9)</f>
        <v>13</v>
      </c>
      <c r="AC2" s="94">
        <f>AA2-AB2</f>
        <v>-9</v>
      </c>
      <c r="AD2" s="28">
        <f>IF(P$8="",(((((((AE2*10+Z2)*100+AC2)*100+AA2)*10+AK2)*10+AJ2)*100+AP2)*100+AU2)*10+AV2,(((((((AE2*10+Z2)*10+AK2)*10+AJ2)*100+AP2)*100+AU2)*100+AC2)*100+AA2)*10+AV2)</f>
        <v>-8956</v>
      </c>
      <c r="AE2" s="97"/>
      <c r="AF2" s="108"/>
      <c r="AG2" s="108">
        <f>IF($Z2=$Z3,$T2-$S3,0)</f>
        <v>0</v>
      </c>
      <c r="AH2" s="108">
        <f>IF($Z2=$Z4,$U2-$S4,0)</f>
        <v>0</v>
      </c>
      <c r="AI2" s="108">
        <f>IF($Z2=$Z5,$V2-$S5,0)</f>
        <v>0</v>
      </c>
      <c r="AJ2" s="108">
        <f>SUM(AF2:AI2)</f>
        <v>0</v>
      </c>
      <c r="AK2" s="97"/>
      <c r="AL2" s="108"/>
      <c r="AM2" s="108">
        <f>IF($Z2=$Z3,$T6-$S7,0)</f>
        <v>0</v>
      </c>
      <c r="AN2" s="108">
        <f>IF($Z2=$Z4,$U6-$S8,0)</f>
        <v>0</v>
      </c>
      <c r="AO2" s="108">
        <f>IF($Z2=$Z5,$V6-$S9,0)</f>
        <v>0</v>
      </c>
      <c r="AP2" s="108">
        <f>SUM(AL2:AO2)</f>
        <v>0</v>
      </c>
      <c r="AQ2" s="108"/>
      <c r="AR2" s="108">
        <f>IF($Z2=$Z3,$T6,0)</f>
        <v>0</v>
      </c>
      <c r="AS2" s="108">
        <f>IF($Z2=$Z4,$U6,0)</f>
        <v>0</v>
      </c>
      <c r="AT2" s="108">
        <f>IF($Z2=$Z5,$V6,0)</f>
        <v>0</v>
      </c>
      <c r="AU2" s="108">
        <f>SUM(AQ2:AT2)</f>
        <v>0</v>
      </c>
      <c r="AV2" s="97">
        <v>4</v>
      </c>
      <c r="AW2" s="96"/>
      <c r="BB2" s="3" t="s">
        <v>19</v>
      </c>
      <c r="BC2" s="3" t="s">
        <v>20</v>
      </c>
      <c r="BL2" s="1"/>
      <c r="BM2" s="10" t="str">
        <f>VLOOKUP(1,$BX$2:$CC$5,2,FALSE)</f>
        <v>Tschechien</v>
      </c>
      <c r="BN2" s="2">
        <f>VLOOKUP(1,$BX$2:$CC$5,3,FALSE)</f>
        <v>9</v>
      </c>
      <c r="BO2" s="2">
        <f>VLOOKUP(1,$BX$2:$CC$5,4,FALSE)</f>
        <v>11</v>
      </c>
      <c r="BP2" s="2">
        <f>VLOOKUP(1,$BX$2:$CC$5,5,FALSE)</f>
        <v>6</v>
      </c>
      <c r="BQ2" s="2">
        <f>VLOOKUP(1,$BX$2:$CC$5,6,FALSE)</f>
        <v>5</v>
      </c>
      <c r="BS2" s="92"/>
      <c r="BT2" s="93">
        <f>IF(BH3="",0,IF(BK3=$B$65,IF(BH3&gt;BJ3,3,IF(BH3=BJ3,1,0)),0))</f>
        <v>0</v>
      </c>
      <c r="BU2" s="93">
        <f>IF(BH5="",0,IF(BK5=$B$65,IF(BH5&gt;BJ5,3,IF(BH5=BJ5,1,0)),0))</f>
        <v>1</v>
      </c>
      <c r="BV2" s="93">
        <f>IF(BJ7="",0,IF(BK8=$B$65,IF(BH7&lt;BJ7,3,IF(BH7=BJ7,1,0)),0))</f>
        <v>0</v>
      </c>
      <c r="BW2" s="1"/>
      <c r="BX2" s="1">
        <f>RANK(CD2,$CD$2:$CD$5)</f>
        <v>4</v>
      </c>
      <c r="BY2" s="95" t="s">
        <v>67</v>
      </c>
      <c r="BZ2" s="1">
        <f>SUM(BS2:BV2)</f>
        <v>1</v>
      </c>
      <c r="CA2" s="1">
        <f>SUM(BS6:BV6)</f>
        <v>6</v>
      </c>
      <c r="CB2" s="1">
        <f>SUM(BS6:BS9)</f>
        <v>12</v>
      </c>
      <c r="CC2" s="1">
        <f>CA2-CB2</f>
        <v>-6</v>
      </c>
      <c r="CD2" s="28">
        <f>IF(BP$8="",(((((((CE2*10+BZ2)*100+CC2)*100+CA2)*10+CK2)*10+CJ2)*100+CP2)*100+CU2)*10+CV2,(((((((CE2*10+BZ2)*10+CK2)*10+CJ2)*100+CP2)*100+CU2)*100+CC2)*100+CA2)*10+CV2)</f>
        <v>100000294064</v>
      </c>
      <c r="CE2" s="5"/>
      <c r="CF2" s="109"/>
      <c r="CG2" s="109">
        <f>IF($BZ2=$BZ3,$BT2-$BS3,0)</f>
        <v>0</v>
      </c>
      <c r="CH2" s="109">
        <f>IF($BZ2=$BZ4,$BU2-$BS4,0)</f>
        <v>0</v>
      </c>
      <c r="CI2" s="109">
        <f>IF($BZ2=$BZ5,$BV2-$BS5,0)</f>
        <v>0</v>
      </c>
      <c r="CJ2" s="109">
        <f>SUM(CF2:CI2)</f>
        <v>0</v>
      </c>
      <c r="CK2" s="5"/>
      <c r="CL2" s="109"/>
      <c r="CM2" s="109">
        <f>IF($BZ2=$BZ3,$BT6-$BS7,0)</f>
        <v>0</v>
      </c>
      <c r="CN2" s="109">
        <f>IF($BZ2=$BZ4,$BU6-$BS8,0)</f>
        <v>0</v>
      </c>
      <c r="CO2" s="109">
        <f>IF($BZ2=$BZ5,$BV6-$BS9,0)</f>
        <v>0</v>
      </c>
      <c r="CP2" s="109">
        <f>SUM(CL2:CO2)</f>
        <v>0</v>
      </c>
      <c r="CQ2" s="109"/>
      <c r="CR2" s="109">
        <f>IF($BZ2=$BZ3,$BT6,0)</f>
        <v>0</v>
      </c>
      <c r="CS2" s="109">
        <f>IF($BZ2=$BZ4,$BU6,0)</f>
        <v>3</v>
      </c>
      <c r="CT2" s="109">
        <f>IF($BZ2=$BZ5,$BV6,0)</f>
        <v>0</v>
      </c>
      <c r="CU2" s="109">
        <f>SUM(CQ2:CT2)</f>
        <v>3</v>
      </c>
      <c r="CV2" s="5">
        <v>4</v>
      </c>
    </row>
    <row r="3" spans="1:100" ht="12.75">
      <c r="A3" s="2">
        <v>1</v>
      </c>
      <c r="B3" s="7">
        <v>44358.875</v>
      </c>
      <c r="C3" s="4" t="s">
        <v>138</v>
      </c>
      <c r="D3" s="88" t="str">
        <f>Y2</f>
        <v>Türkei</v>
      </c>
      <c r="E3" s="52" t="s">
        <v>21</v>
      </c>
      <c r="F3" s="88" t="str">
        <f>Y3</f>
        <v>Italien</v>
      </c>
      <c r="G3" s="87"/>
      <c r="H3" s="110">
        <f aca="true" ca="1" t="shared" si="0" ref="H3:H8">IF($B$66="",1,INT(RAND()*5)+INT(RAND()*3)*INT(RAND()*2))</f>
        <v>1</v>
      </c>
      <c r="I3" s="12" t="s">
        <v>22</v>
      </c>
      <c r="J3" s="110">
        <f aca="true" ca="1" t="shared" si="1" ref="J3:J8">IF($B$66="",0,INT(RAND()*5)+INT(RAND()*3)*INT(RAND()*2))</f>
        <v>4</v>
      </c>
      <c r="K3" s="8" t="s">
        <v>23</v>
      </c>
      <c r="L3" s="1"/>
      <c r="M3" s="10" t="str">
        <f>VLOOKUP(2,$X$2:$AC$5,2,FALSE)</f>
        <v>Schweiz</v>
      </c>
      <c r="N3" s="2">
        <f>VLOOKUP(2,$X$2:$AC$5,3,FALSE)</f>
        <v>6</v>
      </c>
      <c r="O3" s="2">
        <f>VLOOKUP(2,$X$2:$AC$5,4,FALSE)</f>
        <v>12</v>
      </c>
      <c r="P3" s="2">
        <f>VLOOKUP(2,$X$2:$AC$5,5,FALSE)</f>
        <v>6</v>
      </c>
      <c r="Q3" s="2">
        <f>VLOOKUP(2,$X$2:$AC$5,6,FALSE)</f>
        <v>6</v>
      </c>
      <c r="S3" s="93">
        <f>IF(J3="",0,IF(K3=$B$65,IF(H3&lt;J3,3,IF(H3=J3,1,0)),0))</f>
        <v>3</v>
      </c>
      <c r="T3" s="92"/>
      <c r="U3" s="93">
        <f>IF(H8="",0,IF(K7=$B$65,IF(H8&gt;J8,3,IF(H8=J8,1,0)),0))</f>
        <v>0</v>
      </c>
      <c r="V3" s="93">
        <f>IF(H6="",0,IF(K6=$B$65,IF(H6&gt;J6,3,IF(H6=J6,1,0)),0))</f>
        <v>0</v>
      </c>
      <c r="W3" s="94"/>
      <c r="X3" s="94">
        <f>RANK(AD3,$AD$2:$AD$5)</f>
        <v>3</v>
      </c>
      <c r="Y3" s="10" t="s">
        <v>130</v>
      </c>
      <c r="Z3" s="94">
        <f>SUM(S3:V3)</f>
        <v>3</v>
      </c>
      <c r="AA3" s="94">
        <f>SUM(S7:V7)</f>
        <v>4</v>
      </c>
      <c r="AB3" s="94">
        <f>SUM(T6:T9)</f>
        <v>9</v>
      </c>
      <c r="AC3" s="94">
        <f>AA3-AB3</f>
        <v>-5</v>
      </c>
      <c r="AD3" s="28">
        <f>IF(P$8="",(((((((AE3*10+Z3)*100+AC3)*100+AA3)*10+AK3)*10+AJ3)*100+AP3)*100+AU3)*10+AV3,(((((((AE3*10+Z3)*10+AK3)*10+AJ3)*100+AP3)*100+AU3)*100+AC3)*100+AA3)*10+AV3)</f>
        <v>299999995043</v>
      </c>
      <c r="AE3" s="97"/>
      <c r="AF3" s="108">
        <f>IF($Z3=$Z2,$S3-$T2,0)</f>
        <v>0</v>
      </c>
      <c r="AG3" s="108"/>
      <c r="AH3" s="108">
        <f>IF($Z3=$Z4,$U3-$T4,0)</f>
        <v>0</v>
      </c>
      <c r="AI3" s="108">
        <f>IF($Z3=$Z5,$V3-$T5,0)</f>
        <v>0</v>
      </c>
      <c r="AJ3" s="108">
        <f>SUM(AF3:AI3)</f>
        <v>0</v>
      </c>
      <c r="AK3" s="97"/>
      <c r="AL3" s="108">
        <f>IF($Z3=$Z2,$S7-$T6,0)</f>
        <v>0</v>
      </c>
      <c r="AM3" s="108"/>
      <c r="AN3" s="108">
        <f>IF($Z3=$Z4,$U7-$T8,0)</f>
        <v>0</v>
      </c>
      <c r="AO3" s="108">
        <f>IF($Z3=$Z5,$V7-$T9,0)</f>
        <v>0</v>
      </c>
      <c r="AP3" s="108">
        <f>SUM(AL3:AO3)</f>
        <v>0</v>
      </c>
      <c r="AQ3" s="108">
        <f>IF($Z3=$Z2,$S7,0)</f>
        <v>0</v>
      </c>
      <c r="AR3" s="108"/>
      <c r="AS3" s="108">
        <f>IF($Z3=$Z4,$U7,0)</f>
        <v>0</v>
      </c>
      <c r="AT3" s="108">
        <f>IF($Z3=$Z5,$V7,0)</f>
        <v>0</v>
      </c>
      <c r="AU3" s="108">
        <f>SUM(AQ3:AT3)</f>
        <v>0</v>
      </c>
      <c r="AV3" s="97">
        <v>3</v>
      </c>
      <c r="AW3" s="96"/>
      <c r="BA3" s="2">
        <v>7</v>
      </c>
      <c r="BB3" s="7">
        <v>44360.625</v>
      </c>
      <c r="BC3" s="4" t="s">
        <v>139</v>
      </c>
      <c r="BD3" s="88" t="str">
        <f>BY2</f>
        <v>England</v>
      </c>
      <c r="BE3" s="52" t="s">
        <v>21</v>
      </c>
      <c r="BF3" s="88" t="str">
        <f>BY3</f>
        <v>Kroatien</v>
      </c>
      <c r="BG3" s="87"/>
      <c r="BH3" s="110">
        <f aca="true" ca="1" t="shared" si="2" ref="BH3:BH8">IF($B$66="",1,INT(RAND()*5)+INT(RAND()*3)*INT(RAND()*2))</f>
        <v>3</v>
      </c>
      <c r="BI3" s="12" t="s">
        <v>22</v>
      </c>
      <c r="BJ3" s="110">
        <f aca="true" ca="1" t="shared" si="3" ref="BJ3:BJ8">IF($B$66="",0,INT(RAND()*5)+INT(RAND()*3)*INT(RAND()*2))</f>
        <v>6</v>
      </c>
      <c r="BK3" s="8" t="s">
        <v>23</v>
      </c>
      <c r="BL3" s="1"/>
      <c r="BM3" s="10" t="str">
        <f>VLOOKUP(2,$BX$2:$CC$5,2,FALSE)</f>
        <v>Kroatien</v>
      </c>
      <c r="BN3" s="2">
        <f>VLOOKUP(2,$BX$2:$CC$5,3,FALSE)</f>
        <v>6</v>
      </c>
      <c r="BO3" s="2">
        <f>VLOOKUP(2,$BX$2:$CC$5,4,FALSE)</f>
        <v>13</v>
      </c>
      <c r="BP3" s="2">
        <f>VLOOKUP(2,$BX$2:$CC$5,5,FALSE)</f>
        <v>8</v>
      </c>
      <c r="BQ3" s="2">
        <f>VLOOKUP(2,$BX$2:$CC$5,6,FALSE)</f>
        <v>5</v>
      </c>
      <c r="BS3" s="93">
        <f>IF(BJ3="",0,IF(BK3=$B$65,IF(BH3&lt;BJ3,3,IF(BH3=BJ3,1,0)),0))</f>
        <v>3</v>
      </c>
      <c r="BT3" s="92"/>
      <c r="BU3" s="93">
        <f>IF(BH8="",0,IF(BK7=$B$65,IF(BH8&gt;BJ8,3,IF(BH8=BJ8,1,0)),0))</f>
        <v>3</v>
      </c>
      <c r="BV3" s="93">
        <f>IF(BH6="",0,IF(BK6=$B$65,IF(BH6&gt;BJ6,3,IF(BH6=BJ6,1,0)),0))</f>
        <v>0</v>
      </c>
      <c r="BW3" s="1"/>
      <c r="BX3" s="1">
        <f>RANK(CD3,$CD$2:$CD$5)</f>
        <v>2</v>
      </c>
      <c r="BY3" s="95" t="s">
        <v>157</v>
      </c>
      <c r="BZ3" s="1">
        <f>SUM(BS3:BV3)</f>
        <v>6</v>
      </c>
      <c r="CA3" s="1">
        <f>SUM(BS7:BV7)</f>
        <v>13</v>
      </c>
      <c r="CB3" s="1">
        <f>SUM(BT6:BT9)</f>
        <v>8</v>
      </c>
      <c r="CC3" s="1">
        <f>CA3-CB3</f>
        <v>5</v>
      </c>
      <c r="CD3" s="28">
        <f>IF(BP$8="",(((((((CE3*10+BZ3)*100+CC3)*100+CA3)*10+CK3)*10+CJ3)*100+CP3)*100+CU3)*10+CV3,(((((((CE3*10+BZ3)*10+CK3)*10+CJ3)*100+CP3)*100+CU3)*100+CC3)*100+CA3)*10+CV3)</f>
        <v>600000005133</v>
      </c>
      <c r="CE3" s="5"/>
      <c r="CF3" s="109">
        <f>IF($BZ3=$BZ2,$BS3-$BT2,0)</f>
        <v>0</v>
      </c>
      <c r="CG3" s="109"/>
      <c r="CH3" s="109">
        <f>IF($BZ3=$BZ4,$BU3-$BT4,0)</f>
        <v>0</v>
      </c>
      <c r="CI3" s="109">
        <f>IF($BZ3=$BZ5,$BV3-$BT5,0)</f>
        <v>0</v>
      </c>
      <c r="CJ3" s="109">
        <f>SUM(CF3:CI3)</f>
        <v>0</v>
      </c>
      <c r="CK3" s="5"/>
      <c r="CL3" s="109">
        <f>IF($BZ3=$BZ2,$BS7-$BT6,0)</f>
        <v>0</v>
      </c>
      <c r="CM3" s="109"/>
      <c r="CN3" s="109">
        <f>IF($BZ3=$BZ4,$BU7-$BT8,0)</f>
        <v>0</v>
      </c>
      <c r="CO3" s="109">
        <f>IF($BZ3=$BZ5,$BV7-$BT9,0)</f>
        <v>0</v>
      </c>
      <c r="CP3" s="109">
        <f>SUM(CL3:CO3)</f>
        <v>0</v>
      </c>
      <c r="CQ3" s="109">
        <f>IF($BZ3=$BZ2,$BS7,0)</f>
        <v>0</v>
      </c>
      <c r="CR3" s="109"/>
      <c r="CS3" s="109">
        <f>IF($BZ3=$BZ4,$BU7,0)</f>
        <v>0</v>
      </c>
      <c r="CT3" s="109">
        <f>IF($BZ3=$BZ5,$BV7,0)</f>
        <v>0</v>
      </c>
      <c r="CU3" s="109">
        <f>SUM(CQ3:CT3)</f>
        <v>0</v>
      </c>
      <c r="CV3" s="5">
        <v>3</v>
      </c>
    </row>
    <row r="4" spans="1:100" ht="12.75">
      <c r="A4" s="2">
        <f>A3+1</f>
        <v>2</v>
      </c>
      <c r="B4" s="4">
        <v>44359.625</v>
      </c>
      <c r="C4" s="4" t="s">
        <v>137</v>
      </c>
      <c r="D4" s="88" t="str">
        <f>Y4</f>
        <v>Wales</v>
      </c>
      <c r="E4" s="52" t="s">
        <v>21</v>
      </c>
      <c r="F4" s="88" t="str">
        <f>Y5</f>
        <v>Schweiz</v>
      </c>
      <c r="G4" s="87"/>
      <c r="H4" s="111">
        <f ca="1" t="shared" si="0"/>
        <v>4</v>
      </c>
      <c r="I4" s="12" t="s">
        <v>22</v>
      </c>
      <c r="J4" s="111">
        <f ca="1" t="shared" si="1"/>
        <v>3</v>
      </c>
      <c r="K4" s="8" t="s">
        <v>23</v>
      </c>
      <c r="L4" s="1"/>
      <c r="M4" s="10" t="str">
        <f>VLOOKUP(3,$X$2:$AC$5,2,FALSE)</f>
        <v>Italien</v>
      </c>
      <c r="N4" s="2">
        <f>VLOOKUP(3,$X$2:$AC$5,3,FALSE)</f>
        <v>3</v>
      </c>
      <c r="O4" s="2">
        <f>VLOOKUP(3,$X$2:$AC$5,4,FALSE)</f>
        <v>4</v>
      </c>
      <c r="P4" s="2">
        <f>VLOOKUP(3,$X$2:$AC$5,5,FALSE)</f>
        <v>9</v>
      </c>
      <c r="Q4" s="2">
        <f>VLOOKUP(3,$X$2:$AC$5,6,FALSE)</f>
        <v>-5</v>
      </c>
      <c r="S4" s="93">
        <f>IF(J5="",0,IF(K5=$B$65,IF(H5&lt;J5,3,IF(H5=J5,1,0)),0))</f>
        <v>3</v>
      </c>
      <c r="T4" s="93">
        <f>IF(J8="",0,IF(K7=$B$65,IF(H8&lt;J8,3,IF(H8=J8,1,0)),0))</f>
        <v>3</v>
      </c>
      <c r="U4" s="92"/>
      <c r="V4" s="93">
        <f>IF(H4="",0,IF(K4=$B$65,IF(H4&gt;J4,3,IF(H4=J4,1,0)),0))</f>
        <v>3</v>
      </c>
      <c r="W4" s="94"/>
      <c r="X4" s="94">
        <f>RANK(AD4,$AD$2:$AD$5)</f>
        <v>1</v>
      </c>
      <c r="Y4" s="10" t="s">
        <v>149</v>
      </c>
      <c r="Z4" s="94">
        <f>SUM(S4:V4)</f>
        <v>9</v>
      </c>
      <c r="AA4" s="94">
        <f>SUM(S8:V8)</f>
        <v>12</v>
      </c>
      <c r="AB4" s="94">
        <f>SUM(U6:U9)</f>
        <v>4</v>
      </c>
      <c r="AC4" s="94">
        <f>AA4-AB4</f>
        <v>8</v>
      </c>
      <c r="AD4" s="28">
        <f>IF(P$8="",(((((((AE4*10+Z4)*100+AC4)*100+AA4)*10+AK4)*10+AJ4)*100+AP4)*100+AU4)*10+AV4,(((((((AE4*10+Z4)*10+AK4)*10+AJ4)*100+AP4)*100+AU4)*100+AC4)*100+AA4)*10+AV4)</f>
        <v>900000008122</v>
      </c>
      <c r="AE4" s="97"/>
      <c r="AF4" s="108">
        <f>IF($Z4=$Z2,$S4-$U2,0)</f>
        <v>0</v>
      </c>
      <c r="AG4" s="108">
        <f>IF($Z4=$Z3,$T4-$U3,0)</f>
        <v>0</v>
      </c>
      <c r="AH4" s="108"/>
      <c r="AI4" s="108">
        <f>IF($Z4=$Z5,$V4-$U5,0)</f>
        <v>0</v>
      </c>
      <c r="AJ4" s="108">
        <f>SUM(AF4:AI4)</f>
        <v>0</v>
      </c>
      <c r="AK4" s="97"/>
      <c r="AL4" s="108">
        <f>IF($Z4=$Z2,$S8-$U6,0)</f>
        <v>0</v>
      </c>
      <c r="AM4" s="108">
        <f>IF($Z4=$Z3,$T8-$U7,0)</f>
        <v>0</v>
      </c>
      <c r="AN4" s="108"/>
      <c r="AO4" s="108">
        <f>IF($Z4=$Z5,$V8-$U9,0)</f>
        <v>0</v>
      </c>
      <c r="AP4" s="108">
        <f>SUM(AL4:AO4)</f>
        <v>0</v>
      </c>
      <c r="AQ4" s="108">
        <f>IF($Z4=$Z2,$S8,0)</f>
        <v>0</v>
      </c>
      <c r="AR4" s="108">
        <f>IF($Z4=$Z3,$T8,0)</f>
        <v>0</v>
      </c>
      <c r="AS4" s="108"/>
      <c r="AT4" s="108">
        <f>IF($Z4=$Z5,$V8,0)</f>
        <v>0</v>
      </c>
      <c r="AU4" s="108">
        <f>SUM(AQ4:AT4)</f>
        <v>0</v>
      </c>
      <c r="AV4" s="97">
        <v>2</v>
      </c>
      <c r="AW4" s="96"/>
      <c r="BA4" s="2">
        <v>8</v>
      </c>
      <c r="BB4" s="7">
        <v>44361.625</v>
      </c>
      <c r="BC4" s="4" t="s">
        <v>146</v>
      </c>
      <c r="BD4" s="88" t="str">
        <f>BY4</f>
        <v>Schottland</v>
      </c>
      <c r="BE4" s="52" t="s">
        <v>21</v>
      </c>
      <c r="BF4" s="88" t="str">
        <f>BY5</f>
        <v>Tschechien</v>
      </c>
      <c r="BG4" s="87"/>
      <c r="BH4" s="111">
        <f ca="1" t="shared" si="2"/>
        <v>2</v>
      </c>
      <c r="BI4" s="12" t="s">
        <v>22</v>
      </c>
      <c r="BJ4" s="111">
        <f ca="1" t="shared" si="3"/>
        <v>3</v>
      </c>
      <c r="BK4" s="8" t="s">
        <v>23</v>
      </c>
      <c r="BL4" s="1"/>
      <c r="BM4" s="10" t="str">
        <f>VLOOKUP(3,$BX$2:$CC$5,2,FALSE)</f>
        <v>Schottland</v>
      </c>
      <c r="BN4" s="2">
        <f>VLOOKUP(3,$BX$2:$CC$5,3,FALSE)</f>
        <v>1</v>
      </c>
      <c r="BO4" s="2">
        <f>VLOOKUP(3,$BX$2:$CC$5,4,FALSE)</f>
        <v>5</v>
      </c>
      <c r="BP4" s="2">
        <f>VLOOKUP(3,$BX$2:$CC$5,5,FALSE)</f>
        <v>9</v>
      </c>
      <c r="BQ4" s="2">
        <f>VLOOKUP(3,$BX$2:$CC$5,6,FALSE)</f>
        <v>-4</v>
      </c>
      <c r="BS4" s="93">
        <f>IF(BJ5="",0,IF(BK5=$B$65,IF(BH5&lt;BJ5,3,IF(BH5=BJ5,1,0)),0))</f>
        <v>1</v>
      </c>
      <c r="BT4" s="93">
        <f>IF(BJ8="",0,IF(BK7=$B$65,IF(BH8&lt;BJ8,3,IF(BH8=BJ8,1,0)),0))</f>
        <v>0</v>
      </c>
      <c r="BU4" s="92"/>
      <c r="BV4" s="93">
        <f>IF(BH4="",0,IF(BK4=$B$65,IF(BH4&gt;BJ4,3,IF(BH4=BJ4,1,0)),0))</f>
        <v>0</v>
      </c>
      <c r="BW4" s="1"/>
      <c r="BX4" s="1">
        <f>RANK(CD4,$CD$2:$CD$5)</f>
        <v>3</v>
      </c>
      <c r="BY4" s="95" t="s">
        <v>163</v>
      </c>
      <c r="BZ4" s="1">
        <f>SUM(BS4:BV4)</f>
        <v>1</v>
      </c>
      <c r="CA4" s="1">
        <f>SUM(BS8:BV8)</f>
        <v>5</v>
      </c>
      <c r="CB4" s="1">
        <f>SUM(BU6:BU9)</f>
        <v>9</v>
      </c>
      <c r="CC4" s="1">
        <f>CA4-CB4</f>
        <v>-4</v>
      </c>
      <c r="CD4" s="28">
        <f>IF(BP$8="",(((((((CE4*10+BZ4)*100+CC4)*100+CA4)*10+CK4)*10+CJ4)*100+CP4)*100+CU4)*10+CV4,(((((((CE4*10+BZ4)*10+CK4)*10+CJ4)*100+CP4)*100+CU4)*100+CC4)*100+CA4)*10+CV4)</f>
        <v>100000296052</v>
      </c>
      <c r="CE4" s="5"/>
      <c r="CF4" s="109">
        <f>IF($BZ4=$BZ2,$BS4-$BU2,0)</f>
        <v>0</v>
      </c>
      <c r="CG4" s="109">
        <f>IF($BZ4=$BZ3,$BT4-$BU3,0)</f>
        <v>0</v>
      </c>
      <c r="CH4" s="109"/>
      <c r="CI4" s="109">
        <f>IF($BZ4=$BZ5,$BV4-$BU5,0)</f>
        <v>0</v>
      </c>
      <c r="CJ4" s="109">
        <f>SUM(CF4:CI4)</f>
        <v>0</v>
      </c>
      <c r="CK4" s="5"/>
      <c r="CL4" s="109">
        <f>IF($BZ4=$BZ2,$BS8-$BU6,0)</f>
        <v>0</v>
      </c>
      <c r="CM4" s="109">
        <f>IF($BZ4=$BZ3,$BT8-$BU7,0)</f>
        <v>0</v>
      </c>
      <c r="CN4" s="109"/>
      <c r="CO4" s="109">
        <f>IF($BZ4=$BZ5,$BV8-$BU9,0)</f>
        <v>0</v>
      </c>
      <c r="CP4" s="109">
        <f>SUM(CL4:CO4)</f>
        <v>0</v>
      </c>
      <c r="CQ4" s="109">
        <f>IF($BZ4=$BZ2,$BS8,0)</f>
        <v>3</v>
      </c>
      <c r="CR4" s="109">
        <f>IF($BZ4=$BZ3,$BT8,0)</f>
        <v>0</v>
      </c>
      <c r="CS4" s="109"/>
      <c r="CT4" s="109">
        <f>IF($BZ4=$BZ5,$BV8,0)</f>
        <v>0</v>
      </c>
      <c r="CU4" s="109">
        <f>SUM(CQ4:CT4)</f>
        <v>3</v>
      </c>
      <c r="CV4" s="5">
        <v>2</v>
      </c>
    </row>
    <row r="5" spans="1:100" ht="12.75">
      <c r="A5" s="2">
        <f>A3+12</f>
        <v>13</v>
      </c>
      <c r="B5" s="7">
        <v>44363.75</v>
      </c>
      <c r="C5" s="4" t="s">
        <v>137</v>
      </c>
      <c r="D5" s="88" t="str">
        <f>Y2</f>
        <v>Türkei</v>
      </c>
      <c r="E5" s="52" t="s">
        <v>21</v>
      </c>
      <c r="F5" s="88" t="str">
        <f>Y4</f>
        <v>Wales</v>
      </c>
      <c r="G5" s="87"/>
      <c r="H5" s="111">
        <f ca="1" t="shared" si="0"/>
        <v>1</v>
      </c>
      <c r="I5" s="12" t="s">
        <v>22</v>
      </c>
      <c r="J5" s="111">
        <f ca="1" t="shared" si="1"/>
        <v>5</v>
      </c>
      <c r="K5" s="8" t="s">
        <v>23</v>
      </c>
      <c r="L5" s="1"/>
      <c r="M5" s="10" t="str">
        <f>VLOOKUP(4,$X$2:$AC$5,2,FALSE)</f>
        <v>Türkei</v>
      </c>
      <c r="N5" s="2">
        <f>VLOOKUP(4,$X$2:$AC$5,3,FALSE)</f>
        <v>0</v>
      </c>
      <c r="O5" s="2">
        <f>VLOOKUP(4,$X$2:$AC$5,4,FALSE)</f>
        <v>4</v>
      </c>
      <c r="P5" s="2">
        <f>VLOOKUP(4,$X$2:$AC$5,5,FALSE)</f>
        <v>13</v>
      </c>
      <c r="Q5" s="2">
        <f>VLOOKUP(4,$X$2:$AC$5,6,FALSE)</f>
        <v>-9</v>
      </c>
      <c r="S5" s="93">
        <f>IF(H7="",0,IF(K8=$B$65,IF(H7&gt;J7,3,IF(H7=J7,1,0)),0))</f>
        <v>3</v>
      </c>
      <c r="T5" s="93">
        <f>IF(J6="",0,IF(K6=$B$65,IF(H6&lt;J6,3,IF(H6=J6,1,0)),0))</f>
        <v>3</v>
      </c>
      <c r="U5" s="93">
        <f>IF(J4="",0,IF(K4=$B$65,IF(H4&lt;J4,3,IF(H4=J4,1,0)),0))</f>
        <v>0</v>
      </c>
      <c r="V5" s="92"/>
      <c r="W5" s="94"/>
      <c r="X5" s="94">
        <f>RANK(AD5,$AD$2:$AD$5)</f>
        <v>2</v>
      </c>
      <c r="Y5" s="10" t="s">
        <v>150</v>
      </c>
      <c r="Z5" s="94">
        <f>SUM(S5:V5)</f>
        <v>6</v>
      </c>
      <c r="AA5" s="94">
        <f>SUM(S9:V9)</f>
        <v>12</v>
      </c>
      <c r="AB5" s="94">
        <f>SUM(V6:V9)</f>
        <v>6</v>
      </c>
      <c r="AC5" s="94">
        <f>AA5-AB5</f>
        <v>6</v>
      </c>
      <c r="AD5" s="28">
        <f>IF(P$8="",(((((((AE5*10+Z5)*100+AC5)*100+AA5)*10+AK5)*10+AJ5)*100+AP5)*100+AU5)*10+AV5,(((((((AE5*10+Z5)*10+AK5)*10+AJ5)*100+AP5)*100+AU5)*100+AC5)*100+AA5)*10+AV5)</f>
        <v>600000006121</v>
      </c>
      <c r="AE5" s="97"/>
      <c r="AF5" s="108">
        <f>IF($Z5=$Z2,$S5-$V2,0)</f>
        <v>0</v>
      </c>
      <c r="AG5" s="108">
        <f>IF($Z5=$Z3,$T5-$V3,0)</f>
        <v>0</v>
      </c>
      <c r="AH5" s="108">
        <f>IF($Z5=$Z4,$U5-$V4,0)</f>
        <v>0</v>
      </c>
      <c r="AI5" s="108"/>
      <c r="AJ5" s="108">
        <f>SUM(AF5:AI5)</f>
        <v>0</v>
      </c>
      <c r="AK5" s="97"/>
      <c r="AL5" s="108">
        <f>IF($Z5=$Z2,$S9-$V6,0)</f>
        <v>0</v>
      </c>
      <c r="AM5" s="108">
        <f>IF($Z5=$Z3,$T9-$V7,0)</f>
        <v>0</v>
      </c>
      <c r="AN5" s="108">
        <f>IF($Z5=$Z4,$U9-$V8,0)</f>
        <v>0</v>
      </c>
      <c r="AO5" s="108"/>
      <c r="AP5" s="108">
        <f>SUM(AL5:AO5)</f>
        <v>0</v>
      </c>
      <c r="AQ5" s="108">
        <f>IF($Z5=$Z2,$S9,0)</f>
        <v>0</v>
      </c>
      <c r="AR5" s="108">
        <f>IF($Z5=$Z3,$T9,0)</f>
        <v>0</v>
      </c>
      <c r="AS5" s="108">
        <f>IF($Z5=$Z4,$U9,0)</f>
        <v>0</v>
      </c>
      <c r="AT5" s="108"/>
      <c r="AU5" s="108">
        <f>SUM(AQ5:AT5)</f>
        <v>0</v>
      </c>
      <c r="AV5" s="97">
        <v>1</v>
      </c>
      <c r="AW5" s="96"/>
      <c r="BA5" s="2">
        <f>BA3+12</f>
        <v>19</v>
      </c>
      <c r="BB5" s="7">
        <v>44365.875</v>
      </c>
      <c r="BC5" s="4" t="s">
        <v>139</v>
      </c>
      <c r="BD5" s="88" t="str">
        <f>BY2</f>
        <v>England</v>
      </c>
      <c r="BE5" s="52" t="s">
        <v>21</v>
      </c>
      <c r="BF5" s="88" t="str">
        <f>BY4</f>
        <v>Schottland</v>
      </c>
      <c r="BG5" s="87"/>
      <c r="BH5" s="111">
        <f ca="1" t="shared" si="2"/>
        <v>3</v>
      </c>
      <c r="BI5" s="12" t="s">
        <v>22</v>
      </c>
      <c r="BJ5" s="111">
        <f ca="1" t="shared" si="3"/>
        <v>3</v>
      </c>
      <c r="BK5" s="8" t="s">
        <v>23</v>
      </c>
      <c r="BL5" s="1"/>
      <c r="BM5" s="10" t="str">
        <f>VLOOKUP(4,$BX$2:$CC$5,2,FALSE)</f>
        <v>England</v>
      </c>
      <c r="BN5" s="2">
        <f>VLOOKUP(4,$BX$2:$CC$5,3,FALSE)</f>
        <v>1</v>
      </c>
      <c r="BO5" s="2">
        <f>VLOOKUP(4,$BX$2:$CC$5,4,FALSE)</f>
        <v>6</v>
      </c>
      <c r="BP5" s="2">
        <f>VLOOKUP(4,$BX$2:$CC$5,5,FALSE)</f>
        <v>12</v>
      </c>
      <c r="BQ5" s="2">
        <f>VLOOKUP(4,$BX$2:$CC$5,6,FALSE)</f>
        <v>-6</v>
      </c>
      <c r="BS5" s="93">
        <f>IF(BH7="",0,IF(BK8=$B$65,IF(BH7&gt;BJ7,3,IF(BH7=BJ7,1,0)),0))</f>
        <v>3</v>
      </c>
      <c r="BT5" s="93">
        <f>IF(BJ6="",0,IF(BK6=$B$65,IF(BH6&lt;BJ6,3,IF(BH6=BJ6,1,0)),0))</f>
        <v>3</v>
      </c>
      <c r="BU5" s="93">
        <f>IF(BJ4="",0,IF(BK4=$B$65,IF(BH4&lt;BJ4,3,IF(BH4=BJ4,1,0)),0))</f>
        <v>3</v>
      </c>
      <c r="BV5" s="92"/>
      <c r="BW5" s="1"/>
      <c r="BX5" s="1">
        <f>RANK(CD5,$CD$2:$CD$5)</f>
        <v>1</v>
      </c>
      <c r="BY5" s="95" t="s">
        <v>158</v>
      </c>
      <c r="BZ5" s="1">
        <f>SUM(BS5:BV5)</f>
        <v>9</v>
      </c>
      <c r="CA5" s="1">
        <f>SUM(BS9:BV9)</f>
        <v>11</v>
      </c>
      <c r="CB5" s="1">
        <f>SUM(BV6:BV9)</f>
        <v>6</v>
      </c>
      <c r="CC5" s="1">
        <f>CA5-CB5</f>
        <v>5</v>
      </c>
      <c r="CD5" s="28">
        <f>IF(BP$8="",(((((((CE5*10+BZ5)*100+CC5)*100+CA5)*10+CK5)*10+CJ5)*100+CP5)*100+CU5)*10+CV5,(((((((CE5*10+BZ5)*10+CK5)*10+CJ5)*100+CP5)*100+CU5)*100+CC5)*100+CA5)*10+CV5)</f>
        <v>900000005111</v>
      </c>
      <c r="CE5" s="5"/>
      <c r="CF5" s="109">
        <f>IF($BZ5=$BZ2,$BS5-$BV2,0)</f>
        <v>0</v>
      </c>
      <c r="CG5" s="109">
        <f>IF($BZ5=$BZ3,$BT5-$BV3,0)</f>
        <v>0</v>
      </c>
      <c r="CH5" s="109">
        <f>IF($BZ5=$BZ4,$BU5-$BV4,0)</f>
        <v>0</v>
      </c>
      <c r="CI5" s="109"/>
      <c r="CJ5" s="109">
        <f>SUM(CF5:CI5)</f>
        <v>0</v>
      </c>
      <c r="CK5" s="5"/>
      <c r="CL5" s="109">
        <f>IF($BZ5=$BZ2,$BS9-$BV6,0)</f>
        <v>0</v>
      </c>
      <c r="CM5" s="109">
        <f>IF($BZ5=$BZ3,$BT9-$BV7,0)</f>
        <v>0</v>
      </c>
      <c r="CN5" s="109">
        <f>IF($BZ5=$BZ4,$BU9-$BV8,0)</f>
        <v>0</v>
      </c>
      <c r="CO5" s="109"/>
      <c r="CP5" s="109">
        <f>SUM(CL5:CO5)</f>
        <v>0</v>
      </c>
      <c r="CQ5" s="109">
        <f>IF($BZ5=$BZ2,$BS9,0)</f>
        <v>0</v>
      </c>
      <c r="CR5" s="109">
        <f>IF($BZ5=$BZ3,$BT9,0)</f>
        <v>0</v>
      </c>
      <c r="CS5" s="109">
        <f>IF($BZ5=$BZ4,$BU9,0)</f>
        <v>0</v>
      </c>
      <c r="CT5" s="109"/>
      <c r="CU5" s="109">
        <f>SUM(CQ5:CT5)</f>
        <v>0</v>
      </c>
      <c r="CV5" s="5">
        <v>1</v>
      </c>
    </row>
    <row r="6" spans="1:100" ht="12.75">
      <c r="A6" s="2">
        <f>A4+12</f>
        <v>14</v>
      </c>
      <c r="B6" s="4">
        <v>44363.875</v>
      </c>
      <c r="C6" s="4" t="s">
        <v>138</v>
      </c>
      <c r="D6" s="88" t="str">
        <f>Y3</f>
        <v>Italien</v>
      </c>
      <c r="E6" s="52" t="s">
        <v>21</v>
      </c>
      <c r="F6" s="88" t="str">
        <f>Y5</f>
        <v>Schweiz</v>
      </c>
      <c r="G6" s="87"/>
      <c r="H6" s="111">
        <f ca="1" t="shared" si="0"/>
        <v>0</v>
      </c>
      <c r="I6" s="12" t="s">
        <v>22</v>
      </c>
      <c r="J6" s="111">
        <f ca="1" t="shared" si="1"/>
        <v>5</v>
      </c>
      <c r="K6" s="8" t="s">
        <v>23</v>
      </c>
      <c r="L6" s="1"/>
      <c r="N6" s="1"/>
      <c r="O6" s="1"/>
      <c r="P6" s="1"/>
      <c r="S6" s="92"/>
      <c r="T6" s="93">
        <f>IF(K3=$B$65,H3,0)</f>
        <v>1</v>
      </c>
      <c r="U6" s="93">
        <f>IF(K5=$B$65,H5,0)</f>
        <v>1</v>
      </c>
      <c r="V6" s="93">
        <f>IF(K8=$B$65,J7,0)</f>
        <v>2</v>
      </c>
      <c r="W6" s="94"/>
      <c r="X6" s="94"/>
      <c r="Y6" s="94"/>
      <c r="Z6" s="94"/>
      <c r="AA6" s="94"/>
      <c r="AB6" s="94"/>
      <c r="AC6" s="94"/>
      <c r="AD6" s="98"/>
      <c r="AE6" s="99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V6" s="108"/>
      <c r="AW6" s="96"/>
      <c r="BA6" s="2">
        <f>BA4+12</f>
        <v>20</v>
      </c>
      <c r="BB6" s="7">
        <v>44365.75</v>
      </c>
      <c r="BC6" s="4" t="s">
        <v>146</v>
      </c>
      <c r="BD6" s="88" t="str">
        <f>BY3</f>
        <v>Kroatien</v>
      </c>
      <c r="BE6" s="52" t="s">
        <v>21</v>
      </c>
      <c r="BF6" s="88" t="str">
        <f>BY5</f>
        <v>Tschechien</v>
      </c>
      <c r="BG6" s="87"/>
      <c r="BH6" s="111">
        <f ca="1" t="shared" si="2"/>
        <v>4</v>
      </c>
      <c r="BI6" s="12" t="s">
        <v>22</v>
      </c>
      <c r="BJ6" s="111">
        <f ca="1" t="shared" si="3"/>
        <v>5</v>
      </c>
      <c r="BK6" s="8" t="s">
        <v>23</v>
      </c>
      <c r="BL6" s="1"/>
      <c r="BN6" s="1"/>
      <c r="BO6" s="1"/>
      <c r="BP6" s="1"/>
      <c r="BS6" s="92"/>
      <c r="BT6" s="93">
        <f>IF(BK3=$B$65,BH3,0)</f>
        <v>3</v>
      </c>
      <c r="BU6" s="93">
        <f>IF(BK5=$B$65,BH5,0)</f>
        <v>3</v>
      </c>
      <c r="BV6" s="93">
        <f>IF(BK8=$B$65,BJ7,0)</f>
        <v>0</v>
      </c>
      <c r="BW6" s="1"/>
      <c r="BX6" s="1"/>
      <c r="BY6" s="94"/>
      <c r="BZ6" s="1"/>
      <c r="CA6" s="1"/>
      <c r="CB6" s="1"/>
      <c r="CC6" s="1"/>
      <c r="CD6" s="6"/>
      <c r="CE6" s="8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V6" s="109"/>
    </row>
    <row r="7" spans="1:100" ht="12.75">
      <c r="A7" s="2">
        <f>A5+12</f>
        <v>25</v>
      </c>
      <c r="B7" s="7">
        <v>44367.75</v>
      </c>
      <c r="C7" s="4" t="s">
        <v>137</v>
      </c>
      <c r="D7" s="88" t="str">
        <f>Y5</f>
        <v>Schweiz</v>
      </c>
      <c r="E7" s="52" t="s">
        <v>21</v>
      </c>
      <c r="F7" s="88" t="str">
        <f>Y2</f>
        <v>Türkei</v>
      </c>
      <c r="G7" s="86"/>
      <c r="H7" s="110">
        <f ca="1" t="shared" si="0"/>
        <v>4</v>
      </c>
      <c r="I7" s="12" t="s">
        <v>22</v>
      </c>
      <c r="J7" s="110">
        <f ca="1" t="shared" si="1"/>
        <v>2</v>
      </c>
      <c r="K7" s="8" t="s">
        <v>23</v>
      </c>
      <c r="M7" s="44" t="str">
        <f>IF(N2&gt;0,M2,"")</f>
        <v>Wales</v>
      </c>
      <c r="N7" s="2" t="s">
        <v>24</v>
      </c>
      <c r="P7" s="34"/>
      <c r="S7" s="93">
        <f>IF(K3=$B$65,J3,0)</f>
        <v>4</v>
      </c>
      <c r="T7" s="92"/>
      <c r="U7" s="93">
        <f>IF(K7=$B$65,H8,0)</f>
        <v>0</v>
      </c>
      <c r="V7" s="93">
        <f>IF(K6=$B$65,H6,0)</f>
        <v>0</v>
      </c>
      <c r="AD7" s="86" t="s">
        <v>118</v>
      </c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V7" s="112"/>
      <c r="AW7" s="96"/>
      <c r="BA7" s="2">
        <f>BA5+12</f>
        <v>31</v>
      </c>
      <c r="BB7" s="7">
        <v>44369.875</v>
      </c>
      <c r="BC7" s="4" t="s">
        <v>139</v>
      </c>
      <c r="BD7" s="88" t="str">
        <f>BY5</f>
        <v>Tschechien</v>
      </c>
      <c r="BE7" s="52" t="s">
        <v>21</v>
      </c>
      <c r="BF7" s="88" t="str">
        <f>BY2</f>
        <v>England</v>
      </c>
      <c r="BG7" s="86"/>
      <c r="BH7" s="110">
        <f ca="1" t="shared" si="2"/>
        <v>3</v>
      </c>
      <c r="BI7" s="14" t="s">
        <v>22</v>
      </c>
      <c r="BJ7" s="110">
        <f ca="1" t="shared" si="3"/>
        <v>0</v>
      </c>
      <c r="BK7" s="8" t="s">
        <v>23</v>
      </c>
      <c r="BM7" s="47" t="str">
        <f>IF(BN2&gt;0,BM2,"")</f>
        <v>Tschechien</v>
      </c>
      <c r="BN7" s="2" t="s">
        <v>33</v>
      </c>
      <c r="BP7" s="34"/>
      <c r="BS7" s="93">
        <f>IF(BK3=$B$65,BJ3,0)</f>
        <v>6</v>
      </c>
      <c r="BT7" s="92"/>
      <c r="BU7" s="93">
        <f>IF(BK7=$B$65,BH8,0)</f>
        <v>3</v>
      </c>
      <c r="BV7" s="93">
        <f>IF(BK6=$B$65,BH6,0)</f>
        <v>4</v>
      </c>
      <c r="CD7" s="2" t="s">
        <v>118</v>
      </c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V7" s="113"/>
    </row>
    <row r="8" spans="1:100" ht="12.75">
      <c r="A8" s="2">
        <f>A6+12</f>
        <v>26</v>
      </c>
      <c r="B8" s="7">
        <v>44367.75</v>
      </c>
      <c r="C8" s="4" t="s">
        <v>138</v>
      </c>
      <c r="D8" s="88" t="str">
        <f>Y3</f>
        <v>Italien</v>
      </c>
      <c r="E8" s="52" t="s">
        <v>21</v>
      </c>
      <c r="F8" s="88" t="str">
        <f>Y4</f>
        <v>Wales</v>
      </c>
      <c r="G8" s="86"/>
      <c r="H8" s="111">
        <f ca="1" t="shared" si="0"/>
        <v>0</v>
      </c>
      <c r="I8" s="12" t="s">
        <v>22</v>
      </c>
      <c r="J8" s="111">
        <f ca="1" t="shared" si="1"/>
        <v>3</v>
      </c>
      <c r="K8" s="8" t="s">
        <v>23</v>
      </c>
      <c r="M8" s="44" t="str">
        <f>IF(N3&gt;0,M3,"")</f>
        <v>Schweiz</v>
      </c>
      <c r="N8" s="2" t="s">
        <v>25</v>
      </c>
      <c r="O8" s="35"/>
      <c r="P8" s="36" t="s">
        <v>11</v>
      </c>
      <c r="S8" s="93">
        <f>IF(K5=$B$65,J5,0)</f>
        <v>5</v>
      </c>
      <c r="T8" s="93">
        <f>IF(K7=$B$65,J8,0)</f>
        <v>3</v>
      </c>
      <c r="U8" s="92"/>
      <c r="V8" s="93">
        <f>IF(K4=$B$65,H4,0)</f>
        <v>4</v>
      </c>
      <c r="AD8" s="86" t="s">
        <v>119</v>
      </c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V8" s="112"/>
      <c r="AW8" s="96"/>
      <c r="BA8" s="2">
        <f>BA6+12</f>
        <v>32</v>
      </c>
      <c r="BB8" s="7">
        <v>44369.875</v>
      </c>
      <c r="BC8" s="4" t="s">
        <v>146</v>
      </c>
      <c r="BD8" s="88" t="str">
        <f>BY3</f>
        <v>Kroatien</v>
      </c>
      <c r="BE8" s="52" t="s">
        <v>21</v>
      </c>
      <c r="BF8" s="88" t="str">
        <f>BY4</f>
        <v>Schottland</v>
      </c>
      <c r="BG8" s="86"/>
      <c r="BH8" s="111">
        <f ca="1" t="shared" si="2"/>
        <v>3</v>
      </c>
      <c r="BI8" s="12" t="s">
        <v>22</v>
      </c>
      <c r="BJ8" s="111">
        <f ca="1" t="shared" si="3"/>
        <v>0</v>
      </c>
      <c r="BK8" s="8" t="s">
        <v>23</v>
      </c>
      <c r="BM8" s="47" t="str">
        <f>IF(BN3&gt;0,BM3,"")</f>
        <v>Kroatien</v>
      </c>
      <c r="BN8" s="2" t="s">
        <v>34</v>
      </c>
      <c r="BO8" s="35"/>
      <c r="BP8" s="36" t="s">
        <v>11</v>
      </c>
      <c r="BS8" s="93">
        <f>IF(BK5=$B$65,BJ5,0)</f>
        <v>3</v>
      </c>
      <c r="BT8" s="93">
        <f>IF(BK7=$B$65,BJ8,0)</f>
        <v>0</v>
      </c>
      <c r="BU8" s="92"/>
      <c r="BV8" s="93">
        <f>IF(BK4=$B$65,BH4,0)</f>
        <v>2</v>
      </c>
      <c r="CD8" s="2" t="s">
        <v>119</v>
      </c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V8" s="113"/>
    </row>
    <row r="9" spans="4:100" ht="12.75">
      <c r="D9" s="86"/>
      <c r="E9" s="86"/>
      <c r="F9" s="86"/>
      <c r="G9" s="86"/>
      <c r="M9" s="44" t="str">
        <f>IF(N4&gt;0,M4,"")</f>
        <v>Italien</v>
      </c>
      <c r="N9" s="2" t="s">
        <v>115</v>
      </c>
      <c r="S9" s="93">
        <f>IF(K8=$B$65,H7,0)</f>
        <v>4</v>
      </c>
      <c r="T9" s="93">
        <f>IF(K6=$B$65,J6,0)</f>
        <v>5</v>
      </c>
      <c r="U9" s="93">
        <f>IF(K4=$B$65,J4,0)</f>
        <v>3</v>
      </c>
      <c r="V9" s="92"/>
      <c r="AD9" s="86" t="s">
        <v>120</v>
      </c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V9" s="112"/>
      <c r="AW9" s="96"/>
      <c r="BD9" s="86"/>
      <c r="BE9" s="86"/>
      <c r="BF9" s="86"/>
      <c r="BG9" s="86"/>
      <c r="BM9" s="47" t="str">
        <f>IF(BN4&gt;0,BM4,"")</f>
        <v>Schottland</v>
      </c>
      <c r="BN9" s="2" t="s">
        <v>116</v>
      </c>
      <c r="BS9" s="93">
        <f>IF(BK8=$B$65,BH7,0)</f>
        <v>3</v>
      </c>
      <c r="BT9" s="93">
        <f>IF(BK6=$B$65,BJ6,0)</f>
        <v>5</v>
      </c>
      <c r="BU9" s="93">
        <f>IF(BK4=$B$65,BJ4,0)</f>
        <v>3</v>
      </c>
      <c r="BV9" s="92"/>
      <c r="CD9" s="2" t="s">
        <v>120</v>
      </c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V9" s="113"/>
    </row>
    <row r="10" spans="4:100" ht="6" customHeight="1">
      <c r="D10" s="86"/>
      <c r="E10" s="89"/>
      <c r="F10" s="91"/>
      <c r="G10" s="91"/>
      <c r="H10" s="86"/>
      <c r="I10" s="86"/>
      <c r="J10" s="86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V10" s="112"/>
      <c r="AW10" s="96"/>
      <c r="BD10" s="86"/>
      <c r="BE10" s="89"/>
      <c r="BF10" s="91"/>
      <c r="BG10" s="91"/>
      <c r="BH10" s="86"/>
      <c r="BI10" s="86"/>
      <c r="BJ10" s="86"/>
      <c r="BS10" s="86"/>
      <c r="BT10" s="86"/>
      <c r="BU10" s="86"/>
      <c r="BV10" s="86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V10" s="113"/>
    </row>
    <row r="11" spans="2:100" s="11" customFormat="1" ht="12.75">
      <c r="B11" s="37" t="s">
        <v>0</v>
      </c>
      <c r="C11" s="38" t="s">
        <v>26</v>
      </c>
      <c r="D11" s="87" t="s">
        <v>2</v>
      </c>
      <c r="E11" s="101"/>
      <c r="F11" s="87"/>
      <c r="G11" s="87"/>
      <c r="H11" s="22"/>
      <c r="I11" s="21"/>
      <c r="J11" s="22"/>
      <c r="K11" s="23"/>
      <c r="L11" s="18"/>
      <c r="M11" s="43" t="s">
        <v>3</v>
      </c>
      <c r="N11" s="18" t="s">
        <v>4</v>
      </c>
      <c r="O11" s="18" t="s">
        <v>5</v>
      </c>
      <c r="P11" s="18" t="s">
        <v>6</v>
      </c>
      <c r="Q11" s="18" t="s">
        <v>7</v>
      </c>
      <c r="R11" s="18"/>
      <c r="S11" s="86"/>
      <c r="T11" s="86"/>
      <c r="U11" s="86"/>
      <c r="V11" s="86"/>
      <c r="W11" s="87"/>
      <c r="X11" s="87" t="s">
        <v>8</v>
      </c>
      <c r="Y11" s="88" t="s">
        <v>9</v>
      </c>
      <c r="Z11" s="87" t="s">
        <v>4</v>
      </c>
      <c r="AA11" s="87" t="s">
        <v>5</v>
      </c>
      <c r="AB11" s="87" t="s">
        <v>6</v>
      </c>
      <c r="AC11" s="87" t="s">
        <v>7</v>
      </c>
      <c r="AD11" s="87"/>
      <c r="AE11" s="21" t="s">
        <v>10</v>
      </c>
      <c r="AF11" s="52" t="s">
        <v>11</v>
      </c>
      <c r="AG11" s="52"/>
      <c r="AH11" s="52"/>
      <c r="AI11" s="52"/>
      <c r="AJ11" s="52" t="s">
        <v>12</v>
      </c>
      <c r="AK11" s="88" t="s">
        <v>13</v>
      </c>
      <c r="AL11" s="52" t="s">
        <v>14</v>
      </c>
      <c r="AM11" s="52"/>
      <c r="AN11" s="52"/>
      <c r="AO11" s="52"/>
      <c r="AP11" s="52" t="s">
        <v>15</v>
      </c>
      <c r="AQ11" s="52" t="s">
        <v>16</v>
      </c>
      <c r="AR11" s="52"/>
      <c r="AS11" s="52"/>
      <c r="AT11" s="52"/>
      <c r="AU11" s="89" t="s">
        <v>17</v>
      </c>
      <c r="AV11" s="88" t="s">
        <v>18</v>
      </c>
      <c r="AW11" s="90"/>
      <c r="AX11" s="91"/>
      <c r="AY11" s="91"/>
      <c r="AZ11" s="91"/>
      <c r="BB11" s="19" t="s">
        <v>0</v>
      </c>
      <c r="BC11" s="48" t="s">
        <v>35</v>
      </c>
      <c r="BD11" s="87" t="s">
        <v>2</v>
      </c>
      <c r="BE11" s="101"/>
      <c r="BF11" s="87"/>
      <c r="BG11" s="87"/>
      <c r="BH11" s="22"/>
      <c r="BI11" s="21"/>
      <c r="BJ11" s="22"/>
      <c r="BK11" s="23"/>
      <c r="BL11" s="18"/>
      <c r="BM11" s="43" t="s">
        <v>3</v>
      </c>
      <c r="BN11" s="18" t="s">
        <v>4</v>
      </c>
      <c r="BO11" s="18" t="s">
        <v>5</v>
      </c>
      <c r="BP11" s="18" t="s">
        <v>6</v>
      </c>
      <c r="BQ11" s="18" t="s">
        <v>7</v>
      </c>
      <c r="BR11" s="18"/>
      <c r="BS11" s="86"/>
      <c r="BT11" s="86"/>
      <c r="BU11" s="86"/>
      <c r="BV11" s="86"/>
      <c r="BW11" s="18"/>
      <c r="BX11" s="18" t="s">
        <v>8</v>
      </c>
      <c r="BY11" s="88" t="s">
        <v>9</v>
      </c>
      <c r="BZ11" s="18" t="s">
        <v>4</v>
      </c>
      <c r="CA11" s="18" t="s">
        <v>5</v>
      </c>
      <c r="CB11" s="18" t="s">
        <v>6</v>
      </c>
      <c r="CC11" s="18" t="s">
        <v>7</v>
      </c>
      <c r="CD11" s="18"/>
      <c r="CE11" s="23" t="s">
        <v>10</v>
      </c>
      <c r="CF11" s="16" t="s">
        <v>11</v>
      </c>
      <c r="CG11" s="16"/>
      <c r="CH11" s="16"/>
      <c r="CI11" s="16"/>
      <c r="CJ11" s="16" t="s">
        <v>12</v>
      </c>
      <c r="CK11" s="24" t="s">
        <v>13</v>
      </c>
      <c r="CL11" s="16" t="s">
        <v>14</v>
      </c>
      <c r="CM11" s="16"/>
      <c r="CN11" s="16"/>
      <c r="CO11" s="16"/>
      <c r="CP11" s="16" t="s">
        <v>15</v>
      </c>
      <c r="CQ11" s="16" t="s">
        <v>16</v>
      </c>
      <c r="CR11" s="16"/>
      <c r="CS11" s="16"/>
      <c r="CT11" s="16"/>
      <c r="CU11" s="17" t="s">
        <v>17</v>
      </c>
      <c r="CV11" s="24" t="s">
        <v>18</v>
      </c>
    </row>
    <row r="12" spans="2:100" ht="12.75">
      <c r="B12" s="3" t="s">
        <v>19</v>
      </c>
      <c r="C12" s="3" t="s">
        <v>20</v>
      </c>
      <c r="D12" s="86"/>
      <c r="E12" s="86"/>
      <c r="F12" s="86"/>
      <c r="G12" s="86"/>
      <c r="L12" s="1"/>
      <c r="M12" s="10" t="str">
        <f>VLOOKUP(1,$X$12:$AC$15,2,FALSE)</f>
        <v>Dänemark</v>
      </c>
      <c r="N12" s="2">
        <f>VLOOKUP(1,$X$12:$AC$15,3,FALSE)</f>
        <v>7</v>
      </c>
      <c r="O12" s="2">
        <f>VLOOKUP(1,$X$12:$AC$15,4,FALSE)</f>
        <v>11</v>
      </c>
      <c r="P12" s="2">
        <f>VLOOKUP(1,$X$12:$AC$15,5,FALSE)</f>
        <v>5</v>
      </c>
      <c r="Q12" s="2">
        <f>VLOOKUP(1,$X$12:$AC$15,6,FALSE)</f>
        <v>6</v>
      </c>
      <c r="S12" s="92"/>
      <c r="T12" s="93">
        <f>IF(H13="",0,IF(K13=$B$65,IF(H13&gt;J13,3,IF(H13=J13,1,0)),0))</f>
        <v>3</v>
      </c>
      <c r="U12" s="93">
        <f>IF(H15="",0,IF(K15=$B$65,IF(H15&gt;J15,3,IF(H15=J15,1,0)),0))</f>
        <v>3</v>
      </c>
      <c r="V12" s="93">
        <f>IF(J17="",0,IF(K18=$B$65,IF(H17&lt;J17,3,IF(H17=J17,1,0)),0))</f>
        <v>1</v>
      </c>
      <c r="W12" s="94"/>
      <c r="X12" s="94">
        <f>RANK(AD12,$AD$12:$AD$15)</f>
        <v>1</v>
      </c>
      <c r="Y12" s="95" t="s">
        <v>151</v>
      </c>
      <c r="Z12" s="94">
        <f>SUM(S12:V12)</f>
        <v>7</v>
      </c>
      <c r="AA12" s="94">
        <f>SUM(S16:V16)</f>
        <v>11</v>
      </c>
      <c r="AB12" s="94">
        <f>SUM(S16:S19)</f>
        <v>5</v>
      </c>
      <c r="AC12" s="94">
        <f>AA12-AB12</f>
        <v>6</v>
      </c>
      <c r="AD12" s="28">
        <f>IF(P$18="",(((((((AE12*10+Z12)*100+AC12)*100+AA12)*10+AK12)*10+AJ12)*100+AP12)*100+AU12)*10+AV12,(((((((AE12*10+Z12)*10+AK12)*10+AJ12)*100+AP12)*100+AU12)*100+AC12)*100+AA12)*10+AV12)</f>
        <v>700000006114</v>
      </c>
      <c r="AE12" s="97"/>
      <c r="AF12" s="108"/>
      <c r="AG12" s="108">
        <f>IF($Z12=$Z13,$T12-$S13,0)</f>
        <v>0</v>
      </c>
      <c r="AH12" s="108">
        <f>IF($Z12=$Z14,$U12-$S14,0)</f>
        <v>0</v>
      </c>
      <c r="AI12" s="108">
        <f>IF($Z12=$Z15,$V12-$S15,0)</f>
        <v>0</v>
      </c>
      <c r="AJ12" s="108">
        <f>SUM(AF12:AI12)</f>
        <v>0</v>
      </c>
      <c r="AK12" s="97"/>
      <c r="AL12" s="108"/>
      <c r="AM12" s="108">
        <f>IF($Z12=$Z13,$T16-$S17,0)</f>
        <v>0</v>
      </c>
      <c r="AN12" s="108">
        <f>IF($Z12=$Z14,$U16-$S18,0)</f>
        <v>0</v>
      </c>
      <c r="AO12" s="108">
        <f>IF($Z12=$Z15,$V16-$S19,0)</f>
        <v>0</v>
      </c>
      <c r="AP12" s="108">
        <f>SUM(AL12:AO12)</f>
        <v>0</v>
      </c>
      <c r="AQ12" s="108"/>
      <c r="AR12" s="108">
        <f>IF($Z12=$Z13,$T16,0)</f>
        <v>0</v>
      </c>
      <c r="AS12" s="108">
        <f>IF($Z12=$Z14,$U16,0)</f>
        <v>0</v>
      </c>
      <c r="AT12" s="108">
        <f>IF($Z12=$Z15,$V16,0)</f>
        <v>0</v>
      </c>
      <c r="AU12" s="108">
        <f>SUM(AQ12:AT12)</f>
        <v>0</v>
      </c>
      <c r="AV12" s="97">
        <v>4</v>
      </c>
      <c r="AW12" s="96"/>
      <c r="BB12" s="3" t="s">
        <v>19</v>
      </c>
      <c r="BC12" s="3" t="s">
        <v>20</v>
      </c>
      <c r="BD12" s="86"/>
      <c r="BE12" s="86"/>
      <c r="BF12" s="86"/>
      <c r="BG12" s="86"/>
      <c r="BL12" s="1"/>
      <c r="BM12" s="10" t="str">
        <f>VLOOKUP(1,$BX$12:$CC$15,2,FALSE)</f>
        <v>Polen</v>
      </c>
      <c r="BN12" s="2">
        <f>VLOOKUP(1,$BX$12:$CC$15,3,FALSE)</f>
        <v>6</v>
      </c>
      <c r="BO12" s="2">
        <f>VLOOKUP(1,$BX$12:$CC$15,4,FALSE)</f>
        <v>10</v>
      </c>
      <c r="BP12" s="2">
        <f>VLOOKUP(1,$BX$12:$CC$15,5,FALSE)</f>
        <v>8</v>
      </c>
      <c r="BQ12" s="2">
        <f>VLOOKUP(1,$BX$12:$CC$15,6,FALSE)</f>
        <v>2</v>
      </c>
      <c r="BS12" s="92"/>
      <c r="BT12" s="93">
        <f>IF(BH13="",0,IF(BK13=$B$65,IF(BH13&gt;BJ13,3,IF(BH13=BJ13,1,0)),0))</f>
        <v>3</v>
      </c>
      <c r="BU12" s="93">
        <f>IF(BH15="",0,IF(BK15=$B$65,IF(BH15&gt;BJ15,3,IF(BH15=BJ15,1,0)),0))</f>
        <v>0</v>
      </c>
      <c r="BV12" s="93">
        <f>IF(BJ17="",0,IF(BK18=$B$65,IF(BH17&lt;BJ17,3,IF(BH17=BJ17,1,0)),0))</f>
        <v>3</v>
      </c>
      <c r="BW12" s="1"/>
      <c r="BX12" s="1">
        <f>RANK(CD12,$CD$12:$CD$15)</f>
        <v>3</v>
      </c>
      <c r="BY12" s="95" t="s">
        <v>64</v>
      </c>
      <c r="BZ12" s="1">
        <f>SUM(BS12:BV12)</f>
        <v>6</v>
      </c>
      <c r="CA12" s="1">
        <f>SUM(BS16:BV16)</f>
        <v>11</v>
      </c>
      <c r="CB12" s="1">
        <f>SUM(BS16:BS19)</f>
        <v>10</v>
      </c>
      <c r="CC12" s="1">
        <f>CA12-CB12</f>
        <v>1</v>
      </c>
      <c r="CD12" s="28">
        <f>IF(BP$18="",(((((((CE12*10+BZ12)*100+CC12)*100+CA12)*10+CK12)*10+CJ12)*100+CP12)*100+CU12)*10+CV12,(((((((CE12*10+BZ12)*10+CK12)*10+CJ12)*100+CP12)*100+CU12)*100+CC12)*100+CA12)*10+CV12)</f>
        <v>599980601114</v>
      </c>
      <c r="CE12" s="5"/>
      <c r="CF12" s="109"/>
      <c r="CG12" s="109">
        <f>IF($BZ12=$BZ13,$BT12-$BS13,0)</f>
        <v>0</v>
      </c>
      <c r="CH12" s="109">
        <f>IF($BZ12=$BZ14,$BU12-$BS14,0)</f>
        <v>-3</v>
      </c>
      <c r="CI12" s="109">
        <f>IF($BZ12=$BZ15,$BV12-$BS15,0)</f>
        <v>3</v>
      </c>
      <c r="CJ12" s="109">
        <f>SUM(CF12:CI12)</f>
        <v>0</v>
      </c>
      <c r="CK12" s="5"/>
      <c r="CL12" s="109"/>
      <c r="CM12" s="109">
        <f>IF($BZ12=$BZ13,$BT16-$BS17,0)</f>
        <v>0</v>
      </c>
      <c r="CN12" s="109">
        <f>IF($BZ12=$BZ14,$BU16-$BS18,0)</f>
        <v>-3</v>
      </c>
      <c r="CO12" s="109">
        <f>IF($BZ12=$BZ15,$BV16-$BS19,0)</f>
        <v>1</v>
      </c>
      <c r="CP12" s="109">
        <f>SUM(CL12:CO12)</f>
        <v>-2</v>
      </c>
      <c r="CQ12" s="109"/>
      <c r="CR12" s="109">
        <f>IF($BZ12=$BZ13,$BT16,0)</f>
        <v>0</v>
      </c>
      <c r="CS12" s="109">
        <f>IF($BZ12=$BZ14,$BU16,0)</f>
        <v>3</v>
      </c>
      <c r="CT12" s="109">
        <f>IF($BZ12=$BZ15,$BV16,0)</f>
        <v>3</v>
      </c>
      <c r="CU12" s="109">
        <f>SUM(CQ12:CT12)</f>
        <v>6</v>
      </c>
      <c r="CV12" s="5">
        <v>4</v>
      </c>
    </row>
    <row r="13" spans="1:100" ht="12.75">
      <c r="A13" s="2">
        <v>3</v>
      </c>
      <c r="B13" s="7">
        <v>44359.75</v>
      </c>
      <c r="C13" s="4" t="s">
        <v>142</v>
      </c>
      <c r="D13" s="88" t="str">
        <f>Y12</f>
        <v>Dänemark</v>
      </c>
      <c r="E13" s="52" t="s">
        <v>21</v>
      </c>
      <c r="F13" s="88" t="str">
        <f>Y13</f>
        <v>Finnland</v>
      </c>
      <c r="G13" s="87"/>
      <c r="H13" s="110">
        <f aca="true" ca="1" t="shared" si="4" ref="H13:H18">IF($B$66="",1,INT(RAND()*5)+INT(RAND()*3)*INT(RAND()*2))</f>
        <v>4</v>
      </c>
      <c r="I13" s="12" t="s">
        <v>22</v>
      </c>
      <c r="J13" s="110">
        <f aca="true" ca="1" t="shared" si="5" ref="J13:J18">IF($B$66="",0,INT(RAND()*5)+INT(RAND()*3)*INT(RAND()*2))</f>
        <v>1</v>
      </c>
      <c r="K13" s="8" t="s">
        <v>23</v>
      </c>
      <c r="L13" s="1"/>
      <c r="M13" s="10" t="str">
        <f>VLOOKUP(2,$X$12:$AC$15,2,FALSE)</f>
        <v>Belgien</v>
      </c>
      <c r="N13" s="2">
        <f>VLOOKUP(2,$X$12:$AC$15,3,FALSE)</f>
        <v>6</v>
      </c>
      <c r="O13" s="2">
        <f>VLOOKUP(2,$X$12:$AC$15,4,FALSE)</f>
        <v>4</v>
      </c>
      <c r="P13" s="2">
        <f>VLOOKUP(2,$X$12:$AC$15,5,FALSE)</f>
        <v>4</v>
      </c>
      <c r="Q13" s="2">
        <f>VLOOKUP(2,$X$12:$AC$15,6,FALSE)</f>
        <v>0</v>
      </c>
      <c r="S13" s="93">
        <f>IF(J13="",0,IF(K13=$B$65,IF(H13&lt;J13,3,IF(H13=J13,1,0)),0))</f>
        <v>0</v>
      </c>
      <c r="T13" s="92"/>
      <c r="U13" s="93">
        <f>IF(H18="",0,IF(K17=$B$65,IF(H18&gt;J18,3,IF(H18=J18,1,0)),0))</f>
        <v>0</v>
      </c>
      <c r="V13" s="93">
        <f>IF(H16="",0,IF(K16=$B$65,IF(H16&gt;J16,3,IF(H16=J16,1,0)),0))</f>
        <v>3</v>
      </c>
      <c r="W13" s="94"/>
      <c r="X13" s="94">
        <f>RANK(AD13,$AD$12:$AD$15)</f>
        <v>3</v>
      </c>
      <c r="Y13" s="95" t="s">
        <v>152</v>
      </c>
      <c r="Z13" s="94">
        <f>SUM(S13:V13)</f>
        <v>3</v>
      </c>
      <c r="AA13" s="94">
        <f>SUM(S17:V17)</f>
        <v>7</v>
      </c>
      <c r="AB13" s="94">
        <f>SUM(T16:T19)</f>
        <v>8</v>
      </c>
      <c r="AC13" s="94">
        <f>AA13-AB13</f>
        <v>-1</v>
      </c>
      <c r="AD13" s="28">
        <f>IF(P$18="",(((((((AE13*10+Z13)*100+AC13)*100+AA13)*10+AK13)*10+AJ13)*100+AP13)*100+AU13)*10+AV13,(((((((AE13*10+Z13)*10+AK13)*10+AJ13)*100+AP13)*100+AU13)*100+AC13)*100+AA13)*10+AV13)</f>
        <v>299999999073</v>
      </c>
      <c r="AE13" s="97"/>
      <c r="AF13" s="108">
        <f>IF($Z13=$Z12,$S13-$T12,0)</f>
        <v>0</v>
      </c>
      <c r="AG13" s="108"/>
      <c r="AH13" s="108">
        <f>IF($Z13=$Z14,$U13-$T14,0)</f>
        <v>0</v>
      </c>
      <c r="AI13" s="108">
        <f>IF($Z13=$Z15,$V13-$T15,0)</f>
        <v>0</v>
      </c>
      <c r="AJ13" s="108">
        <f>SUM(AF13:AI13)</f>
        <v>0</v>
      </c>
      <c r="AK13" s="97"/>
      <c r="AL13" s="108">
        <f>IF($Z13=$Z12,$S17-$T16,0)</f>
        <v>0</v>
      </c>
      <c r="AM13" s="108"/>
      <c r="AN13" s="108">
        <f>IF($Z13=$Z14,$U17-$T18,0)</f>
        <v>0</v>
      </c>
      <c r="AO13" s="108">
        <f>IF($Z13=$Z15,$V17-$T19,0)</f>
        <v>0</v>
      </c>
      <c r="AP13" s="108">
        <f>SUM(AL13:AO13)</f>
        <v>0</v>
      </c>
      <c r="AQ13" s="108">
        <f>IF($Z13=$Z12,$S17,0)</f>
        <v>0</v>
      </c>
      <c r="AR13" s="108"/>
      <c r="AS13" s="108">
        <f>IF($Z13=$Z14,$U17,0)</f>
        <v>0</v>
      </c>
      <c r="AT13" s="108">
        <f>IF($Z13=$Z15,$V17,0)</f>
        <v>0</v>
      </c>
      <c r="AU13" s="108">
        <f>SUM(AQ13:AT13)</f>
        <v>0</v>
      </c>
      <c r="AV13" s="97">
        <v>3</v>
      </c>
      <c r="AW13" s="96"/>
      <c r="BA13" s="2">
        <v>9</v>
      </c>
      <c r="BB13" s="7">
        <v>44361.875</v>
      </c>
      <c r="BC13" s="4" t="s">
        <v>167</v>
      </c>
      <c r="BD13" s="88" t="str">
        <f>BY12</f>
        <v>Spanien</v>
      </c>
      <c r="BE13" s="52" t="s">
        <v>21</v>
      </c>
      <c r="BF13" s="88" t="str">
        <f>BY13</f>
        <v>Schweden</v>
      </c>
      <c r="BG13" s="87"/>
      <c r="BH13" s="110">
        <f aca="true" ca="1" t="shared" si="6" ref="BH13:BH18">IF($B$66="",1,INT(RAND()*5)+INT(RAND()*3)*INT(RAND()*2))</f>
        <v>5</v>
      </c>
      <c r="BI13" s="12" t="s">
        <v>22</v>
      </c>
      <c r="BJ13" s="110">
        <f aca="true" ca="1" t="shared" si="7" ref="BJ13:BJ18">IF($B$66="",0,INT(RAND()*5)+INT(RAND()*3)*INT(RAND()*2))</f>
        <v>2</v>
      </c>
      <c r="BK13" s="8" t="s">
        <v>23</v>
      </c>
      <c r="BL13" s="1"/>
      <c r="BM13" s="10" t="str">
        <f>VLOOKUP(2,$BX$12:$CC$15,2,FALSE)</f>
        <v>Slowakei</v>
      </c>
      <c r="BN13" s="2">
        <f>VLOOKUP(2,$BX$12:$CC$15,3,FALSE)</f>
        <v>6</v>
      </c>
      <c r="BO13" s="2">
        <f>VLOOKUP(2,$BX$12:$CC$15,4,FALSE)</f>
        <v>11</v>
      </c>
      <c r="BP13" s="2">
        <f>VLOOKUP(2,$BX$12:$CC$15,5,FALSE)</f>
        <v>7</v>
      </c>
      <c r="BQ13" s="2">
        <f>VLOOKUP(2,$BX$12:$CC$15,6,FALSE)</f>
        <v>4</v>
      </c>
      <c r="BS13" s="93">
        <f>IF(BJ13="",0,IF(BK13=$B$65,IF(BH13&lt;BJ13,3,IF(BH13=BJ13,1,0)),0))</f>
        <v>0</v>
      </c>
      <c r="BT13" s="92"/>
      <c r="BU13" s="93">
        <f>IF(BH18="",0,IF(BK17=$B$65,IF(BH18&gt;BJ18,3,IF(BH18=BJ18,1,0)),0))</f>
        <v>0</v>
      </c>
      <c r="BV13" s="93">
        <f>IF(BH16="",0,IF(BK16=$B$65,IF(BH16&gt;BJ16,3,IF(BH16=BJ16,1,0)),0))</f>
        <v>0</v>
      </c>
      <c r="BW13" s="1"/>
      <c r="BX13" s="1">
        <f>RANK(CD13,$CD$12:$CD$15)</f>
        <v>4</v>
      </c>
      <c r="BY13" s="95" t="s">
        <v>101</v>
      </c>
      <c r="BZ13" s="1">
        <f>SUM(BS13:BV13)</f>
        <v>0</v>
      </c>
      <c r="CA13" s="1">
        <f>SUM(BS17:BV17)</f>
        <v>3</v>
      </c>
      <c r="CB13" s="1">
        <f>SUM(BT16:BT19)</f>
        <v>10</v>
      </c>
      <c r="CC13" s="1">
        <f>CA13-CB13</f>
        <v>-7</v>
      </c>
      <c r="CD13" s="28">
        <f>IF(BP$18="",(((((((CE13*10+BZ13)*100+CC13)*100+CA13)*10+CK13)*10+CJ13)*100+CP13)*100+CU13)*10+CV13,(((((((CE13*10+BZ13)*10+CK13)*10+CJ13)*100+CP13)*100+CU13)*100+CC13)*100+CA13)*10+CV13)</f>
        <v>-6967</v>
      </c>
      <c r="CE13" s="5"/>
      <c r="CF13" s="109">
        <f>IF($BZ13=$BZ12,$BS13-$BT12,0)</f>
        <v>0</v>
      </c>
      <c r="CG13" s="109"/>
      <c r="CH13" s="109">
        <f>IF($BZ13=$BZ14,$BU13-$BT14,0)</f>
        <v>0</v>
      </c>
      <c r="CI13" s="109">
        <f>IF($BZ13=$BZ15,$BV13-$BT15,0)</f>
        <v>0</v>
      </c>
      <c r="CJ13" s="109">
        <f>SUM(CF13:CI13)</f>
        <v>0</v>
      </c>
      <c r="CK13" s="5"/>
      <c r="CL13" s="109">
        <f>IF($BZ13=$BZ12,$BS17-$BT16,0)</f>
        <v>0</v>
      </c>
      <c r="CM13" s="109"/>
      <c r="CN13" s="109">
        <f>IF($BZ13=$BZ14,$BU17-$BT18,0)</f>
        <v>0</v>
      </c>
      <c r="CO13" s="109">
        <f>IF($BZ13=$BZ15,$BV17-$BT19,0)</f>
        <v>0</v>
      </c>
      <c r="CP13" s="109">
        <f>SUM(CL13:CO13)</f>
        <v>0</v>
      </c>
      <c r="CQ13" s="109">
        <f>IF($BZ13=$BZ12,$BS17,0)</f>
        <v>0</v>
      </c>
      <c r="CR13" s="109"/>
      <c r="CS13" s="109">
        <f>IF($BZ13=$BZ14,$BU17,0)</f>
        <v>0</v>
      </c>
      <c r="CT13" s="109">
        <f>IF($BZ13=$BZ15,$BV17,0)</f>
        <v>0</v>
      </c>
      <c r="CU13" s="109">
        <f>SUM(CQ13:CT13)</f>
        <v>0</v>
      </c>
      <c r="CV13" s="5">
        <v>3</v>
      </c>
    </row>
    <row r="14" spans="1:100" ht="12.75">
      <c r="A14" s="2">
        <v>4</v>
      </c>
      <c r="B14" s="7">
        <v>44359.875</v>
      </c>
      <c r="C14" s="4" t="s">
        <v>135</v>
      </c>
      <c r="D14" s="88" t="str">
        <f>Y14</f>
        <v>Belgien</v>
      </c>
      <c r="E14" s="52" t="s">
        <v>21</v>
      </c>
      <c r="F14" s="88" t="str">
        <f>Y15</f>
        <v>Russland</v>
      </c>
      <c r="G14" s="87"/>
      <c r="H14" s="111">
        <f ca="1" t="shared" si="4"/>
        <v>2</v>
      </c>
      <c r="I14" s="12" t="s">
        <v>22</v>
      </c>
      <c r="J14" s="111">
        <f ca="1" t="shared" si="5"/>
        <v>0</v>
      </c>
      <c r="K14" s="8" t="s">
        <v>23</v>
      </c>
      <c r="L14" s="1"/>
      <c r="M14" s="10" t="str">
        <f>VLOOKUP(3,$X$12:$AC$15,2,FALSE)</f>
        <v>Finnland</v>
      </c>
      <c r="N14" s="2">
        <f>VLOOKUP(3,$X$12:$AC$15,3,FALSE)</f>
        <v>3</v>
      </c>
      <c r="O14" s="2">
        <f>VLOOKUP(3,$X$12:$AC$15,4,FALSE)</f>
        <v>7</v>
      </c>
      <c r="P14" s="2">
        <f>VLOOKUP(3,$X$12:$AC$15,5,FALSE)</f>
        <v>8</v>
      </c>
      <c r="Q14" s="2">
        <f>VLOOKUP(3,$X$12:$AC$15,6,FALSE)</f>
        <v>-1</v>
      </c>
      <c r="S14" s="93">
        <f>IF(J15="",0,IF(K15=$B$65,IF(H15&lt;J15,3,IF(H15=J15,1,0)),0))</f>
        <v>0</v>
      </c>
      <c r="T14" s="93">
        <f>IF(J18="",0,IF(K17=$B$65,IF(H18&lt;J18,3,IF(H18=J18,1,0)),0))</f>
        <v>3</v>
      </c>
      <c r="U14" s="92"/>
      <c r="V14" s="93">
        <f>IF(H14="",0,IF(K14=$B$65,IF(H14&gt;J14,3,IF(H14=J14,1,0)),0))</f>
        <v>3</v>
      </c>
      <c r="W14" s="94"/>
      <c r="X14" s="94">
        <f>RANK(AD14,$AD$12:$AD$15)</f>
        <v>2</v>
      </c>
      <c r="Y14" s="95" t="s">
        <v>154</v>
      </c>
      <c r="Z14" s="94">
        <f>SUM(S14:V14)</f>
        <v>6</v>
      </c>
      <c r="AA14" s="94">
        <f>SUM(S18:V18)</f>
        <v>4</v>
      </c>
      <c r="AB14" s="94">
        <f>SUM(U16:U19)</f>
        <v>4</v>
      </c>
      <c r="AC14" s="94">
        <f>AA14-AB14</f>
        <v>0</v>
      </c>
      <c r="AD14" s="28">
        <f>IF(P$18="",(((((((AE14*10+Z14)*100+AC14)*100+AA14)*10+AK14)*10+AJ14)*100+AP14)*100+AU14)*10+AV14,(((((((AE14*10+Z14)*10+AK14)*10+AJ14)*100+AP14)*100+AU14)*100+AC14)*100+AA14)*10+AV14)</f>
        <v>600000000042</v>
      </c>
      <c r="AE14" s="97"/>
      <c r="AF14" s="108">
        <f>IF($Z14=$Z12,$S14-$U12,0)</f>
        <v>0</v>
      </c>
      <c r="AG14" s="108">
        <f>IF($Z14=$Z13,$T14-$U13,0)</f>
        <v>0</v>
      </c>
      <c r="AH14" s="108"/>
      <c r="AI14" s="108">
        <f>IF($Z14=$Z15,$V14-$U15,0)</f>
        <v>0</v>
      </c>
      <c r="AJ14" s="108">
        <f>SUM(AF14:AI14)</f>
        <v>0</v>
      </c>
      <c r="AK14" s="97"/>
      <c r="AL14" s="108">
        <f>IF($Z14=$Z12,$S18-$U16,0)</f>
        <v>0</v>
      </c>
      <c r="AM14" s="108">
        <f>IF($Z14=$Z13,$T18-$U17,0)</f>
        <v>0</v>
      </c>
      <c r="AN14" s="108"/>
      <c r="AO14" s="108">
        <f>IF($Z14=$Z15,$V18-$U19,0)</f>
        <v>0</v>
      </c>
      <c r="AP14" s="108">
        <f>SUM(AL14:AO14)</f>
        <v>0</v>
      </c>
      <c r="AQ14" s="108">
        <f>IF($Z14=$Z12,$S18,0)</f>
        <v>0</v>
      </c>
      <c r="AR14" s="108">
        <f>IF($Z14=$Z13,$T18,0)</f>
        <v>0</v>
      </c>
      <c r="AS14" s="108"/>
      <c r="AT14" s="108">
        <f>IF($Z14=$Z15,$V18,0)</f>
        <v>0</v>
      </c>
      <c r="AU14" s="108">
        <f>SUM(AQ14:AT14)</f>
        <v>0</v>
      </c>
      <c r="AV14" s="97">
        <v>2</v>
      </c>
      <c r="AW14" s="96"/>
      <c r="BA14" s="2">
        <v>10</v>
      </c>
      <c r="BB14" s="7">
        <v>44361.75</v>
      </c>
      <c r="BC14" s="4" t="s">
        <v>135</v>
      </c>
      <c r="BD14" s="88" t="str">
        <f>BY14</f>
        <v>Polen</v>
      </c>
      <c r="BE14" s="52" t="s">
        <v>21</v>
      </c>
      <c r="BF14" s="88" t="str">
        <f>BY15</f>
        <v>Slowakei</v>
      </c>
      <c r="BG14" s="87"/>
      <c r="BH14" s="111">
        <f ca="1" t="shared" si="6"/>
        <v>3</v>
      </c>
      <c r="BI14" s="12" t="s">
        <v>22</v>
      </c>
      <c r="BJ14" s="111">
        <f ca="1" t="shared" si="7"/>
        <v>5</v>
      </c>
      <c r="BK14" s="8" t="s">
        <v>23</v>
      </c>
      <c r="BL14" s="1"/>
      <c r="BM14" s="10" t="str">
        <f>VLOOKUP(3,$BX$12:$CC$15,2,FALSE)</f>
        <v>Spanien</v>
      </c>
      <c r="BN14" s="2">
        <f>VLOOKUP(3,$BX$12:$CC$15,3,FALSE)</f>
        <v>6</v>
      </c>
      <c r="BO14" s="2">
        <f>VLOOKUP(3,$BX$12:$CC$15,4,FALSE)</f>
        <v>11</v>
      </c>
      <c r="BP14" s="2">
        <f>VLOOKUP(3,$BX$12:$CC$15,5,FALSE)</f>
        <v>10</v>
      </c>
      <c r="BQ14" s="2">
        <f>VLOOKUP(3,$BX$12:$CC$15,6,FALSE)</f>
        <v>1</v>
      </c>
      <c r="BS14" s="93">
        <f>IF(BJ15="",0,IF(BK15=$B$65,IF(BH15&lt;BJ15,3,IF(BH15=BJ15,1,0)),0))</f>
        <v>3</v>
      </c>
      <c r="BT14" s="93">
        <f>IF(BJ18="",0,IF(BK17=$B$65,IF(BH18&lt;BJ18,3,IF(BH18=BJ18,1,0)),0))</f>
        <v>3</v>
      </c>
      <c r="BU14" s="92"/>
      <c r="BV14" s="93">
        <f>IF(BH14="",0,IF(BK14=$B$65,IF(BH14&gt;BJ14,3,IF(BH14=BJ14,1,0)),0))</f>
        <v>0</v>
      </c>
      <c r="BW14" s="1"/>
      <c r="BX14" s="1">
        <f>RANK(CD14,$CD$12:$CD$15)</f>
        <v>1</v>
      </c>
      <c r="BY14" s="95" t="s">
        <v>159</v>
      </c>
      <c r="BZ14" s="1">
        <f>SUM(BS14:BV14)</f>
        <v>6</v>
      </c>
      <c r="CA14" s="1">
        <f>SUM(BS18:BV18)</f>
        <v>10</v>
      </c>
      <c r="CB14" s="1">
        <f>SUM(BU16:BU19)</f>
        <v>8</v>
      </c>
      <c r="CC14" s="1">
        <f>CA14-CB14</f>
        <v>2</v>
      </c>
      <c r="CD14" s="28">
        <f>IF(BP$18="",(((((((CE14*10+BZ14)*100+CC14)*100+CA14)*10+CK14)*10+CJ14)*100+CP14)*100+CU14)*10+CV14,(((((((CE14*10+BZ14)*10+CK14)*10+CJ14)*100+CP14)*100+CU14)*100+CC14)*100+CA14)*10+CV14)</f>
        <v>600010902102</v>
      </c>
      <c r="CE14" s="5"/>
      <c r="CF14" s="109">
        <f>IF($BZ14=$BZ12,$BS14-$BU12,0)</f>
        <v>3</v>
      </c>
      <c r="CG14" s="109">
        <f>IF($BZ14=$BZ13,$BT14-$BU13,0)</f>
        <v>0</v>
      </c>
      <c r="CH14" s="109"/>
      <c r="CI14" s="109">
        <f>IF($BZ14=$BZ15,$BV14-$BU15,0)</f>
        <v>-3</v>
      </c>
      <c r="CJ14" s="109">
        <f>SUM(CF14:CI14)</f>
        <v>0</v>
      </c>
      <c r="CK14" s="5"/>
      <c r="CL14" s="109">
        <f>IF($BZ14=$BZ12,$BS18-$BU16,0)</f>
        <v>3</v>
      </c>
      <c r="CM14" s="109">
        <f>IF($BZ14=$BZ13,$BT18-$BU17,0)</f>
        <v>0</v>
      </c>
      <c r="CN14" s="109"/>
      <c r="CO14" s="109">
        <f>IF($BZ14=$BZ15,$BV18-$BU19,0)</f>
        <v>-2</v>
      </c>
      <c r="CP14" s="109">
        <f>SUM(CL14:CO14)</f>
        <v>1</v>
      </c>
      <c r="CQ14" s="109">
        <f>IF($BZ14=$BZ12,$BS18,0)</f>
        <v>6</v>
      </c>
      <c r="CR14" s="109">
        <f>IF($BZ14=$BZ13,$BT18,0)</f>
        <v>0</v>
      </c>
      <c r="CS14" s="109"/>
      <c r="CT14" s="109">
        <f>IF($BZ14=$BZ15,$BV18,0)</f>
        <v>3</v>
      </c>
      <c r="CU14" s="109">
        <f>SUM(CQ14:CT14)</f>
        <v>9</v>
      </c>
      <c r="CV14" s="5">
        <v>2</v>
      </c>
    </row>
    <row r="15" spans="1:100" ht="12.75">
      <c r="A15" s="2">
        <f>A13+12</f>
        <v>15</v>
      </c>
      <c r="B15" s="7">
        <v>44364.75</v>
      </c>
      <c r="C15" s="4" t="s">
        <v>142</v>
      </c>
      <c r="D15" s="88" t="str">
        <f>Y12</f>
        <v>Dänemark</v>
      </c>
      <c r="E15" s="52" t="s">
        <v>21</v>
      </c>
      <c r="F15" s="88" t="str">
        <f>Y14</f>
        <v>Belgien</v>
      </c>
      <c r="G15" s="87"/>
      <c r="H15" s="111">
        <f ca="1" t="shared" si="4"/>
        <v>3</v>
      </c>
      <c r="I15" s="12" t="s">
        <v>22</v>
      </c>
      <c r="J15" s="111">
        <f ca="1" t="shared" si="5"/>
        <v>0</v>
      </c>
      <c r="K15" s="8" t="s">
        <v>23</v>
      </c>
      <c r="L15" s="1"/>
      <c r="M15" s="10" t="str">
        <f>VLOOKUP(4,$X$12:$AC$15,2,FALSE)</f>
        <v>Russland</v>
      </c>
      <c r="N15" s="2">
        <f>VLOOKUP(4,$X$12:$AC$15,3,FALSE)</f>
        <v>1</v>
      </c>
      <c r="O15" s="2">
        <f>VLOOKUP(4,$X$12:$AC$15,4,FALSE)</f>
        <v>6</v>
      </c>
      <c r="P15" s="2">
        <f>VLOOKUP(4,$X$12:$AC$15,5,FALSE)</f>
        <v>11</v>
      </c>
      <c r="Q15" s="2">
        <f>VLOOKUP(4,$X$12:$AC$15,6,FALSE)</f>
        <v>-5</v>
      </c>
      <c r="S15" s="93">
        <f>IF(H17="",0,IF(K18=$B$65,IF(H17&gt;J17,3,IF(H17=J17,1,0)),0))</f>
        <v>1</v>
      </c>
      <c r="T15" s="93">
        <f>IF(J16="",0,IF(K16=$B$65,IF(H16&lt;J16,3,IF(H16=J16,1,0)),0))</f>
        <v>0</v>
      </c>
      <c r="U15" s="93">
        <f>IF(J14="",0,IF(K14=$B$65,IF(H14&lt;J14,3,IF(H14=J14,1,0)),0))</f>
        <v>0</v>
      </c>
      <c r="V15" s="92"/>
      <c r="W15" s="94"/>
      <c r="X15" s="94">
        <f>RANK(AD15,$AD$12:$AD$15)</f>
        <v>4</v>
      </c>
      <c r="Y15" s="95" t="s">
        <v>153</v>
      </c>
      <c r="Z15" s="94">
        <f>SUM(S15:V15)</f>
        <v>1</v>
      </c>
      <c r="AA15" s="94">
        <f>SUM(S19:V19)</f>
        <v>6</v>
      </c>
      <c r="AB15" s="94">
        <f>SUM(V16:V19)</f>
        <v>11</v>
      </c>
      <c r="AC15" s="94">
        <f>AA15-AB15</f>
        <v>-5</v>
      </c>
      <c r="AD15" s="28">
        <f>IF(P$18="",(((((((AE15*10+Z15)*100+AC15)*100+AA15)*10+AK15)*10+AJ15)*100+AP15)*100+AU15)*10+AV15,(((((((AE15*10+Z15)*10+AK15)*10+AJ15)*100+AP15)*100+AU15)*100+AC15)*100+AA15)*10+AV15)</f>
        <v>99999995061</v>
      </c>
      <c r="AE15" s="97"/>
      <c r="AF15" s="108">
        <f>IF($Z15=$Z12,$S15-$V12,0)</f>
        <v>0</v>
      </c>
      <c r="AG15" s="108">
        <f>IF($Z15=$Z13,$T15-$V13,0)</f>
        <v>0</v>
      </c>
      <c r="AH15" s="108">
        <f>IF($Z15=$Z14,$U15-$V14,0)</f>
        <v>0</v>
      </c>
      <c r="AI15" s="108"/>
      <c r="AJ15" s="108">
        <f>SUM(AF15:AI15)</f>
        <v>0</v>
      </c>
      <c r="AK15" s="97"/>
      <c r="AL15" s="108">
        <f>IF($Z15=$Z12,$S19-$V16,0)</f>
        <v>0</v>
      </c>
      <c r="AM15" s="108">
        <f>IF($Z15=$Z13,$T19-$V17,0)</f>
        <v>0</v>
      </c>
      <c r="AN15" s="108">
        <f>IF($Z15=$Z14,$U19-$V18,0)</f>
        <v>0</v>
      </c>
      <c r="AO15" s="108"/>
      <c r="AP15" s="108">
        <f>SUM(AL15:AO15)</f>
        <v>0</v>
      </c>
      <c r="AQ15" s="108">
        <f>IF($Z15=$Z12,$S19,0)</f>
        <v>0</v>
      </c>
      <c r="AR15" s="108">
        <f>IF($Z15=$Z13,$T19,0)</f>
        <v>0</v>
      </c>
      <c r="AS15" s="108">
        <f>IF($Z15=$Z14,$U19,0)</f>
        <v>0</v>
      </c>
      <c r="AT15" s="108"/>
      <c r="AU15" s="108">
        <f>SUM(AQ15:AT15)</f>
        <v>0</v>
      </c>
      <c r="AV15" s="97">
        <v>1</v>
      </c>
      <c r="AW15" s="96"/>
      <c r="BA15" s="2">
        <f>BA13+12</f>
        <v>21</v>
      </c>
      <c r="BB15" s="7">
        <v>44366.875</v>
      </c>
      <c r="BC15" s="4" t="s">
        <v>167</v>
      </c>
      <c r="BD15" s="88" t="str">
        <f>BY12</f>
        <v>Spanien</v>
      </c>
      <c r="BE15" s="52" t="s">
        <v>21</v>
      </c>
      <c r="BF15" s="88" t="str">
        <f>BY14</f>
        <v>Polen</v>
      </c>
      <c r="BG15" s="87"/>
      <c r="BH15" s="111">
        <f ca="1" t="shared" si="6"/>
        <v>3</v>
      </c>
      <c r="BI15" s="12" t="s">
        <v>22</v>
      </c>
      <c r="BJ15" s="111">
        <f ca="1" t="shared" si="7"/>
        <v>6</v>
      </c>
      <c r="BK15" s="8" t="s">
        <v>23</v>
      </c>
      <c r="BL15" s="1"/>
      <c r="BM15" s="10" t="str">
        <f>VLOOKUP(4,$BX$12:CC$15,2,FALSE)</f>
        <v>Schweden</v>
      </c>
      <c r="BN15" s="2">
        <f>VLOOKUP(4,$BX$12:$CC$15,3,FALSE)</f>
        <v>0</v>
      </c>
      <c r="BO15" s="2">
        <f>VLOOKUP(4,$BX$12:$CC$15,4,FALSE)</f>
        <v>3</v>
      </c>
      <c r="BP15" s="2">
        <f>VLOOKUP(4,$BX$12:$CC$15,5,FALSE)</f>
        <v>10</v>
      </c>
      <c r="BQ15" s="2">
        <f>VLOOKUP(4,$BX$12:$CC$15,6,FALSE)</f>
        <v>-7</v>
      </c>
      <c r="BS15" s="93">
        <f>IF(BH17="",0,IF(BK18=$B$65,IF(BH17&gt;BJ17,3,IF(BH17=BJ17,1,0)),0))</f>
        <v>0</v>
      </c>
      <c r="BT15" s="93">
        <f>IF(BJ16="",0,IF(BK16=$B$65,IF(BH16&lt;BJ16,3,IF(BH16=BJ16,1,0)),0))</f>
        <v>3</v>
      </c>
      <c r="BU15" s="93">
        <f>IF(BJ14="",0,IF(BK14=$B$65,IF(BH14&lt;BJ14,3,IF(BH14=BJ14,1,0)),0))</f>
        <v>3</v>
      </c>
      <c r="BV15" s="92"/>
      <c r="BW15" s="1"/>
      <c r="BX15" s="1">
        <f>RANK(CD15,$CD$12:$CD$15)</f>
        <v>2</v>
      </c>
      <c r="BY15" s="95" t="s">
        <v>168</v>
      </c>
      <c r="BZ15" s="1">
        <f>SUM(BS15:BV15)</f>
        <v>6</v>
      </c>
      <c r="CA15" s="1">
        <f>SUM(BS19:BV19)</f>
        <v>11</v>
      </c>
      <c r="CB15" s="1">
        <f>SUM(BV16:BV19)</f>
        <v>7</v>
      </c>
      <c r="CC15" s="1">
        <f>CA15-CB15</f>
        <v>4</v>
      </c>
      <c r="CD15" s="28">
        <f>IF(BP$18="",(((((((CE15*10+BZ15)*100+CC15)*100+CA15)*10+CK15)*10+CJ15)*100+CP15)*100+CU15)*10+CV15,(((((((CE15*10+BZ15)*10+CK15)*10+CJ15)*100+CP15)*100+CU15)*100+CC15)*100+CA15)*10+CV15)</f>
        <v>600010704111</v>
      </c>
      <c r="CE15" s="5"/>
      <c r="CF15" s="109">
        <f>IF($BZ15=$BZ12,$BS15-$BV12,0)</f>
        <v>-3</v>
      </c>
      <c r="CG15" s="109">
        <f>IF($BZ15=$BZ13,$BT15-$BV13,0)</f>
        <v>0</v>
      </c>
      <c r="CH15" s="109">
        <f>IF($BZ15=$BZ14,$BU15-$BV14,0)</f>
        <v>3</v>
      </c>
      <c r="CI15" s="109"/>
      <c r="CJ15" s="109">
        <f>SUM(CF15:CI15)</f>
        <v>0</v>
      </c>
      <c r="CK15" s="5"/>
      <c r="CL15" s="109">
        <f>IF($BZ15=$BZ12,$BS19-$BV16,0)</f>
        <v>-1</v>
      </c>
      <c r="CM15" s="109">
        <f>IF($BZ15=$BZ13,$BT19-$BV17,0)</f>
        <v>0</v>
      </c>
      <c r="CN15" s="109">
        <f>IF($BZ15=$BZ14,$BU19-$BV18,0)</f>
        <v>2</v>
      </c>
      <c r="CO15" s="109"/>
      <c r="CP15" s="109">
        <f>SUM(CL15:CO15)</f>
        <v>1</v>
      </c>
      <c r="CQ15" s="109">
        <f>IF($BZ15=$BZ12,$BS19,0)</f>
        <v>2</v>
      </c>
      <c r="CR15" s="109">
        <f>IF($BZ15=$BZ13,$BT19,0)</f>
        <v>0</v>
      </c>
      <c r="CS15" s="109">
        <f>IF($BZ15=$BZ14,$BU19,0)</f>
        <v>5</v>
      </c>
      <c r="CT15" s="109"/>
      <c r="CU15" s="109">
        <f>SUM(CQ15:CT15)</f>
        <v>7</v>
      </c>
      <c r="CV15" s="5">
        <v>1</v>
      </c>
    </row>
    <row r="16" spans="1:100" ht="12.75">
      <c r="A16" s="2">
        <f>A14+12</f>
        <v>16</v>
      </c>
      <c r="B16" s="4">
        <v>44363.625</v>
      </c>
      <c r="C16" s="4" t="s">
        <v>135</v>
      </c>
      <c r="D16" s="88" t="str">
        <f>Y13</f>
        <v>Finnland</v>
      </c>
      <c r="E16" s="52" t="s">
        <v>21</v>
      </c>
      <c r="F16" s="88" t="str">
        <f>Y15</f>
        <v>Russland</v>
      </c>
      <c r="G16" s="87"/>
      <c r="H16" s="111">
        <f ca="1" t="shared" si="4"/>
        <v>5</v>
      </c>
      <c r="I16" s="12" t="s">
        <v>22</v>
      </c>
      <c r="J16" s="111">
        <f ca="1" t="shared" si="5"/>
        <v>2</v>
      </c>
      <c r="K16" s="8" t="s">
        <v>23</v>
      </c>
      <c r="L16" s="1"/>
      <c r="N16" s="1"/>
      <c r="O16" s="1"/>
      <c r="P16" s="1"/>
      <c r="S16" s="92"/>
      <c r="T16" s="93">
        <f>IF(K13=$B$65,H13,0)</f>
        <v>4</v>
      </c>
      <c r="U16" s="93">
        <f>IF(K15=$B$65,H15,0)</f>
        <v>3</v>
      </c>
      <c r="V16" s="93">
        <f>IF(K18=$B$65,J17,0)</f>
        <v>4</v>
      </c>
      <c r="W16" s="94"/>
      <c r="X16" s="94"/>
      <c r="Y16" s="94"/>
      <c r="Z16" s="94"/>
      <c r="AA16" s="94"/>
      <c r="AB16" s="94"/>
      <c r="AC16" s="94"/>
      <c r="AD16" s="98"/>
      <c r="AE16" s="99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V16" s="108"/>
      <c r="AW16" s="96"/>
      <c r="BA16" s="2">
        <f>BA14+12</f>
        <v>22</v>
      </c>
      <c r="BB16" s="7">
        <v>44365.625</v>
      </c>
      <c r="BC16" s="4" t="s">
        <v>135</v>
      </c>
      <c r="BD16" s="88" t="str">
        <f>BY13</f>
        <v>Schweden</v>
      </c>
      <c r="BE16" s="52" t="s">
        <v>21</v>
      </c>
      <c r="BF16" s="88" t="str">
        <f>BY15</f>
        <v>Slowakei</v>
      </c>
      <c r="BG16" s="87"/>
      <c r="BH16" s="111">
        <f ca="1" t="shared" si="6"/>
        <v>1</v>
      </c>
      <c r="BI16" s="12" t="s">
        <v>22</v>
      </c>
      <c r="BJ16" s="111">
        <f ca="1" t="shared" si="7"/>
        <v>4</v>
      </c>
      <c r="BK16" s="8" t="s">
        <v>23</v>
      </c>
      <c r="BL16" s="1"/>
      <c r="BN16" s="1"/>
      <c r="BO16" s="1"/>
      <c r="BP16" s="1"/>
      <c r="BS16" s="92"/>
      <c r="BT16" s="93">
        <f>IF(BK13=$B$65,BH13,0)</f>
        <v>5</v>
      </c>
      <c r="BU16" s="93">
        <f>IF(BK15=$B$65,BH15,0)</f>
        <v>3</v>
      </c>
      <c r="BV16" s="93">
        <f>IF(BK18=$B$65,BJ17,0)</f>
        <v>3</v>
      </c>
      <c r="BW16" s="1"/>
      <c r="BX16" s="1"/>
      <c r="BY16" s="94"/>
      <c r="BZ16" s="1"/>
      <c r="CA16" s="1"/>
      <c r="CB16" s="1"/>
      <c r="CC16" s="1"/>
      <c r="CD16" s="6"/>
      <c r="CE16" s="8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V16" s="109"/>
    </row>
    <row r="17" spans="1:100" ht="12.75">
      <c r="A17" s="2">
        <f>A15+12</f>
        <v>27</v>
      </c>
      <c r="B17" s="7">
        <v>44368.875</v>
      </c>
      <c r="C17" s="4" t="s">
        <v>142</v>
      </c>
      <c r="D17" s="88" t="str">
        <f>Y15</f>
        <v>Russland</v>
      </c>
      <c r="E17" s="52" t="s">
        <v>21</v>
      </c>
      <c r="F17" s="88" t="str">
        <f>Y12</f>
        <v>Dänemark</v>
      </c>
      <c r="G17" s="86"/>
      <c r="H17" s="110">
        <f ca="1" t="shared" si="4"/>
        <v>4</v>
      </c>
      <c r="I17" s="14" t="s">
        <v>22</v>
      </c>
      <c r="J17" s="110">
        <f ca="1" t="shared" si="5"/>
        <v>4</v>
      </c>
      <c r="K17" s="8" t="s">
        <v>23</v>
      </c>
      <c r="M17" s="45" t="str">
        <f>IF(N12&gt;0,M12,"")</f>
        <v>Dänemark</v>
      </c>
      <c r="N17" s="2" t="s">
        <v>27</v>
      </c>
      <c r="P17" s="34"/>
      <c r="S17" s="93">
        <f>IF(K13=$B$65,J13,0)</f>
        <v>1</v>
      </c>
      <c r="T17" s="92"/>
      <c r="U17" s="93">
        <f>IF(K17=$B$65,H18,0)</f>
        <v>1</v>
      </c>
      <c r="V17" s="93">
        <f>IF(K16=$B$65,H16,0)</f>
        <v>5</v>
      </c>
      <c r="AD17" s="86" t="s">
        <v>118</v>
      </c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V17" s="112"/>
      <c r="AW17" s="96"/>
      <c r="BA17" s="2">
        <f>BA15+12</f>
        <v>33</v>
      </c>
      <c r="BB17" s="7">
        <v>44370.75</v>
      </c>
      <c r="BC17" s="4" t="s">
        <v>167</v>
      </c>
      <c r="BD17" s="88" t="str">
        <f>BY15</f>
        <v>Slowakei</v>
      </c>
      <c r="BE17" s="52" t="s">
        <v>21</v>
      </c>
      <c r="BF17" s="88" t="str">
        <f>BY12</f>
        <v>Spanien</v>
      </c>
      <c r="BG17" s="86"/>
      <c r="BH17" s="110">
        <f ca="1" t="shared" si="6"/>
        <v>2</v>
      </c>
      <c r="BI17" s="14" t="s">
        <v>22</v>
      </c>
      <c r="BJ17" s="110">
        <f ca="1" t="shared" si="7"/>
        <v>3</v>
      </c>
      <c r="BK17" s="8" t="s">
        <v>23</v>
      </c>
      <c r="BM17" s="48" t="str">
        <f>IF(BN12&gt;0,BM12,"")</f>
        <v>Polen</v>
      </c>
      <c r="BN17" s="2" t="s">
        <v>36</v>
      </c>
      <c r="BP17" s="34"/>
      <c r="BS17" s="93">
        <f>IF(BK13=$B$65,BJ13,0)</f>
        <v>2</v>
      </c>
      <c r="BT17" s="92"/>
      <c r="BU17" s="93">
        <f>IF(BK17=$B$65,BH18,0)</f>
        <v>0</v>
      </c>
      <c r="BV17" s="93">
        <f>IF(BK16=$B$65,BH16,0)</f>
        <v>1</v>
      </c>
      <c r="CD17" s="2" t="s">
        <v>118</v>
      </c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V17" s="113"/>
    </row>
    <row r="18" spans="1:100" ht="12.75">
      <c r="A18" s="2">
        <f>A16+12</f>
        <v>28</v>
      </c>
      <c r="B18" s="7">
        <v>44368.875</v>
      </c>
      <c r="C18" s="4" t="s">
        <v>135</v>
      </c>
      <c r="D18" s="88" t="str">
        <f>Y13</f>
        <v>Finnland</v>
      </c>
      <c r="E18" s="52" t="s">
        <v>21</v>
      </c>
      <c r="F18" s="88" t="str">
        <f>Y14</f>
        <v>Belgien</v>
      </c>
      <c r="G18" s="86"/>
      <c r="H18" s="111">
        <f ca="1" t="shared" si="4"/>
        <v>1</v>
      </c>
      <c r="I18" s="12" t="s">
        <v>22</v>
      </c>
      <c r="J18" s="111">
        <f ca="1" t="shared" si="5"/>
        <v>2</v>
      </c>
      <c r="K18" s="8" t="s">
        <v>23</v>
      </c>
      <c r="M18" s="45" t="str">
        <f>IF(N13&gt;0,M13,"")</f>
        <v>Belgien</v>
      </c>
      <c r="N18" s="2" t="s">
        <v>28</v>
      </c>
      <c r="O18" s="35"/>
      <c r="P18" s="36" t="s">
        <v>11</v>
      </c>
      <c r="S18" s="93">
        <f>IF(K15=$B$65,J15,0)</f>
        <v>0</v>
      </c>
      <c r="T18" s="93">
        <f>IF(K17=$B$65,J18,0)</f>
        <v>2</v>
      </c>
      <c r="U18" s="92"/>
      <c r="V18" s="93">
        <f>IF(K14=$B$65,H14,0)</f>
        <v>2</v>
      </c>
      <c r="AD18" s="86" t="s">
        <v>119</v>
      </c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V18" s="112"/>
      <c r="AW18" s="96"/>
      <c r="BA18" s="2">
        <f>BA16+12</f>
        <v>34</v>
      </c>
      <c r="BB18" s="7">
        <v>44370.75</v>
      </c>
      <c r="BC18" s="4" t="s">
        <v>135</v>
      </c>
      <c r="BD18" s="88" t="str">
        <f>BY13</f>
        <v>Schweden</v>
      </c>
      <c r="BE18" s="52" t="s">
        <v>21</v>
      </c>
      <c r="BF18" s="88" t="str">
        <f>BY14</f>
        <v>Polen</v>
      </c>
      <c r="BG18" s="86"/>
      <c r="BH18" s="111">
        <f ca="1" t="shared" si="6"/>
        <v>0</v>
      </c>
      <c r="BI18" s="12" t="s">
        <v>22</v>
      </c>
      <c r="BJ18" s="111">
        <f ca="1" t="shared" si="7"/>
        <v>1</v>
      </c>
      <c r="BK18" s="8" t="s">
        <v>23</v>
      </c>
      <c r="BM18" s="48" t="str">
        <f>IF(BN13&gt;0,BM13,"")</f>
        <v>Slowakei</v>
      </c>
      <c r="BN18" s="2" t="s">
        <v>37</v>
      </c>
      <c r="BO18" s="35"/>
      <c r="BP18" s="36" t="s">
        <v>11</v>
      </c>
      <c r="BS18" s="93">
        <f>IF(BK15=$B$65,BJ15,0)</f>
        <v>6</v>
      </c>
      <c r="BT18" s="93">
        <f>IF(BK17=$B$65,BJ18,0)</f>
        <v>1</v>
      </c>
      <c r="BU18" s="92"/>
      <c r="BV18" s="93">
        <f>IF(BK14=$B$65,BH14,0)</f>
        <v>3</v>
      </c>
      <c r="CD18" s="2" t="s">
        <v>119</v>
      </c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V18" s="113"/>
    </row>
    <row r="19" spans="4:100" ht="12.75">
      <c r="D19" s="86"/>
      <c r="E19" s="86"/>
      <c r="F19" s="86"/>
      <c r="G19" s="86"/>
      <c r="M19" s="45" t="str">
        <f>IF(N14&gt;0,M14,"")</f>
        <v>Finnland</v>
      </c>
      <c r="N19" s="2" t="s">
        <v>74</v>
      </c>
      <c r="S19" s="93">
        <f>IF(K18=$B$65,H17,0)</f>
        <v>4</v>
      </c>
      <c r="T19" s="93">
        <f>IF(K16=$B$65,J16,0)</f>
        <v>2</v>
      </c>
      <c r="U19" s="93">
        <f>IF(K14=$B$65,J14,0)</f>
        <v>0</v>
      </c>
      <c r="V19" s="92"/>
      <c r="AD19" s="86" t="s">
        <v>120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V19" s="112"/>
      <c r="AW19" s="96"/>
      <c r="BB19" s="2" t="s">
        <v>2</v>
      </c>
      <c r="BD19" s="86"/>
      <c r="BE19" s="86"/>
      <c r="BF19" s="86"/>
      <c r="BG19" s="86"/>
      <c r="BM19" s="48" t="str">
        <f>IF(BN14&gt;0,BM14,"")</f>
        <v>Spanien</v>
      </c>
      <c r="BN19" s="2" t="s">
        <v>75</v>
      </c>
      <c r="BS19" s="93">
        <f>IF(BK18=$B$65,BH17,0)</f>
        <v>2</v>
      </c>
      <c r="BT19" s="93">
        <f>IF(BK16=$B$65,BJ16,0)</f>
        <v>4</v>
      </c>
      <c r="BU19" s="93">
        <f>IF(BK14=$B$65,BJ14,0)</f>
        <v>5</v>
      </c>
      <c r="BV19" s="92"/>
      <c r="CD19" s="2" t="s">
        <v>120</v>
      </c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V19" s="113"/>
    </row>
    <row r="20" spans="4:100" ht="6" customHeight="1">
      <c r="D20" s="86"/>
      <c r="E20" s="89"/>
      <c r="F20" s="91"/>
      <c r="G20" s="91"/>
      <c r="H20" s="86"/>
      <c r="I20" s="86"/>
      <c r="J20" s="86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V20" s="112"/>
      <c r="AW20" s="96"/>
      <c r="BD20" s="86"/>
      <c r="BE20" s="89"/>
      <c r="BF20" s="91"/>
      <c r="BG20" s="91"/>
      <c r="BH20" s="86"/>
      <c r="BI20" s="86"/>
      <c r="BJ20" s="86"/>
      <c r="BS20" s="86"/>
      <c r="BT20" s="86"/>
      <c r="BU20" s="86"/>
      <c r="BV20" s="86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V20" s="113"/>
    </row>
    <row r="21" spans="2:100" s="11" customFormat="1" ht="12.75">
      <c r="B21" s="31" t="s">
        <v>0</v>
      </c>
      <c r="C21" s="29" t="s">
        <v>29</v>
      </c>
      <c r="D21" s="87" t="s">
        <v>2</v>
      </c>
      <c r="E21" s="101"/>
      <c r="F21" s="87"/>
      <c r="G21" s="87"/>
      <c r="H21" s="22"/>
      <c r="I21" s="21"/>
      <c r="J21" s="22"/>
      <c r="K21" s="23"/>
      <c r="L21" s="18"/>
      <c r="M21" s="43" t="s">
        <v>3</v>
      </c>
      <c r="N21" s="18" t="s">
        <v>4</v>
      </c>
      <c r="O21" s="18" t="s">
        <v>5</v>
      </c>
      <c r="P21" s="18" t="s">
        <v>6</v>
      </c>
      <c r="Q21" s="18" t="s">
        <v>7</v>
      </c>
      <c r="R21" s="18"/>
      <c r="S21" s="86"/>
      <c r="T21" s="86"/>
      <c r="U21" s="86"/>
      <c r="V21" s="86"/>
      <c r="W21" s="87"/>
      <c r="X21" s="87" t="s">
        <v>8</v>
      </c>
      <c r="Y21" s="88" t="s">
        <v>9</v>
      </c>
      <c r="Z21" s="87" t="s">
        <v>4</v>
      </c>
      <c r="AA21" s="87" t="s">
        <v>5</v>
      </c>
      <c r="AB21" s="87" t="s">
        <v>6</v>
      </c>
      <c r="AC21" s="87" t="s">
        <v>7</v>
      </c>
      <c r="AD21" s="87"/>
      <c r="AE21" s="21" t="s">
        <v>10</v>
      </c>
      <c r="AF21" s="52" t="s">
        <v>11</v>
      </c>
      <c r="AG21" s="52"/>
      <c r="AH21" s="52"/>
      <c r="AI21" s="52"/>
      <c r="AJ21" s="52" t="s">
        <v>12</v>
      </c>
      <c r="AK21" s="88" t="s">
        <v>13</v>
      </c>
      <c r="AL21" s="52" t="s">
        <v>14</v>
      </c>
      <c r="AM21" s="52"/>
      <c r="AN21" s="52"/>
      <c r="AO21" s="52"/>
      <c r="AP21" s="52" t="s">
        <v>15</v>
      </c>
      <c r="AQ21" s="52" t="s">
        <v>16</v>
      </c>
      <c r="AR21" s="52"/>
      <c r="AS21" s="52"/>
      <c r="AT21" s="52"/>
      <c r="AU21" s="89" t="s">
        <v>17</v>
      </c>
      <c r="AV21" s="88" t="s">
        <v>18</v>
      </c>
      <c r="AW21" s="90"/>
      <c r="AX21" s="91"/>
      <c r="AY21" s="91"/>
      <c r="AZ21" s="91"/>
      <c r="BB21" s="39" t="s">
        <v>0</v>
      </c>
      <c r="BC21" s="49" t="s">
        <v>38</v>
      </c>
      <c r="BD21" s="87" t="s">
        <v>2</v>
      </c>
      <c r="BE21" s="101"/>
      <c r="BF21" s="87"/>
      <c r="BG21" s="87"/>
      <c r="BH21" s="22"/>
      <c r="BI21" s="21"/>
      <c r="BJ21" s="22"/>
      <c r="BK21" s="23"/>
      <c r="BL21" s="18"/>
      <c r="BM21" s="43" t="s">
        <v>3</v>
      </c>
      <c r="BN21" s="18" t="s">
        <v>4</v>
      </c>
      <c r="BO21" s="18" t="s">
        <v>5</v>
      </c>
      <c r="BP21" s="18" t="s">
        <v>6</v>
      </c>
      <c r="BQ21" s="18" t="s">
        <v>7</v>
      </c>
      <c r="BR21" s="18"/>
      <c r="BS21" s="86"/>
      <c r="BT21" s="86"/>
      <c r="BU21" s="86"/>
      <c r="BV21" s="86"/>
      <c r="BW21" s="18"/>
      <c r="BX21" s="18" t="s">
        <v>8</v>
      </c>
      <c r="BY21" s="88" t="s">
        <v>9</v>
      </c>
      <c r="BZ21" s="18" t="s">
        <v>4</v>
      </c>
      <c r="CA21" s="18" t="s">
        <v>5</v>
      </c>
      <c r="CB21" s="18" t="s">
        <v>6</v>
      </c>
      <c r="CC21" s="18" t="s">
        <v>7</v>
      </c>
      <c r="CD21" s="18"/>
      <c r="CE21" s="23" t="s">
        <v>10</v>
      </c>
      <c r="CF21" s="16" t="s">
        <v>11</v>
      </c>
      <c r="CG21" s="16"/>
      <c r="CH21" s="16"/>
      <c r="CI21" s="16"/>
      <c r="CJ21" s="16" t="s">
        <v>12</v>
      </c>
      <c r="CK21" s="24" t="s">
        <v>13</v>
      </c>
      <c r="CL21" s="16" t="s">
        <v>14</v>
      </c>
      <c r="CM21" s="16"/>
      <c r="CN21" s="16"/>
      <c r="CO21" s="16"/>
      <c r="CP21" s="16" t="s">
        <v>15</v>
      </c>
      <c r="CQ21" s="16" t="s">
        <v>16</v>
      </c>
      <c r="CR21" s="16"/>
      <c r="CS21" s="16"/>
      <c r="CT21" s="16"/>
      <c r="CU21" s="17" t="s">
        <v>17</v>
      </c>
      <c r="CV21" s="24" t="s">
        <v>18</v>
      </c>
    </row>
    <row r="22" spans="2:100" ht="12.75">
      <c r="B22" s="3" t="s">
        <v>19</v>
      </c>
      <c r="C22" s="3" t="s">
        <v>20</v>
      </c>
      <c r="D22" s="86"/>
      <c r="E22" s="86"/>
      <c r="F22" s="86"/>
      <c r="G22" s="86"/>
      <c r="L22" s="1"/>
      <c r="M22" s="10" t="str">
        <f>VLOOKUP(1,$X$22:$AC$25,2,FALSE)</f>
        <v>N'Mazedonien</v>
      </c>
      <c r="N22" s="2">
        <f>VLOOKUP(1,$X$22:$AC$25,3,FALSE)</f>
        <v>5</v>
      </c>
      <c r="O22" s="2">
        <f>VLOOKUP(1,$X$22:$AC$25,4,FALSE)</f>
        <v>6</v>
      </c>
      <c r="P22" s="2">
        <f>VLOOKUP(1,$X$22:$AC$25,5,FALSE)</f>
        <v>5</v>
      </c>
      <c r="Q22" s="2">
        <f>VLOOKUP(1,$X$22:$AC$25,6,FALSE)</f>
        <v>1</v>
      </c>
      <c r="S22" s="92"/>
      <c r="T22" s="93">
        <f>IF(H23="",0,IF(K23=$B$65,IF(H23&gt;J23,3,IF(H23=J23,1,0)),0))</f>
        <v>3</v>
      </c>
      <c r="U22" s="93">
        <f>IF(H25="",0,IF(K25=$B$65,IF(H25&gt;J25,3,IF(H25=J25,1,0)),0))</f>
        <v>0</v>
      </c>
      <c r="V22" s="93">
        <f>IF(J27="",0,IF(K28=$B$65,IF(H27&lt;J27,3,IF(H27=J27,1,0)),0))</f>
        <v>1</v>
      </c>
      <c r="W22" s="94"/>
      <c r="X22" s="94">
        <f>RANK(AD22,$AD$22:$AD$25)</f>
        <v>2</v>
      </c>
      <c r="Y22" s="95" t="s">
        <v>68</v>
      </c>
      <c r="Z22" s="94">
        <f>SUM(S22:V22)</f>
        <v>4</v>
      </c>
      <c r="AA22" s="94">
        <f>SUM(S26:V26)</f>
        <v>8</v>
      </c>
      <c r="AB22" s="94">
        <f>SUM(S26:S29)</f>
        <v>5</v>
      </c>
      <c r="AC22" s="94">
        <f>AA22-AB22</f>
        <v>3</v>
      </c>
      <c r="AD22" s="28">
        <f>IF(P$28="",(((((((AE22*10+Z22)*100+AC22)*100+AA22)*10+AK22)*10+AJ22)*100+AP22)*100+AU22)*10+AV22,(((((((AE22*10+Z22)*10+AK22)*10+AJ22)*100+AP22)*100+AU22)*100+AC22)*100+AA22)*10+AV22)</f>
        <v>403060603084</v>
      </c>
      <c r="AE22" s="97"/>
      <c r="AF22" s="108"/>
      <c r="AG22" s="108">
        <f>IF($Z22=$Z23,$T22-$S23,0)</f>
        <v>3</v>
      </c>
      <c r="AH22" s="108">
        <f>IF($Z22=$Z24,$U22-$S24,0)</f>
        <v>0</v>
      </c>
      <c r="AI22" s="108">
        <f>IF($Z22=$Z25,$V22-$S25,0)</f>
        <v>0</v>
      </c>
      <c r="AJ22" s="108">
        <f>SUM(AF22:AI22)</f>
        <v>3</v>
      </c>
      <c r="AK22" s="97"/>
      <c r="AL22" s="108"/>
      <c r="AM22" s="108">
        <f>IF($Z22=$Z23,$T26-$S27,0)</f>
        <v>6</v>
      </c>
      <c r="AN22" s="108">
        <f>IF($Z22=$Z24,$U26-$S28,0)</f>
        <v>0</v>
      </c>
      <c r="AO22" s="108">
        <f>IF($Z22=$Z25,$V26-$S29,0)</f>
        <v>0</v>
      </c>
      <c r="AP22" s="108">
        <f>SUM(AL22:AO22)</f>
        <v>6</v>
      </c>
      <c r="AQ22" s="108"/>
      <c r="AR22" s="108">
        <f>IF($Z22=$Z23,$T26,0)</f>
        <v>6</v>
      </c>
      <c r="AS22" s="108">
        <f>IF($Z22=$Z24,$U26,0)</f>
        <v>0</v>
      </c>
      <c r="AT22" s="108">
        <f>IF($Z22=$Z25,$V26,0)</f>
        <v>0</v>
      </c>
      <c r="AU22" s="108">
        <f>SUM(AQ22:AT22)</f>
        <v>6</v>
      </c>
      <c r="AV22" s="97">
        <v>4</v>
      </c>
      <c r="AW22" s="96"/>
      <c r="BB22" s="3" t="s">
        <v>19</v>
      </c>
      <c r="BC22" s="3" t="s">
        <v>20</v>
      </c>
      <c r="BD22" s="86"/>
      <c r="BE22" s="86"/>
      <c r="BF22" s="86"/>
      <c r="BG22" s="86"/>
      <c r="BL22" s="1"/>
      <c r="BM22" s="10" t="str">
        <f>VLOOKUP(1,$BX$22:$CC$25,2,FALSE)</f>
        <v>Portugal</v>
      </c>
      <c r="BN22" s="2">
        <f>VLOOKUP(1,$BX$22:$CC$25,3,FALSE)</f>
        <v>9</v>
      </c>
      <c r="BO22" s="2">
        <f>VLOOKUP(1,$BX$22:$CC$25,4,FALSE)</f>
        <v>10</v>
      </c>
      <c r="BP22" s="2">
        <f>VLOOKUP(1,$BX$22:$CC$25,5,FALSE)</f>
        <v>6</v>
      </c>
      <c r="BQ22" s="2">
        <f>VLOOKUP(1,$BX$22:$CC$25,6,FALSE)</f>
        <v>4</v>
      </c>
      <c r="BS22" s="92"/>
      <c r="BT22" s="93">
        <f>IF(BH23="",0,IF(BK23=$B$65,IF(BH23&gt;BJ23,3,IF(BH23=BJ23,1,0)),0))</f>
        <v>0</v>
      </c>
      <c r="BU22" s="93">
        <f>IF(BH25="",0,IF(BK25=$B$65,IF(BH25&gt;BJ25,3,IF(BH25=BJ25,1,0)),0))</f>
        <v>0</v>
      </c>
      <c r="BV22" s="93">
        <f>IF(BJ27="",0,IF(BK28=$B$65,IF(BH27&lt;BJ27,3,IF(BH27=BJ27,1,0)),0))</f>
        <v>3</v>
      </c>
      <c r="BW22" s="1"/>
      <c r="BX22" s="1">
        <f>RANK(CD22,$CD$22:$CD$25)</f>
        <v>2</v>
      </c>
      <c r="BY22" s="95" t="s">
        <v>161</v>
      </c>
      <c r="BZ22" s="1">
        <f>SUM(BS22:BV22)</f>
        <v>3</v>
      </c>
      <c r="CA22" s="1">
        <f>SUM(BS26:BV26)</f>
        <v>9</v>
      </c>
      <c r="CB22" s="1">
        <f>SUM(BS26:BS29)</f>
        <v>9</v>
      </c>
      <c r="CC22" s="1">
        <f>CA22-CB22</f>
        <v>0</v>
      </c>
      <c r="CD22" s="28">
        <f>IF(BP$28="",(((((((CE22*10+BZ22)*100+CC22)*100+CA22)*10+CK22)*10+CJ22)*100+CP22)*100+CU22)*10+CV22,(((((((CE22*10+BZ22)*10+CK22)*10+CJ22)*100+CP22)*100+CU22)*100+CC22)*100+CA22)*10+CV22)</f>
        <v>300010600094</v>
      </c>
      <c r="CE22" s="5"/>
      <c r="CF22" s="109"/>
      <c r="CG22" s="109">
        <f>IF($BZ22=$BZ23,$BT22-$BS23,0)</f>
        <v>0</v>
      </c>
      <c r="CH22" s="109">
        <f>IF($BZ22=$BZ24,$BU22-$BS24,0)</f>
        <v>-3</v>
      </c>
      <c r="CI22" s="109">
        <f>IF($BZ22=$BZ25,$BV22-$BS25,0)</f>
        <v>3</v>
      </c>
      <c r="CJ22" s="109">
        <f>SUM(CF22:CI22)</f>
        <v>0</v>
      </c>
      <c r="CK22" s="5"/>
      <c r="CL22" s="109"/>
      <c r="CM22" s="109">
        <f>IF($BZ22=$BZ23,$BT26-$BS27,0)</f>
        <v>0</v>
      </c>
      <c r="CN22" s="109">
        <f>IF($BZ22=$BZ24,$BU26-$BS28,0)</f>
        <v>-2</v>
      </c>
      <c r="CO22" s="109">
        <f>IF($BZ22=$BZ25,$BV26-$BS29,0)</f>
        <v>3</v>
      </c>
      <c r="CP22" s="109">
        <f>SUM(CL22:CO22)</f>
        <v>1</v>
      </c>
      <c r="CQ22" s="109"/>
      <c r="CR22" s="109">
        <f>IF($BZ22=$BZ23,$BT26,0)</f>
        <v>0</v>
      </c>
      <c r="CS22" s="109">
        <f>IF($BZ22=$BZ24,$BU26,0)</f>
        <v>2</v>
      </c>
      <c r="CT22" s="109">
        <f>IF($BZ22=$BZ25,$BV26,0)</f>
        <v>4</v>
      </c>
      <c r="CU22" s="109">
        <f>SUM(CQ22:CT22)</f>
        <v>6</v>
      </c>
      <c r="CV22" s="5">
        <v>4</v>
      </c>
    </row>
    <row r="23" spans="1:100" ht="12.75">
      <c r="A23" s="2">
        <v>5</v>
      </c>
      <c r="B23" s="7">
        <v>44359.875</v>
      </c>
      <c r="C23" s="4" t="s">
        <v>144</v>
      </c>
      <c r="D23" s="88" t="str">
        <f>Y22</f>
        <v>Niederlande</v>
      </c>
      <c r="E23" s="52" t="s">
        <v>21</v>
      </c>
      <c r="F23" s="88" t="str">
        <f>Y23</f>
        <v>Ukraine</v>
      </c>
      <c r="G23" s="87"/>
      <c r="H23" s="110">
        <f aca="true" ca="1" t="shared" si="8" ref="H23:H28">IF($B$66="",1,INT(RAND()*5)+INT(RAND()*3)*INT(RAND()*2))</f>
        <v>6</v>
      </c>
      <c r="I23" s="12" t="s">
        <v>22</v>
      </c>
      <c r="J23" s="110">
        <f aca="true" ca="1" t="shared" si="9" ref="J23:J28">IF($B$66="",0,INT(RAND()*5)+INT(RAND()*3)*INT(RAND()*2))</f>
        <v>0</v>
      </c>
      <c r="K23" s="8" t="s">
        <v>23</v>
      </c>
      <c r="L23" s="1"/>
      <c r="M23" s="10" t="str">
        <f>VLOOKUP(2,$X$22:$AC$25,2,FALSE)</f>
        <v>Niederlande</v>
      </c>
      <c r="N23" s="2">
        <f>VLOOKUP(2,$X$22:$AC$25,3,FALSE)</f>
        <v>4</v>
      </c>
      <c r="O23" s="2">
        <f>VLOOKUP(2,$X$22:$AC$25,4,FALSE)</f>
        <v>8</v>
      </c>
      <c r="P23" s="2">
        <f>VLOOKUP(2,$X$22:$AC$25,5,FALSE)</f>
        <v>5</v>
      </c>
      <c r="Q23" s="2">
        <f>VLOOKUP(2,$X$22:$AC$25,6,FALSE)</f>
        <v>3</v>
      </c>
      <c r="S23" s="93">
        <f>IF(J23="",0,IF(K23=$B$65,IF(H23&lt;J23,3,IF(H23=J23,1,0)),0))</f>
        <v>0</v>
      </c>
      <c r="T23" s="92"/>
      <c r="U23" s="93">
        <f>IF(H28="",0,IF(K27=$B$65,IF(H28&gt;J28,3,IF(H28=J28,1,0)),0))</f>
        <v>3</v>
      </c>
      <c r="V23" s="93">
        <f>IF(H26="",0,IF(K26=$B$65,IF(H26&gt;J26,3,IF(H26=J26,1,0)),0))</f>
        <v>1</v>
      </c>
      <c r="W23" s="94"/>
      <c r="X23" s="94">
        <f>RANK(AD23,$AD$22:$AD$25)</f>
        <v>3</v>
      </c>
      <c r="Y23" s="95" t="s">
        <v>155</v>
      </c>
      <c r="Z23" s="94">
        <f>SUM(S23:V23)</f>
        <v>4</v>
      </c>
      <c r="AA23" s="94">
        <f>SUM(S27:V27)</f>
        <v>5</v>
      </c>
      <c r="AB23" s="94">
        <f>SUM(T26:T29)</f>
        <v>7</v>
      </c>
      <c r="AC23" s="94">
        <f>AA23-AB23</f>
        <v>-2</v>
      </c>
      <c r="AD23" s="28">
        <f>IF(P$28="",(((((((AE23*10+Z23)*100+AC23)*100+AA23)*10+AK23)*10+AJ23)*100+AP23)*100+AU23)*10+AV23,(((((((AE23*10+Z23)*10+AK23)*10+AJ23)*100+AP23)*100+AU23)*100+AC23)*100+AA23)*10+AV23)</f>
        <v>396939998053</v>
      </c>
      <c r="AE23" s="97"/>
      <c r="AF23" s="108">
        <f>IF($Z23=$Z22,$S23-$T22,0)</f>
        <v>-3</v>
      </c>
      <c r="AG23" s="108"/>
      <c r="AH23" s="108">
        <f>IF($Z23=$Z24,$U23-$T24,0)</f>
        <v>0</v>
      </c>
      <c r="AI23" s="108">
        <f>IF($Z23=$Z25,$V23-$T25,0)</f>
        <v>0</v>
      </c>
      <c r="AJ23" s="108">
        <f>SUM(AF23:AI23)</f>
        <v>-3</v>
      </c>
      <c r="AK23" s="97"/>
      <c r="AL23" s="108">
        <f>IF($Z23=$Z22,$S27-$T26,0)</f>
        <v>-6</v>
      </c>
      <c r="AM23" s="108"/>
      <c r="AN23" s="108">
        <f>IF($Z23=$Z24,$U27-$T28,0)</f>
        <v>0</v>
      </c>
      <c r="AO23" s="108">
        <f>IF($Z23=$Z25,$V27-$T29,0)</f>
        <v>0</v>
      </c>
      <c r="AP23" s="108">
        <f>SUM(AL23:AO23)</f>
        <v>-6</v>
      </c>
      <c r="AQ23" s="108">
        <f>IF($Z23=$Z22,$S27,0)</f>
        <v>0</v>
      </c>
      <c r="AR23" s="108"/>
      <c r="AS23" s="108">
        <f>IF($Z23=$Z24,$U27,0)</f>
        <v>0</v>
      </c>
      <c r="AT23" s="108">
        <f>IF($Z23=$Z25,$V27,0)</f>
        <v>0</v>
      </c>
      <c r="AU23" s="108">
        <f>SUM(AQ23:AT23)</f>
        <v>0</v>
      </c>
      <c r="AV23" s="97">
        <v>3</v>
      </c>
      <c r="AW23" s="96"/>
      <c r="BA23" s="2">
        <v>11</v>
      </c>
      <c r="BB23" s="7">
        <v>44362.75</v>
      </c>
      <c r="BC23" s="4" t="s">
        <v>143</v>
      </c>
      <c r="BD23" s="88" t="str">
        <f>BY22</f>
        <v>Ungarn</v>
      </c>
      <c r="BE23" s="52" t="s">
        <v>21</v>
      </c>
      <c r="BF23" s="88" t="str">
        <f>BY23</f>
        <v>Portugal</v>
      </c>
      <c r="BG23" s="87"/>
      <c r="BH23" s="110">
        <f aca="true" ca="1" t="shared" si="10" ref="BH23:BH28">IF($B$66="",1,INT(RAND()*5)+INT(RAND()*3)*INT(RAND()*2))</f>
        <v>3</v>
      </c>
      <c r="BI23" s="12" t="s">
        <v>22</v>
      </c>
      <c r="BJ23" s="110">
        <f aca="true" ca="1" t="shared" si="11" ref="BJ23:BJ28">IF($B$66="",0,INT(RAND()*5)+INT(RAND()*3)*INT(RAND()*2))</f>
        <v>4</v>
      </c>
      <c r="BK23" s="8" t="s">
        <v>23</v>
      </c>
      <c r="BL23" s="1"/>
      <c r="BM23" s="10" t="str">
        <f>VLOOKUP(2,$BX$22:$CC$25,2,FALSE)</f>
        <v>Ungarn</v>
      </c>
      <c r="BN23" s="2">
        <f>VLOOKUP(2,$BX$22:$CC$25,3,FALSE)</f>
        <v>3</v>
      </c>
      <c r="BO23" s="2">
        <f>VLOOKUP(2,$BX$22:$CC$25,4,FALSE)</f>
        <v>9</v>
      </c>
      <c r="BP23" s="2">
        <f>VLOOKUP(2,$BX$22:$CC$25,5,FALSE)</f>
        <v>9</v>
      </c>
      <c r="BQ23" s="2">
        <f>VLOOKUP(2,$BX$22:$CC$25,6,FALSE)</f>
        <v>0</v>
      </c>
      <c r="BS23" s="93">
        <f>IF(BJ23="",0,IF(BK23=$B$65,IF(BH23&lt;BJ23,3,IF(BH23=BJ23,1,0)),0))</f>
        <v>3</v>
      </c>
      <c r="BT23" s="92"/>
      <c r="BU23" s="93">
        <f>IF(BH28="",0,IF(BK27=$B$65,IF(BH28&gt;BJ28,3,IF(BH28=BJ28,1,0)),0))</f>
        <v>3</v>
      </c>
      <c r="BV23" s="93">
        <f>IF(BH26="",0,IF(BK26=$B$65,IF(BH26&gt;BJ26,3,IF(BH26=BJ26,1,0)),0))</f>
        <v>3</v>
      </c>
      <c r="BW23" s="1"/>
      <c r="BX23" s="1">
        <f>RANK(CD23,$CD$22:$CD$25)</f>
        <v>1</v>
      </c>
      <c r="BY23" s="95" t="s">
        <v>160</v>
      </c>
      <c r="BZ23" s="1">
        <f>SUM(BS23:BV23)</f>
        <v>9</v>
      </c>
      <c r="CA23" s="1">
        <f>SUM(BS27:BV27)</f>
        <v>10</v>
      </c>
      <c r="CB23" s="1">
        <f>SUM(BT26:BT29)</f>
        <v>6</v>
      </c>
      <c r="CC23" s="1">
        <f>CA23-CB23</f>
        <v>4</v>
      </c>
      <c r="CD23" s="28">
        <f>IF(BP$28="",(((((((CE23*10+BZ23)*100+CC23)*100+CA23)*10+CK23)*10+CJ23)*100+CP23)*100+CU23)*10+CV23,(((((((CE23*10+BZ23)*10+CK23)*10+CJ23)*100+CP23)*100+CU23)*100+CC23)*100+CA23)*10+CV23)</f>
        <v>900000004103</v>
      </c>
      <c r="CE23" s="5"/>
      <c r="CF23" s="109">
        <f>IF($BZ23=$BZ22,$BS23-$BT22,0)</f>
        <v>0</v>
      </c>
      <c r="CG23" s="109"/>
      <c r="CH23" s="109">
        <f>IF($BZ23=$BZ24,$BU23-$BT24,0)</f>
        <v>0</v>
      </c>
      <c r="CI23" s="109">
        <f>IF($BZ23=$BZ25,$BV23-$BT25,0)</f>
        <v>0</v>
      </c>
      <c r="CJ23" s="109">
        <f>SUM(CF23:CI23)</f>
        <v>0</v>
      </c>
      <c r="CK23" s="5"/>
      <c r="CL23" s="109">
        <f>IF($BZ23=$BZ22,$BS27-$BT26,0)</f>
        <v>0</v>
      </c>
      <c r="CM23" s="109"/>
      <c r="CN23" s="109">
        <f>IF($BZ23=$BZ24,$BU27-$BT28,0)</f>
        <v>0</v>
      </c>
      <c r="CO23" s="109">
        <f>IF($BZ23=$BZ25,$BV27-$BT29,0)</f>
        <v>0</v>
      </c>
      <c r="CP23" s="109">
        <f>SUM(CL23:CO23)</f>
        <v>0</v>
      </c>
      <c r="CQ23" s="109">
        <f>IF($BZ23=$BZ22,$BS27,0)</f>
        <v>0</v>
      </c>
      <c r="CR23" s="109"/>
      <c r="CS23" s="109">
        <f>IF($BZ23=$BZ24,$BU27,0)</f>
        <v>0</v>
      </c>
      <c r="CT23" s="109">
        <f>IF($BZ23=$BZ25,$BV27,0)</f>
        <v>0</v>
      </c>
      <c r="CU23" s="109">
        <f>SUM(CQ23:CT23)</f>
        <v>0</v>
      </c>
      <c r="CV23" s="5">
        <v>3</v>
      </c>
    </row>
    <row r="24" spans="1:100" ht="12.75">
      <c r="A24" s="2">
        <v>6</v>
      </c>
      <c r="B24" s="7">
        <v>44360.75</v>
      </c>
      <c r="C24" s="4" t="s">
        <v>141</v>
      </c>
      <c r="D24" s="88" t="str">
        <f>Y24</f>
        <v>Österreich</v>
      </c>
      <c r="E24" s="52" t="s">
        <v>21</v>
      </c>
      <c r="F24" s="88" t="str">
        <f>Y25</f>
        <v>N'Mazedonien</v>
      </c>
      <c r="G24" s="87"/>
      <c r="H24" s="111">
        <f ca="1" t="shared" si="8"/>
        <v>2</v>
      </c>
      <c r="I24" s="12" t="s">
        <v>22</v>
      </c>
      <c r="J24" s="111">
        <f ca="1" t="shared" si="9"/>
        <v>3</v>
      </c>
      <c r="K24" s="8" t="s">
        <v>23</v>
      </c>
      <c r="L24" s="1"/>
      <c r="M24" s="10" t="str">
        <f>VLOOKUP(3,$X$22:$AC$25,2,FALSE)</f>
        <v>Ukraine</v>
      </c>
      <c r="N24" s="2">
        <f>VLOOKUP(3,$X$22:$AC$25,3,FALSE)</f>
        <v>4</v>
      </c>
      <c r="O24" s="2">
        <f>VLOOKUP(3,$X$22:$AC$25,4,FALSE)</f>
        <v>5</v>
      </c>
      <c r="P24" s="2">
        <f>VLOOKUP(3,$X$22:$AC$25,5,FALSE)</f>
        <v>7</v>
      </c>
      <c r="Q24" s="2">
        <f>VLOOKUP(3,$X$22:$AC$25,6,FALSE)</f>
        <v>-2</v>
      </c>
      <c r="S24" s="93">
        <f>IF(J25="",0,IF(K25=$B$65,IF(H25&lt;J25,3,IF(H25=J25,1,0)),0))</f>
        <v>3</v>
      </c>
      <c r="T24" s="93">
        <f>IF(J28="",0,IF(K27=$B$65,IF(H28&lt;J28,3,IF(H28=J28,1,0)),0))</f>
        <v>0</v>
      </c>
      <c r="U24" s="92"/>
      <c r="V24" s="93">
        <f>IF(H24="",0,IF(K24=$B$65,IF(H24&gt;J24,3,IF(H24=J24,1,0)),0))</f>
        <v>0</v>
      </c>
      <c r="W24" s="94"/>
      <c r="X24" s="94">
        <f>RANK(AD24,$AD$22:$AD$25)</f>
        <v>4</v>
      </c>
      <c r="Y24" s="95" t="s">
        <v>156</v>
      </c>
      <c r="Z24" s="94">
        <f>SUM(S24:V24)</f>
        <v>3</v>
      </c>
      <c r="AA24" s="94">
        <f>SUM(S28:V28)</f>
        <v>5</v>
      </c>
      <c r="AB24" s="94">
        <f>SUM(U26:U29)</f>
        <v>7</v>
      </c>
      <c r="AC24" s="94">
        <f>AA24-AB24</f>
        <v>-2</v>
      </c>
      <c r="AD24" s="28">
        <f>IF(P$28="",(((((((AE24*10+Z24)*100+AC24)*100+AA24)*10+AK24)*10+AJ24)*100+AP24)*100+AU24)*10+AV24,(((((((AE24*10+Z24)*10+AK24)*10+AJ24)*100+AP24)*100+AU24)*100+AC24)*100+AA24)*10+AV24)</f>
        <v>299999998052</v>
      </c>
      <c r="AE24" s="97"/>
      <c r="AF24" s="108">
        <f>IF($Z24=$Z22,$S24-$U22,0)</f>
        <v>0</v>
      </c>
      <c r="AG24" s="108">
        <f>IF($Z24=$Z23,$T24-$U23,0)</f>
        <v>0</v>
      </c>
      <c r="AH24" s="108"/>
      <c r="AI24" s="108">
        <f>IF($Z24=$Z25,$V24-$U25,0)</f>
        <v>0</v>
      </c>
      <c r="AJ24" s="108">
        <f>SUM(AF24:AI24)</f>
        <v>0</v>
      </c>
      <c r="AK24" s="97"/>
      <c r="AL24" s="108">
        <f>IF($Z24=$Z22,$S28-$U26,0)</f>
        <v>0</v>
      </c>
      <c r="AM24" s="108">
        <f>IF($Z24=$Z23,$T28-$U27,0)</f>
        <v>0</v>
      </c>
      <c r="AN24" s="108"/>
      <c r="AO24" s="108">
        <f>IF($Z24=$Z25,$V28-$U29,0)</f>
        <v>0</v>
      </c>
      <c r="AP24" s="108">
        <f>SUM(AL24:AO24)</f>
        <v>0</v>
      </c>
      <c r="AQ24" s="108">
        <f>IF($Z24=$Z22,$S28,0)</f>
        <v>0</v>
      </c>
      <c r="AR24" s="108">
        <f>IF($Z24=$Z23,$T28,0)</f>
        <v>0</v>
      </c>
      <c r="AS24" s="108"/>
      <c r="AT24" s="108">
        <f>IF($Z24=$Z25,$V28,0)</f>
        <v>0</v>
      </c>
      <c r="AU24" s="108">
        <f>SUM(AQ24:AT24)</f>
        <v>0</v>
      </c>
      <c r="AV24" s="97">
        <v>2</v>
      </c>
      <c r="AW24" s="96"/>
      <c r="BA24" s="2">
        <v>12</v>
      </c>
      <c r="BB24" s="4">
        <v>44362.875</v>
      </c>
      <c r="BC24" s="4" t="s">
        <v>136</v>
      </c>
      <c r="BD24" s="88" t="str">
        <f>BY24</f>
        <v>Frankreich</v>
      </c>
      <c r="BE24" s="52" t="s">
        <v>21</v>
      </c>
      <c r="BF24" s="88" t="str">
        <f>BY25</f>
        <v>Deutschland</v>
      </c>
      <c r="BG24" s="87"/>
      <c r="BH24" s="111">
        <f ca="1" t="shared" si="10"/>
        <v>2</v>
      </c>
      <c r="BI24" s="12" t="s">
        <v>22</v>
      </c>
      <c r="BJ24" s="111">
        <f ca="1" t="shared" si="11"/>
        <v>5</v>
      </c>
      <c r="BK24" s="8" t="s">
        <v>23</v>
      </c>
      <c r="BL24" s="1"/>
      <c r="BM24" s="10" t="str">
        <f>VLOOKUP(3,$BX$22:$CC$25,2,FALSE)</f>
        <v>Deutschland</v>
      </c>
      <c r="BN24" s="2">
        <f>VLOOKUP(3,$BX$22:$CC$25,3,FALSE)</f>
        <v>3</v>
      </c>
      <c r="BO24" s="2">
        <f>VLOOKUP(3,$BX$22:$CC$25,4,FALSE)</f>
        <v>8</v>
      </c>
      <c r="BP24" s="2">
        <f>VLOOKUP(3,$BX$22:$CC$25,5,FALSE)</f>
        <v>10</v>
      </c>
      <c r="BQ24" s="2">
        <f>VLOOKUP(3,$BX$22:$CC$25,6,FALSE)</f>
        <v>-2</v>
      </c>
      <c r="BS24" s="93">
        <f>IF(BJ25="",0,IF(BK25=$B$65,IF(BH25&lt;BJ25,3,IF(BH25=BJ25,1,0)),0))</f>
        <v>3</v>
      </c>
      <c r="BT24" s="93">
        <f>IF(BJ28="",0,IF(BK27=$B$65,IF(BH28&lt;BJ28,3,IF(BH28=BJ28,1,0)),0))</f>
        <v>0</v>
      </c>
      <c r="BU24" s="92"/>
      <c r="BV24" s="93">
        <f>IF(BH24="",0,IF(BK24=$B$65,IF(BH24&gt;BJ24,3,IF(BH24=BJ24,1,0)),0))</f>
        <v>0</v>
      </c>
      <c r="BW24" s="1"/>
      <c r="BX24" s="1">
        <f>RANK(CD24,$CD$22:$CD$25)</f>
        <v>4</v>
      </c>
      <c r="BY24" s="95" t="s">
        <v>66</v>
      </c>
      <c r="BZ24" s="1">
        <f>SUM(BS24:BV24)</f>
        <v>3</v>
      </c>
      <c r="CA24" s="1">
        <f>SUM(BS28:BV28)</f>
        <v>7</v>
      </c>
      <c r="CB24" s="1">
        <f>SUM(BU26:BU29)</f>
        <v>9</v>
      </c>
      <c r="CC24" s="1">
        <f>CA24-CB24</f>
        <v>-2</v>
      </c>
      <c r="CD24" s="28">
        <f>IF(BP$28="",(((((((CE24*10+BZ24)*100+CC24)*100+CA24)*10+CK24)*10+CJ24)*100+CP24)*100+CU24)*10+CV24,(((((((CE24*10+BZ24)*10+CK24)*10+CJ24)*100+CP24)*100+CU24)*100+CC24)*100+CA24)*10+CV24)</f>
        <v>299990598072</v>
      </c>
      <c r="CE24" s="5"/>
      <c r="CF24" s="109">
        <f>IF($BZ24=$BZ22,$BS24-$BU22,0)</f>
        <v>3</v>
      </c>
      <c r="CG24" s="109">
        <f>IF($BZ24=$BZ23,$BT24-$BU23,0)</f>
        <v>0</v>
      </c>
      <c r="CH24" s="109"/>
      <c r="CI24" s="109">
        <f>IF($BZ24=$BZ25,$BV24-$BU25,0)</f>
        <v>-3</v>
      </c>
      <c r="CJ24" s="109">
        <f>SUM(CF24:CI24)</f>
        <v>0</v>
      </c>
      <c r="CK24" s="5"/>
      <c r="CL24" s="109">
        <f>IF($BZ24=$BZ22,$BS28-$BU26,0)</f>
        <v>2</v>
      </c>
      <c r="CM24" s="109">
        <f>IF($BZ24=$BZ23,$BT28-$BU27,0)</f>
        <v>0</v>
      </c>
      <c r="CN24" s="109"/>
      <c r="CO24" s="109">
        <f>IF($BZ24=$BZ25,$BV28-$BU29,0)</f>
        <v>-3</v>
      </c>
      <c r="CP24" s="109">
        <f>SUM(CL24:CO24)</f>
        <v>-1</v>
      </c>
      <c r="CQ24" s="109">
        <f>IF($BZ24=$BZ22,$BS28,0)</f>
        <v>4</v>
      </c>
      <c r="CR24" s="109">
        <f>IF($BZ24=$BZ23,$BT28,0)</f>
        <v>0</v>
      </c>
      <c r="CS24" s="109"/>
      <c r="CT24" s="109">
        <f>IF($BZ24=$BZ25,$BV28,0)</f>
        <v>2</v>
      </c>
      <c r="CU24" s="109">
        <f>SUM(CQ24:CT24)</f>
        <v>6</v>
      </c>
      <c r="CV24" s="5">
        <v>2</v>
      </c>
    </row>
    <row r="25" spans="1:100" ht="12.75">
      <c r="A25" s="2">
        <f>A23+12</f>
        <v>17</v>
      </c>
      <c r="B25" s="7">
        <v>44364.875</v>
      </c>
      <c r="C25" s="4" t="s">
        <v>144</v>
      </c>
      <c r="D25" s="88" t="str">
        <f>Y22</f>
        <v>Niederlande</v>
      </c>
      <c r="E25" s="52" t="s">
        <v>21</v>
      </c>
      <c r="F25" s="88" t="str">
        <f>Y24</f>
        <v>Österreich</v>
      </c>
      <c r="G25" s="87"/>
      <c r="H25" s="111">
        <f ca="1" t="shared" si="8"/>
        <v>0</v>
      </c>
      <c r="I25" s="12" t="s">
        <v>22</v>
      </c>
      <c r="J25" s="111">
        <f ca="1" t="shared" si="9"/>
        <v>3</v>
      </c>
      <c r="K25" s="8" t="s">
        <v>23</v>
      </c>
      <c r="L25" s="1"/>
      <c r="M25" s="10" t="str">
        <f>VLOOKUP(4,$X$22:$AC$25,2,FALSE)</f>
        <v>Österreich</v>
      </c>
      <c r="N25" s="2">
        <f>VLOOKUP(4,$X$22:$AC$25,3,FALSE)</f>
        <v>3</v>
      </c>
      <c r="O25" s="2">
        <f>VLOOKUP(4,$X$22:$AC$25,4,FALSE)</f>
        <v>5</v>
      </c>
      <c r="P25" s="2">
        <f>VLOOKUP(4,$X$22:$AC$25,5,FALSE)</f>
        <v>7</v>
      </c>
      <c r="Q25" s="2">
        <f>VLOOKUP(4,$X$22:$AC$25,6,FALSE)</f>
        <v>-2</v>
      </c>
      <c r="S25" s="93">
        <f>IF(H27="",0,IF(K28=$B$65,IF(H27&gt;J27,3,IF(H27=J27,1,0)),0))</f>
        <v>1</v>
      </c>
      <c r="T25" s="93">
        <f>IF(J26="",0,IF(K26=$B$65,IF(H26&lt;J26,3,IF(H26=J26,1,0)),0))</f>
        <v>1</v>
      </c>
      <c r="U25" s="93">
        <f>IF(J24="",0,IF(K24=$B$65,IF(H24&lt;J24,3,IF(H24=J24,1,0)),0))</f>
        <v>3</v>
      </c>
      <c r="V25" s="92"/>
      <c r="W25" s="94"/>
      <c r="X25" s="94">
        <f>RANK(AD25,$AD$22:$AD$25)</f>
        <v>1</v>
      </c>
      <c r="Y25" s="95" t="s">
        <v>166</v>
      </c>
      <c r="Z25" s="94">
        <f>SUM(S25:V25)</f>
        <v>5</v>
      </c>
      <c r="AA25" s="94">
        <f>SUM(S29:V29)</f>
        <v>6</v>
      </c>
      <c r="AB25" s="94">
        <f>SUM(V26:V29)</f>
        <v>5</v>
      </c>
      <c r="AC25" s="94">
        <f>AA25-AB25</f>
        <v>1</v>
      </c>
      <c r="AD25" s="28">
        <f>IF(P$28="",(((((((AE25*10+Z25)*100+AC25)*100+AA25)*10+AK25)*10+AJ25)*100+AP25)*100+AU25)*10+AV25,(((((((AE25*10+Z25)*10+AK25)*10+AJ25)*100+AP25)*100+AU25)*100+AC25)*100+AA25)*10+AV25)</f>
        <v>500000001061</v>
      </c>
      <c r="AE25" s="97"/>
      <c r="AF25" s="108">
        <f>IF($Z25=$Z22,$S25-$V22,0)</f>
        <v>0</v>
      </c>
      <c r="AG25" s="108">
        <f>IF($Z25=$Z23,$T25-$V23,0)</f>
        <v>0</v>
      </c>
      <c r="AH25" s="108">
        <f>IF($Z25=$Z24,$U25-$V24,0)</f>
        <v>0</v>
      </c>
      <c r="AI25" s="108"/>
      <c r="AJ25" s="108">
        <f>SUM(AF25:AI25)</f>
        <v>0</v>
      </c>
      <c r="AK25" s="97"/>
      <c r="AL25" s="108">
        <f>IF($Z25=$Z22,$S29-$V26,0)</f>
        <v>0</v>
      </c>
      <c r="AM25" s="108">
        <f>IF($Z25=$Z23,$T29-$V27,0)</f>
        <v>0</v>
      </c>
      <c r="AN25" s="108">
        <f>IF($Z25=$Z24,$U29-$V28,0)</f>
        <v>0</v>
      </c>
      <c r="AO25" s="108"/>
      <c r="AP25" s="108">
        <f>SUM(AL25:AO25)</f>
        <v>0</v>
      </c>
      <c r="AQ25" s="108">
        <f>IF($Z25=$Z22,$S29,0)</f>
        <v>0</v>
      </c>
      <c r="AR25" s="108">
        <f>IF($Z25=$Z23,$T29,0)</f>
        <v>0</v>
      </c>
      <c r="AS25" s="108">
        <f>IF($Z25=$Z24,$U29,0)</f>
        <v>0</v>
      </c>
      <c r="AT25" s="108"/>
      <c r="AU25" s="108">
        <f>SUM(AQ25:AT25)</f>
        <v>0</v>
      </c>
      <c r="AV25" s="97">
        <v>1</v>
      </c>
      <c r="AW25" s="96"/>
      <c r="BA25" s="2">
        <f>BA23+12</f>
        <v>23</v>
      </c>
      <c r="BB25" s="7">
        <v>44366.625</v>
      </c>
      <c r="BC25" s="4" t="s">
        <v>143</v>
      </c>
      <c r="BD25" s="88" t="str">
        <f>BY22</f>
        <v>Ungarn</v>
      </c>
      <c r="BE25" s="52" t="s">
        <v>21</v>
      </c>
      <c r="BF25" s="88" t="str">
        <f>BY24</f>
        <v>Frankreich</v>
      </c>
      <c r="BG25" s="87"/>
      <c r="BH25" s="111">
        <f ca="1" t="shared" si="10"/>
        <v>2</v>
      </c>
      <c r="BI25" s="12" t="s">
        <v>22</v>
      </c>
      <c r="BJ25" s="111">
        <f ca="1" t="shared" si="11"/>
        <v>4</v>
      </c>
      <c r="BK25" s="8" t="s">
        <v>23</v>
      </c>
      <c r="BL25" s="1"/>
      <c r="BM25" s="10" t="str">
        <f>VLOOKUP(4,$BX$22:$CC$25,2,FALSE)</f>
        <v>Frankreich</v>
      </c>
      <c r="BN25" s="2">
        <f>VLOOKUP(4,$BX$22:$CC$25,3,FALSE)</f>
        <v>3</v>
      </c>
      <c r="BO25" s="2">
        <f>VLOOKUP(4,$BX$22:$CC$25,4,FALSE)</f>
        <v>7</v>
      </c>
      <c r="BP25" s="2">
        <f>VLOOKUP(4,$BX$22:$CC$25,5,FALSE)</f>
        <v>9</v>
      </c>
      <c r="BQ25" s="2">
        <f>VLOOKUP(4,$BX$22:$CC$25,6,FALSE)</f>
        <v>-2</v>
      </c>
      <c r="BS25" s="93">
        <f>IF(BH27="",0,IF(BK28=$B$65,IF(BH27&gt;BJ27,3,IF(BH27=BJ27,1,0)),0))</f>
        <v>0</v>
      </c>
      <c r="BT25" s="93">
        <f>IF(BJ26="",0,IF(BK26=$B$65,IF(BH26&lt;BJ26,3,IF(BH26=BJ26,1,0)),0))</f>
        <v>0</v>
      </c>
      <c r="BU25" s="93">
        <f>IF(BJ24="",0,IF(BK24=$B$65,IF(BH24&lt;BJ24,3,IF(BH24=BJ24,1,0)),0))</f>
        <v>3</v>
      </c>
      <c r="BV25" s="92"/>
      <c r="BW25" s="1"/>
      <c r="BX25" s="1">
        <f>RANK(CD25,$CD$22:$CD$25)</f>
        <v>3</v>
      </c>
      <c r="BY25" s="95" t="s">
        <v>65</v>
      </c>
      <c r="BZ25" s="1">
        <f>SUM(BS25:BV25)</f>
        <v>3</v>
      </c>
      <c r="CA25" s="1">
        <f>SUM(BS29:BV29)</f>
        <v>8</v>
      </c>
      <c r="CB25" s="1">
        <f>SUM(BV26:BV29)</f>
        <v>10</v>
      </c>
      <c r="CC25" s="1">
        <f>CA25-CB25</f>
        <v>-2</v>
      </c>
      <c r="CD25" s="28">
        <f>IF(BP$28="",(((((((CE25*10+BZ25)*100+CC25)*100+CA25)*10+CK25)*10+CJ25)*100+CP25)*100+CU25)*10+CV25,(((((((CE25*10+BZ25)*10+CK25)*10+CJ25)*100+CP25)*100+CU25)*100+CC25)*100+CA25)*10+CV25)</f>
        <v>300000598081</v>
      </c>
      <c r="CE25" s="5"/>
      <c r="CF25" s="109">
        <f>IF($BZ25=$BZ22,$BS25-$BV22,0)</f>
        <v>-3</v>
      </c>
      <c r="CG25" s="109">
        <f>IF($BZ25=$BZ23,$BT25-$BV23,0)</f>
        <v>0</v>
      </c>
      <c r="CH25" s="109">
        <f>IF($BZ25=$BZ24,$BU25-$BV24,0)</f>
        <v>3</v>
      </c>
      <c r="CI25" s="109"/>
      <c r="CJ25" s="109">
        <f>SUM(CF25:CI25)</f>
        <v>0</v>
      </c>
      <c r="CK25" s="5"/>
      <c r="CL25" s="109">
        <f>IF($BZ25=$BZ22,$BS29-$BV26,0)</f>
        <v>-3</v>
      </c>
      <c r="CM25" s="109">
        <f>IF($BZ25=$BZ23,$BT29-$BV27,0)</f>
        <v>0</v>
      </c>
      <c r="CN25" s="109">
        <f>IF($BZ25=$BZ24,$BU29-$BV28,0)</f>
        <v>3</v>
      </c>
      <c r="CO25" s="109"/>
      <c r="CP25" s="109">
        <f>SUM(CL25:CO25)</f>
        <v>0</v>
      </c>
      <c r="CQ25" s="109">
        <f>IF($BZ25=$BZ22,$BS29,0)</f>
        <v>1</v>
      </c>
      <c r="CR25" s="109">
        <f>IF($BZ25=$BZ23,$BT29,0)</f>
        <v>0</v>
      </c>
      <c r="CS25" s="109">
        <f>IF($BZ25=$BZ24,$BU29,0)</f>
        <v>5</v>
      </c>
      <c r="CT25" s="109"/>
      <c r="CU25" s="109">
        <f>SUM(CQ25:CT25)</f>
        <v>6</v>
      </c>
      <c r="CV25" s="5">
        <v>1</v>
      </c>
    </row>
    <row r="26" spans="1:100" ht="12.75">
      <c r="A26" s="2">
        <f>A24+12</f>
        <v>18</v>
      </c>
      <c r="B26" s="7">
        <v>44364.625</v>
      </c>
      <c r="C26" s="4" t="s">
        <v>141</v>
      </c>
      <c r="D26" s="88" t="str">
        <f>Y23</f>
        <v>Ukraine</v>
      </c>
      <c r="E26" s="52" t="s">
        <v>21</v>
      </c>
      <c r="F26" s="88" t="str">
        <f>Y25</f>
        <v>N'Mazedonien</v>
      </c>
      <c r="G26" s="87"/>
      <c r="H26" s="111">
        <f ca="1" t="shared" si="8"/>
        <v>1</v>
      </c>
      <c r="I26" s="12" t="s">
        <v>22</v>
      </c>
      <c r="J26" s="111">
        <f ca="1" t="shared" si="9"/>
        <v>1</v>
      </c>
      <c r="K26" s="8" t="s">
        <v>23</v>
      </c>
      <c r="L26" s="1"/>
      <c r="N26" s="1"/>
      <c r="O26" s="1"/>
      <c r="P26" s="1"/>
      <c r="S26" s="92"/>
      <c r="T26" s="93">
        <f>IF(K23=$B$65,H23,0)</f>
        <v>6</v>
      </c>
      <c r="U26" s="93">
        <f>IF(K25=$B$65,H25,0)</f>
        <v>0</v>
      </c>
      <c r="V26" s="93">
        <f>IF(K28=$B$65,J27,0)</f>
        <v>2</v>
      </c>
      <c r="W26" s="94"/>
      <c r="X26" s="94"/>
      <c r="Y26" s="94"/>
      <c r="Z26" s="94"/>
      <c r="AA26" s="94"/>
      <c r="AB26" s="94"/>
      <c r="AC26" s="94"/>
      <c r="AD26" s="98"/>
      <c r="AE26" s="99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V26" s="108"/>
      <c r="AW26" s="96"/>
      <c r="BA26" s="2">
        <f>BA24+12</f>
        <v>24</v>
      </c>
      <c r="BB26" s="7">
        <v>44366.75</v>
      </c>
      <c r="BC26" s="4" t="s">
        <v>136</v>
      </c>
      <c r="BD26" s="88" t="str">
        <f>BY23</f>
        <v>Portugal</v>
      </c>
      <c r="BE26" s="52" t="s">
        <v>21</v>
      </c>
      <c r="BF26" s="88" t="str">
        <f>BY25</f>
        <v>Deutschland</v>
      </c>
      <c r="BG26" s="87"/>
      <c r="BH26" s="111">
        <f ca="1" t="shared" si="10"/>
        <v>4</v>
      </c>
      <c r="BI26" s="12" t="s">
        <v>22</v>
      </c>
      <c r="BJ26" s="111">
        <f ca="1" t="shared" si="11"/>
        <v>2</v>
      </c>
      <c r="BK26" s="8" t="s">
        <v>23</v>
      </c>
      <c r="BL26" s="1"/>
      <c r="BN26" s="1"/>
      <c r="BO26" s="1"/>
      <c r="BP26" s="1"/>
      <c r="BS26" s="92"/>
      <c r="BT26" s="93">
        <f>IF(BK23=$B$65,BH23,0)</f>
        <v>3</v>
      </c>
      <c r="BU26" s="93">
        <f>IF(BK25=$B$65,BH25,0)</f>
        <v>2</v>
      </c>
      <c r="BV26" s="93">
        <f>IF(BK28=$B$65,BJ27,0)</f>
        <v>4</v>
      </c>
      <c r="BW26" s="1"/>
      <c r="BX26" s="1"/>
      <c r="BY26" s="94"/>
      <c r="BZ26" s="1"/>
      <c r="CA26" s="1"/>
      <c r="CB26" s="1"/>
      <c r="CC26" s="1"/>
      <c r="CD26" s="6"/>
      <c r="CE26" s="8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V26" s="109"/>
    </row>
    <row r="27" spans="1:100" ht="12.75">
      <c r="A27" s="2">
        <f>A25+12</f>
        <v>29</v>
      </c>
      <c r="B27" s="7">
        <v>44368.75</v>
      </c>
      <c r="C27" s="4" t="s">
        <v>144</v>
      </c>
      <c r="D27" s="88" t="str">
        <f>Y25</f>
        <v>N'Mazedonien</v>
      </c>
      <c r="E27" s="52" t="s">
        <v>21</v>
      </c>
      <c r="F27" s="88" t="str">
        <f>Y22</f>
        <v>Niederlande</v>
      </c>
      <c r="G27" s="86"/>
      <c r="H27" s="110">
        <f ca="1" t="shared" si="8"/>
        <v>2</v>
      </c>
      <c r="I27" s="14" t="s">
        <v>22</v>
      </c>
      <c r="J27" s="110">
        <f ca="1" t="shared" si="9"/>
        <v>2</v>
      </c>
      <c r="K27" s="8" t="s">
        <v>23</v>
      </c>
      <c r="M27" s="46" t="str">
        <f>IF(N22&gt;0,M22,"")</f>
        <v>N'Mazedonien</v>
      </c>
      <c r="N27" s="2" t="s">
        <v>30</v>
      </c>
      <c r="P27" s="34"/>
      <c r="S27" s="93">
        <f>IF(K23=$B$65,J23,0)</f>
        <v>0</v>
      </c>
      <c r="T27" s="92"/>
      <c r="U27" s="93">
        <f>IF(K27=$B$65,H28,0)</f>
        <v>4</v>
      </c>
      <c r="V27" s="93">
        <f>IF(K26=$B$65,H26,0)</f>
        <v>1</v>
      </c>
      <c r="AD27" s="86" t="s">
        <v>118</v>
      </c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V27" s="112"/>
      <c r="AW27" s="96"/>
      <c r="BA27" s="2">
        <f>BA25+12</f>
        <v>35</v>
      </c>
      <c r="BB27" s="7">
        <v>44370.875</v>
      </c>
      <c r="BC27" s="4" t="s">
        <v>136</v>
      </c>
      <c r="BD27" s="88" t="str">
        <f>BY25</f>
        <v>Deutschland</v>
      </c>
      <c r="BE27" s="52" t="s">
        <v>21</v>
      </c>
      <c r="BF27" s="88" t="str">
        <f>BY22</f>
        <v>Ungarn</v>
      </c>
      <c r="BG27" s="86"/>
      <c r="BH27" s="110">
        <f ca="1" t="shared" si="10"/>
        <v>1</v>
      </c>
      <c r="BI27" s="14" t="s">
        <v>22</v>
      </c>
      <c r="BJ27" s="110">
        <f ca="1" t="shared" si="11"/>
        <v>4</v>
      </c>
      <c r="BK27" s="8" t="s">
        <v>23</v>
      </c>
      <c r="BM27" s="49" t="str">
        <f>IF(BN22&gt;0,BM22,"")</f>
        <v>Portugal</v>
      </c>
      <c r="BN27" s="2" t="s">
        <v>39</v>
      </c>
      <c r="BP27" s="34"/>
      <c r="BS27" s="93">
        <f>IF(BK23=$B$65,BJ23,0)</f>
        <v>4</v>
      </c>
      <c r="BT27" s="92"/>
      <c r="BU27" s="93">
        <f>IF(BK27=$B$65,BH28,0)</f>
        <v>2</v>
      </c>
      <c r="BV27" s="93">
        <f>IF(BK26=$B$65,BH26,0)</f>
        <v>4</v>
      </c>
      <c r="CD27" s="2" t="s">
        <v>118</v>
      </c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V27" s="113"/>
    </row>
    <row r="28" spans="1:100" ht="12.75">
      <c r="A28" s="2">
        <f>A26+12</f>
        <v>30</v>
      </c>
      <c r="B28" s="7">
        <v>44368.75</v>
      </c>
      <c r="C28" s="4" t="s">
        <v>141</v>
      </c>
      <c r="D28" s="88" t="str">
        <f>Y23</f>
        <v>Ukraine</v>
      </c>
      <c r="E28" s="52" t="s">
        <v>21</v>
      </c>
      <c r="F28" s="88" t="str">
        <f>Y24</f>
        <v>Österreich</v>
      </c>
      <c r="G28" s="86"/>
      <c r="H28" s="111">
        <f ca="1" t="shared" si="8"/>
        <v>4</v>
      </c>
      <c r="I28" s="12" t="s">
        <v>22</v>
      </c>
      <c r="J28" s="111">
        <f ca="1" t="shared" si="9"/>
        <v>0</v>
      </c>
      <c r="K28" s="8" t="s">
        <v>23</v>
      </c>
      <c r="M28" s="46" t="str">
        <f>IF(N23&gt;0,M23,"")</f>
        <v>Niederlande</v>
      </c>
      <c r="N28" s="2" t="s">
        <v>31</v>
      </c>
      <c r="O28" s="35"/>
      <c r="P28" s="36" t="s">
        <v>11</v>
      </c>
      <c r="S28" s="93">
        <f>IF(K25=$B$65,J25,0)</f>
        <v>3</v>
      </c>
      <c r="T28" s="93">
        <f>IF(K27=$B$65,J28,0)</f>
        <v>0</v>
      </c>
      <c r="U28" s="92"/>
      <c r="V28" s="93">
        <f>IF(K24=$B$65,H24,0)</f>
        <v>2</v>
      </c>
      <c r="AD28" s="86" t="s">
        <v>119</v>
      </c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V28" s="112"/>
      <c r="AW28" s="96"/>
      <c r="BA28" s="2">
        <f>BA26+12</f>
        <v>36</v>
      </c>
      <c r="BB28" s="7">
        <v>44370.875</v>
      </c>
      <c r="BC28" s="4" t="s">
        <v>143</v>
      </c>
      <c r="BD28" s="88" t="str">
        <f>BY23</f>
        <v>Portugal</v>
      </c>
      <c r="BE28" s="52" t="s">
        <v>21</v>
      </c>
      <c r="BF28" s="88" t="str">
        <f>BY24</f>
        <v>Frankreich</v>
      </c>
      <c r="BG28" s="86"/>
      <c r="BH28" s="111">
        <f ca="1" t="shared" si="10"/>
        <v>2</v>
      </c>
      <c r="BI28" s="12" t="s">
        <v>22</v>
      </c>
      <c r="BJ28" s="111">
        <f ca="1" t="shared" si="11"/>
        <v>1</v>
      </c>
      <c r="BK28" s="8" t="s">
        <v>23</v>
      </c>
      <c r="BM28" s="49" t="str">
        <f>IF(BN23&gt;0,BM23,"")</f>
        <v>Ungarn</v>
      </c>
      <c r="BN28" s="2" t="s">
        <v>40</v>
      </c>
      <c r="BO28" s="35"/>
      <c r="BP28" s="36" t="s">
        <v>11</v>
      </c>
      <c r="BS28" s="93">
        <f>IF(BK25=$B$65,BJ25,0)</f>
        <v>4</v>
      </c>
      <c r="BT28" s="93">
        <f>IF(BK27=$B$65,BJ28,0)</f>
        <v>1</v>
      </c>
      <c r="BU28" s="92"/>
      <c r="BV28" s="93">
        <f>IF(BK24=$B$65,BH24,0)</f>
        <v>2</v>
      </c>
      <c r="CD28" s="2" t="s">
        <v>119</v>
      </c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V28" s="113"/>
    </row>
    <row r="29" spans="4:100" ht="12.75">
      <c r="D29" s="86"/>
      <c r="E29" s="86"/>
      <c r="F29" s="86"/>
      <c r="G29" s="86"/>
      <c r="M29" s="46" t="str">
        <f>IF(N24&gt;0,M24,"")</f>
        <v>Ukraine</v>
      </c>
      <c r="N29" s="2" t="s">
        <v>72</v>
      </c>
      <c r="S29" s="93">
        <f>IF(K28=$B$65,H27,0)</f>
        <v>2</v>
      </c>
      <c r="T29" s="93">
        <f>IF(K26=$B$65,J26,0)</f>
        <v>1</v>
      </c>
      <c r="U29" s="93">
        <f>IF(K24=$B$65,J24,0)</f>
        <v>3</v>
      </c>
      <c r="V29" s="92"/>
      <c r="AD29" s="86" t="s">
        <v>120</v>
      </c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V29" s="112"/>
      <c r="AW29" s="96"/>
      <c r="BD29" s="86"/>
      <c r="BE29" s="86"/>
      <c r="BF29" s="86"/>
      <c r="BG29" s="86"/>
      <c r="BM29" s="49" t="str">
        <f>IF(BN24&gt;0,BM24,"")</f>
        <v>Deutschland</v>
      </c>
      <c r="BN29" s="2" t="s">
        <v>73</v>
      </c>
      <c r="BS29" s="93">
        <f>IF(BK28=$B$65,BH27,0)</f>
        <v>1</v>
      </c>
      <c r="BT29" s="93">
        <f>IF(BK26=$B$65,BJ26,0)</f>
        <v>2</v>
      </c>
      <c r="BU29" s="93">
        <f>IF(BK24=$B$65,BJ24,0)</f>
        <v>5</v>
      </c>
      <c r="BV29" s="92"/>
      <c r="CD29" s="2" t="s">
        <v>120</v>
      </c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V29" s="113"/>
    </row>
    <row r="30" spans="4:100" ht="6" customHeight="1">
      <c r="D30" s="86"/>
      <c r="E30" s="89"/>
      <c r="F30" s="91"/>
      <c r="G30" s="91"/>
      <c r="H30" s="86"/>
      <c r="I30" s="86"/>
      <c r="J30" s="86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V30" s="112"/>
      <c r="AW30" s="96"/>
      <c r="BD30" s="86"/>
      <c r="BE30" s="89"/>
      <c r="BF30" s="91"/>
      <c r="BG30" s="91"/>
      <c r="BH30" s="86"/>
      <c r="BI30" s="86"/>
      <c r="BJ30" s="86"/>
      <c r="BS30" s="86"/>
      <c r="BT30" s="86"/>
      <c r="BU30" s="86"/>
      <c r="BV30" s="86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V30" s="113"/>
    </row>
    <row r="31" spans="2:95" ht="12.75" hidden="1">
      <c r="B31" s="41" t="s">
        <v>117</v>
      </c>
      <c r="C31" s="85" t="str">
        <f>CONCATENATE(D35,D36,D37,D38)</f>
        <v>BCEF</v>
      </c>
      <c r="AW31" s="96"/>
      <c r="BJ31"/>
      <c r="BK31"/>
      <c r="BL31"/>
      <c r="BM31"/>
      <c r="BN31"/>
      <c r="BO31"/>
      <c r="BP31"/>
      <c r="BQ31"/>
      <c r="BR31"/>
      <c r="BS31" s="80"/>
      <c r="BT31" s="80"/>
      <c r="BU31" s="80"/>
      <c r="CE31"/>
      <c r="CF31" s="80" t="s">
        <v>27</v>
      </c>
      <c r="CG31" s="80"/>
      <c r="CH31" s="80"/>
      <c r="CI31"/>
      <c r="CJ31" t="s">
        <v>30</v>
      </c>
      <c r="CK31"/>
      <c r="CL31"/>
      <c r="CM31" t="s">
        <v>36</v>
      </c>
      <c r="CN31"/>
      <c r="CO31"/>
      <c r="CP31"/>
      <c r="CQ31" t="s">
        <v>39</v>
      </c>
    </row>
    <row r="32" spans="13:97" ht="12.75" hidden="1">
      <c r="M32" s="43" t="s">
        <v>126</v>
      </c>
      <c r="AW32" s="96"/>
      <c r="BJ32"/>
      <c r="BK32"/>
      <c r="BL32"/>
      <c r="BM32"/>
      <c r="BN32"/>
      <c r="BO32"/>
      <c r="BP32"/>
      <c r="BQ32"/>
      <c r="BR32"/>
      <c r="BS32" s="102"/>
      <c r="BT32" s="102"/>
      <c r="BU32" s="102"/>
      <c r="CE32"/>
      <c r="CF32" s="80" t="s">
        <v>95</v>
      </c>
      <c r="CG32" s="80" t="s">
        <v>97</v>
      </c>
      <c r="CH32" s="80" t="s">
        <v>98</v>
      </c>
      <c r="CI32" t="s">
        <v>100</v>
      </c>
      <c r="CJ32" t="s">
        <v>97</v>
      </c>
      <c r="CK32" t="s">
        <v>98</v>
      </c>
      <c r="CL32" t="s">
        <v>100</v>
      </c>
      <c r="CM32" t="s">
        <v>95</v>
      </c>
      <c r="CN32" t="s">
        <v>99</v>
      </c>
      <c r="CO32" t="s">
        <v>96</v>
      </c>
      <c r="CP32" t="s">
        <v>97</v>
      </c>
      <c r="CQ32" t="s">
        <v>95</v>
      </c>
      <c r="CR32" s="2" t="s">
        <v>99</v>
      </c>
      <c r="CS32" s="2" t="s">
        <v>96</v>
      </c>
    </row>
    <row r="33" spans="4:98" ht="12.75" hidden="1">
      <c r="D33" s="26" t="s">
        <v>127</v>
      </c>
      <c r="F33" s="26" t="s">
        <v>128</v>
      </c>
      <c r="M33" s="43"/>
      <c r="AW33" s="96"/>
      <c r="BJ33"/>
      <c r="BK33"/>
      <c r="BL33"/>
      <c r="BM33"/>
      <c r="BN33"/>
      <c r="BO33"/>
      <c r="BP33"/>
      <c r="BQ33"/>
      <c r="BR33"/>
      <c r="BS33" s="102"/>
      <c r="BT33" s="102"/>
      <c r="BU33" s="102"/>
      <c r="CE33"/>
      <c r="CF33" s="103" t="s">
        <v>80</v>
      </c>
      <c r="CG33" s="103" t="s">
        <v>83</v>
      </c>
      <c r="CH33" s="103" t="s">
        <v>85</v>
      </c>
      <c r="CI33" s="104" t="s">
        <v>87</v>
      </c>
      <c r="CJ33" s="104" t="s">
        <v>80</v>
      </c>
      <c r="CK33" s="104" t="s">
        <v>81</v>
      </c>
      <c r="CL33" s="104" t="s">
        <v>82</v>
      </c>
      <c r="CM33" s="104" t="s">
        <v>83</v>
      </c>
      <c r="CN33" s="104" t="s">
        <v>80</v>
      </c>
      <c r="CO33" s="104" t="s">
        <v>86</v>
      </c>
      <c r="CP33" s="104" t="s">
        <v>89</v>
      </c>
      <c r="CQ33" s="104" t="s">
        <v>85</v>
      </c>
      <c r="CR33" s="104" t="s">
        <v>83</v>
      </c>
      <c r="CS33" s="104" t="s">
        <v>80</v>
      </c>
      <c r="CT33" s="103"/>
    </row>
    <row r="34" spans="1:100" s="11" customFormat="1" ht="12.75" hidden="1">
      <c r="A34" s="27"/>
      <c r="D34" s="18" t="s">
        <v>129</v>
      </c>
      <c r="F34" s="18" t="s">
        <v>95</v>
      </c>
      <c r="L34" s="18"/>
      <c r="M34" s="43" t="s">
        <v>3</v>
      </c>
      <c r="N34" s="18" t="s">
        <v>4</v>
      </c>
      <c r="O34" s="18" t="s">
        <v>5</v>
      </c>
      <c r="P34" s="18" t="s">
        <v>6</v>
      </c>
      <c r="Q34" s="18" t="s">
        <v>7</v>
      </c>
      <c r="R34" s="18" t="s">
        <v>8</v>
      </c>
      <c r="S34" s="91"/>
      <c r="T34" s="91" t="s">
        <v>96</v>
      </c>
      <c r="U34" s="91"/>
      <c r="V34" s="91"/>
      <c r="W34" s="91"/>
      <c r="X34" s="87" t="s">
        <v>121</v>
      </c>
      <c r="Y34" s="91" t="s">
        <v>117</v>
      </c>
      <c r="Z34" s="91"/>
      <c r="AA34" s="91"/>
      <c r="AB34" s="91"/>
      <c r="AC34" s="91"/>
      <c r="AD34" s="91"/>
      <c r="AE34" s="21" t="s">
        <v>10</v>
      </c>
      <c r="AF34" s="87" t="s">
        <v>8</v>
      </c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88" t="s">
        <v>18</v>
      </c>
      <c r="AW34" s="91"/>
      <c r="BJ34"/>
      <c r="BK34"/>
      <c r="BL34"/>
      <c r="BM34"/>
      <c r="BN34"/>
      <c r="BO34"/>
      <c r="BP34"/>
      <c r="BQ34"/>
      <c r="BR34"/>
      <c r="BS34" s="102"/>
      <c r="BT34" s="102"/>
      <c r="BU34" s="102"/>
      <c r="CE34"/>
      <c r="CF34" s="103" t="s">
        <v>81</v>
      </c>
      <c r="CG34" s="103" t="s">
        <v>84</v>
      </c>
      <c r="CH34" s="103" t="s">
        <v>86</v>
      </c>
      <c r="CI34" s="104" t="s">
        <v>91</v>
      </c>
      <c r="CJ34" s="104" t="s">
        <v>86</v>
      </c>
      <c r="CK34" s="104" t="s">
        <v>83</v>
      </c>
      <c r="CL34" s="104" t="s">
        <v>84</v>
      </c>
      <c r="CM34" s="104" t="s">
        <v>84</v>
      </c>
      <c r="CN34" s="104" t="s">
        <v>81</v>
      </c>
      <c r="CO34" s="104" t="s">
        <v>87</v>
      </c>
      <c r="CP34" s="104" t="s">
        <v>93</v>
      </c>
      <c r="CQ34" s="104" t="s">
        <v>86</v>
      </c>
      <c r="CR34" s="104" t="s">
        <v>84</v>
      </c>
      <c r="CS34" s="104" t="s">
        <v>81</v>
      </c>
      <c r="CV34" s="2"/>
    </row>
    <row r="35" spans="1:97" ht="12.75" hidden="1">
      <c r="A35" s="28"/>
      <c r="B35" s="41" t="str">
        <f>CONCATENATE("3",D35)</f>
        <v>3B</v>
      </c>
      <c r="C35" s="42" t="str">
        <f>IF(AND(N$35=0,N$36=0,N$37=0,N$38=0),"",VLOOKUP(1,$F$35:$M$43,8,FALSE))</f>
        <v>Finnland</v>
      </c>
      <c r="D35" s="1" t="str">
        <f>IF(AND(N$35=0,N$36=0,N$37=0,N$38=0),"",VLOOKUP(1,$F$35:$M$38,7,FALSE))</f>
        <v>B</v>
      </c>
      <c r="F35" s="1">
        <f>RANK(T35,$T$35:$T$38)</f>
        <v>3</v>
      </c>
      <c r="I35" s="2"/>
      <c r="K35" s="10"/>
      <c r="L35" s="81" t="str">
        <f aca="true" t="shared" si="12" ref="L35:L40">MID(R35,2,1)</f>
        <v>E</v>
      </c>
      <c r="M35" s="82" t="str">
        <f>VLOOKUP(1,$X$35:$AC$40,2,FALSE)</f>
        <v>Spanien</v>
      </c>
      <c r="N35" s="2">
        <f>VLOOKUP(1,$X$35:$AC$40,3,FALSE)</f>
        <v>6</v>
      </c>
      <c r="O35" s="2">
        <f>VLOOKUP(1,$X$35:$AC$40,4,FALSE)</f>
        <v>11</v>
      </c>
      <c r="P35" s="2">
        <f>VLOOKUP(1,$X$35:$AC$40,5,FALSE)</f>
        <v>10</v>
      </c>
      <c r="Q35" s="2">
        <f>VLOOKUP(1,$X$35:$AC$40,6,FALSE)</f>
        <v>1</v>
      </c>
      <c r="R35" s="15" t="str">
        <f>VLOOKUP(1,$X$35:$AF$40,9,FALSE)</f>
        <v>3E</v>
      </c>
      <c r="T35" s="86">
        <f>71-CODE(L35)</f>
        <v>2</v>
      </c>
      <c r="X35" s="94">
        <f aca="true" t="shared" si="13" ref="X35:X40">RANK(AD35,$AD$35:$AD$40)</f>
        <v>5</v>
      </c>
      <c r="Y35" s="105" t="str">
        <f>M4</f>
        <v>Italien</v>
      </c>
      <c r="Z35" s="86">
        <f>N4</f>
        <v>3</v>
      </c>
      <c r="AA35" s="86">
        <f>O4</f>
        <v>4</v>
      </c>
      <c r="AB35" s="86">
        <f>P4</f>
        <v>9</v>
      </c>
      <c r="AC35" s="86">
        <f>Q4</f>
        <v>-5</v>
      </c>
      <c r="AD35" s="96">
        <f aca="true" t="shared" si="14" ref="AD35:AD40">AE35*10000000000000000+Z35*100000000000000+AC35*1000000000000+AA35*10000000000+AV35</f>
        <v>295040000000006</v>
      </c>
      <c r="AE35" s="97"/>
      <c r="AF35" s="86" t="str">
        <f>N9</f>
        <v>3A</v>
      </c>
      <c r="AV35" s="97">
        <v>6</v>
      </c>
      <c r="BJ35"/>
      <c r="BK35"/>
      <c r="BL35"/>
      <c r="BM35"/>
      <c r="BN35"/>
      <c r="BO35"/>
      <c r="BP35"/>
      <c r="BQ35"/>
      <c r="BR35"/>
      <c r="BS35" s="102"/>
      <c r="BT35" s="102"/>
      <c r="BU35" s="102"/>
      <c r="CE35"/>
      <c r="CF35" s="103" t="s">
        <v>82</v>
      </c>
      <c r="CG35" s="103"/>
      <c r="CH35" s="103" t="s">
        <v>88</v>
      </c>
      <c r="CI35" s="104" t="s">
        <v>92</v>
      </c>
      <c r="CJ35" s="104" t="s">
        <v>87</v>
      </c>
      <c r="CK35" s="104" t="s">
        <v>92</v>
      </c>
      <c r="CL35" s="104" t="s">
        <v>85</v>
      </c>
      <c r="CM35" s="104"/>
      <c r="CN35" s="104" t="s">
        <v>82</v>
      </c>
      <c r="CO35" s="104" t="s">
        <v>88</v>
      </c>
      <c r="CP35" s="104" t="s">
        <v>94</v>
      </c>
      <c r="CQ35" s="104" t="s">
        <v>87</v>
      </c>
      <c r="CR35" s="104" t="s">
        <v>91</v>
      </c>
      <c r="CS35" s="104" t="s">
        <v>82</v>
      </c>
    </row>
    <row r="36" spans="1:97" ht="12.75" hidden="1">
      <c r="A36" s="28"/>
      <c r="B36" s="41" t="str">
        <f>CONCATENATE("3",D36)</f>
        <v>3C</v>
      </c>
      <c r="C36" s="42" t="str">
        <f>IF(AND(N$35=0,N$36=0,N$37=0,N$38=0),"",VLOOKUP(2,$F$35:$M$43,8,FALSE))</f>
        <v>Ukraine</v>
      </c>
      <c r="D36" s="1" t="str">
        <f>IF(AND(N$35=0,N$36=0,N$37=0,N$38=0),"",VLOOKUP(2,$F$35:$M$38,7,FALSE))</f>
        <v>C</v>
      </c>
      <c r="F36" s="1">
        <f>RANK(T36,$T$35:$T$38)</f>
        <v>2</v>
      </c>
      <c r="I36" s="2"/>
      <c r="K36" s="10"/>
      <c r="L36" s="81" t="str">
        <f t="shared" si="12"/>
        <v>C</v>
      </c>
      <c r="M36" s="82" t="str">
        <f>VLOOKUP(2,$X$35:$AC$40,2,FALSE)</f>
        <v>Ukraine</v>
      </c>
      <c r="N36" s="2">
        <f>VLOOKUP(2,$X$35:$AC$40,3,FALSE)</f>
        <v>4</v>
      </c>
      <c r="O36" s="2">
        <f>VLOOKUP(2,$X$35:$AC$40,4,FALSE)</f>
        <v>5</v>
      </c>
      <c r="P36" s="2">
        <f>VLOOKUP(2,$X$35:$AC$40,5,FALSE)</f>
        <v>7</v>
      </c>
      <c r="Q36" s="2">
        <f>VLOOKUP(2,$X$35:$AC$40,6,FALSE)</f>
        <v>-2</v>
      </c>
      <c r="R36" s="15" t="str">
        <f>VLOOKUP(2,$X$35:$AF$40,9,FALSE)</f>
        <v>3C</v>
      </c>
      <c r="T36" s="86">
        <f>71-CODE(L36)</f>
        <v>4</v>
      </c>
      <c r="X36" s="94">
        <f t="shared" si="13"/>
        <v>3</v>
      </c>
      <c r="Y36" s="105" t="str">
        <f>M14</f>
        <v>Finnland</v>
      </c>
      <c r="Z36" s="86">
        <f>N14</f>
        <v>3</v>
      </c>
      <c r="AA36" s="86">
        <f>O14</f>
        <v>7</v>
      </c>
      <c r="AB36" s="86">
        <f>P14</f>
        <v>8</v>
      </c>
      <c r="AC36" s="86">
        <f>Q14</f>
        <v>-1</v>
      </c>
      <c r="AD36" s="96">
        <f t="shared" si="14"/>
        <v>299070000000005</v>
      </c>
      <c r="AE36" s="97"/>
      <c r="AF36" s="86" t="str">
        <f>N19</f>
        <v>3B</v>
      </c>
      <c r="AV36" s="97">
        <v>5</v>
      </c>
      <c r="BJ36"/>
      <c r="BK36"/>
      <c r="BL36"/>
      <c r="BM36"/>
      <c r="BN36"/>
      <c r="BO36"/>
      <c r="BP36"/>
      <c r="BQ36"/>
      <c r="BR36"/>
      <c r="BS36" s="102"/>
      <c r="BT36" s="102"/>
      <c r="BU36" s="102"/>
      <c r="CE36"/>
      <c r="CF36" s="103"/>
      <c r="CG36" s="103"/>
      <c r="CH36" s="103" t="s">
        <v>89</v>
      </c>
      <c r="CI36" s="104" t="s">
        <v>93</v>
      </c>
      <c r="CJ36" s="104" t="s">
        <v>90</v>
      </c>
      <c r="CK36" s="104" t="s">
        <v>93</v>
      </c>
      <c r="CL36" s="104" t="s">
        <v>88</v>
      </c>
      <c r="CM36" s="104"/>
      <c r="CN36" s="104" t="s">
        <v>85</v>
      </c>
      <c r="CO36" s="104" t="s">
        <v>91</v>
      </c>
      <c r="CP36" s="104"/>
      <c r="CQ36" s="104" t="s">
        <v>88</v>
      </c>
      <c r="CR36" s="104" t="s">
        <v>92</v>
      </c>
      <c r="CS36" s="104" t="s">
        <v>90</v>
      </c>
    </row>
    <row r="37" spans="1:97" ht="12.75" hidden="1">
      <c r="A37" s="28"/>
      <c r="B37" s="41" t="str">
        <f>CONCATENATE("3",D37)</f>
        <v>3E</v>
      </c>
      <c r="C37" s="42" t="str">
        <f>IF(AND(N$35=0,N$36=0,N$37=0,N$38=0),"",VLOOKUP(3,$F$35:$M$43,8,FALSE))</f>
        <v>Spanien</v>
      </c>
      <c r="D37" s="1" t="str">
        <f>IF(AND(N$35=0,N$36=0,N$37=0,N$38=0),"",VLOOKUP(3,$F$35:$M$38,7,FALSE))</f>
        <v>E</v>
      </c>
      <c r="F37" s="1">
        <f>RANK(T37,$T$35:$T$38)</f>
        <v>1</v>
      </c>
      <c r="I37" s="2"/>
      <c r="K37" s="10"/>
      <c r="L37" s="81" t="str">
        <f t="shared" si="12"/>
        <v>B</v>
      </c>
      <c r="M37" s="82" t="str">
        <f>VLOOKUP(3,$X$35:$AC$40,2,FALSE)</f>
        <v>Finnland</v>
      </c>
      <c r="N37" s="2">
        <f>VLOOKUP(3,$X$35:$AC$40,3,FALSE)</f>
        <v>3</v>
      </c>
      <c r="O37" s="2">
        <f>VLOOKUP(3,$X$35:$AC$40,4,FALSE)</f>
        <v>7</v>
      </c>
      <c r="P37" s="2">
        <f>VLOOKUP(3,$X$35:$AC$40,5,FALSE)</f>
        <v>8</v>
      </c>
      <c r="Q37" s="2">
        <f>VLOOKUP(3,$X$35:$AC$40,6,FALSE)</f>
        <v>-1</v>
      </c>
      <c r="R37" s="15" t="str">
        <f>VLOOKUP(3,$X$35:$AF$40,9,FALSE)</f>
        <v>3B</v>
      </c>
      <c r="T37" s="86">
        <f>71-CODE(L37)</f>
        <v>5</v>
      </c>
      <c r="X37" s="94">
        <f t="shared" si="13"/>
        <v>2</v>
      </c>
      <c r="Y37" s="105" t="str">
        <f>M24</f>
        <v>Ukraine</v>
      </c>
      <c r="Z37" s="86">
        <f>N24</f>
        <v>4</v>
      </c>
      <c r="AA37" s="86">
        <f>O24</f>
        <v>5</v>
      </c>
      <c r="AB37" s="86">
        <f>P24</f>
        <v>7</v>
      </c>
      <c r="AC37" s="86">
        <f>Q24</f>
        <v>-2</v>
      </c>
      <c r="AD37" s="96">
        <f t="shared" si="14"/>
        <v>398050000000004</v>
      </c>
      <c r="AE37" s="97"/>
      <c r="AF37" s="86" t="str">
        <f>N29</f>
        <v>3C</v>
      </c>
      <c r="AV37" s="97">
        <v>4</v>
      </c>
      <c r="BJ37"/>
      <c r="BK37"/>
      <c r="BL37"/>
      <c r="BM37"/>
      <c r="BN37"/>
      <c r="BO37"/>
      <c r="BP37"/>
      <c r="BQ37"/>
      <c r="BR37"/>
      <c r="BS37" s="102"/>
      <c r="BT37" s="102"/>
      <c r="BU37" s="102"/>
      <c r="CE37"/>
      <c r="CF37" s="103"/>
      <c r="CG37" s="103"/>
      <c r="CH37" s="103" t="s">
        <v>90</v>
      </c>
      <c r="CI37" s="104" t="s">
        <v>94</v>
      </c>
      <c r="CJ37" s="104" t="s">
        <v>91</v>
      </c>
      <c r="CK37" s="104" t="s">
        <v>94</v>
      </c>
      <c r="CL37" s="104" t="s">
        <v>89</v>
      </c>
      <c r="CM37" s="104"/>
      <c r="CN37" s="104" t="s">
        <v>90</v>
      </c>
      <c r="CO37" s="104" t="s">
        <v>92</v>
      </c>
      <c r="CP37" s="104"/>
      <c r="CQ37" s="104" t="s">
        <v>89</v>
      </c>
      <c r="CR37" s="104" t="s">
        <v>93</v>
      </c>
      <c r="CS37" s="104" t="s">
        <v>94</v>
      </c>
    </row>
    <row r="38" spans="1:95" ht="12.75" hidden="1">
      <c r="A38" s="28"/>
      <c r="B38" s="41" t="str">
        <f>CONCATENATE("3",D38)</f>
        <v>3F</v>
      </c>
      <c r="C38" s="42" t="str">
        <f>IF(AND(N$35=0,N$36=0,N$37=0,N$38=0),"",VLOOKUP(4,$F$35:$M$43,8,FALSE))</f>
        <v>Deutschland</v>
      </c>
      <c r="D38" s="1" t="str">
        <f>IF(AND(N$35=0,N$36=0,N$37=0,N$38=0),"",VLOOKUP(4,$F$35:$M$38,7,FALSE))</f>
        <v>F</v>
      </c>
      <c r="F38" s="1">
        <f>RANK(T38,$T$35:$T$38)</f>
        <v>4</v>
      </c>
      <c r="I38" s="2"/>
      <c r="K38" s="10"/>
      <c r="L38" s="81" t="str">
        <f t="shared" si="12"/>
        <v>F</v>
      </c>
      <c r="M38" s="82" t="str">
        <f>VLOOKUP(4,$X$35:$AC$40,2,FALSE)</f>
        <v>Deutschland</v>
      </c>
      <c r="N38" s="2">
        <f>VLOOKUP(4,$X$35:$AC$40,3,FALSE)</f>
        <v>3</v>
      </c>
      <c r="O38" s="2">
        <f>VLOOKUP(4,$X$35:$AC$40,4,FALSE)</f>
        <v>8</v>
      </c>
      <c r="P38" s="2">
        <f>VLOOKUP(4,$X$35:$AC$40,5,FALSE)</f>
        <v>10</v>
      </c>
      <c r="Q38" s="2">
        <f>VLOOKUP(4,$X$35:$AC$40,6,FALSE)</f>
        <v>-2</v>
      </c>
      <c r="R38" s="15" t="str">
        <f>VLOOKUP(4,$X$35:$AF$40,9,FALSE)</f>
        <v>3F</v>
      </c>
      <c r="T38" s="86">
        <f>71-CODE(L38)</f>
        <v>1</v>
      </c>
      <c r="X38" s="94">
        <f t="shared" si="13"/>
        <v>6</v>
      </c>
      <c r="Y38" s="105" t="str">
        <f>BM4</f>
        <v>Schottland</v>
      </c>
      <c r="Z38" s="86">
        <f>BN4</f>
        <v>1</v>
      </c>
      <c r="AA38" s="86">
        <f>BO4</f>
        <v>5</v>
      </c>
      <c r="AB38" s="86">
        <f>BP4</f>
        <v>9</v>
      </c>
      <c r="AC38" s="86">
        <f>BQ4</f>
        <v>-4</v>
      </c>
      <c r="AD38" s="96">
        <f t="shared" si="14"/>
        <v>96050000000003</v>
      </c>
      <c r="AE38" s="97"/>
      <c r="AF38" s="86" t="str">
        <f>BN9</f>
        <v>3D</v>
      </c>
      <c r="AV38" s="97">
        <v>3</v>
      </c>
      <c r="BJ38"/>
      <c r="BK38"/>
      <c r="BL38"/>
      <c r="BM38"/>
      <c r="BN38"/>
      <c r="BO38"/>
      <c r="BP38"/>
      <c r="BQ38"/>
      <c r="BR38"/>
      <c r="BS38" s="102"/>
      <c r="BT38" s="102"/>
      <c r="BU38" s="102"/>
      <c r="CE38"/>
      <c r="CF38" s="103"/>
      <c r="CG38" s="103"/>
      <c r="CH38" s="103"/>
      <c r="CI38" s="104"/>
      <c r="CJ38" s="104"/>
      <c r="CK38" s="104"/>
      <c r="CL38" s="104"/>
      <c r="CM38" s="104"/>
      <c r="CN38" s="104"/>
      <c r="CO38" s="104"/>
      <c r="CP38" s="104"/>
      <c r="CQ38" s="104"/>
    </row>
    <row r="39" spans="1:95" ht="12.75" hidden="1">
      <c r="A39" s="28"/>
      <c r="H39" s="2"/>
      <c r="I39" s="2"/>
      <c r="K39" s="10"/>
      <c r="L39" s="1" t="str">
        <f t="shared" si="12"/>
        <v>A</v>
      </c>
      <c r="M39" s="10" t="str">
        <f>VLOOKUP(5,$X$35:$AC$40,2,FALSE)</f>
        <v>Italien</v>
      </c>
      <c r="N39" s="2">
        <f>VLOOKUP(5,$X$35:$AC$40,3,FALSE)</f>
        <v>3</v>
      </c>
      <c r="O39" s="2">
        <f>VLOOKUP(5,$X$35:$AC$40,4,FALSE)</f>
        <v>4</v>
      </c>
      <c r="P39" s="2">
        <f>VLOOKUP(5,$X$35:$AC$40,5,FALSE)</f>
        <v>9</v>
      </c>
      <c r="Q39" s="2">
        <f>VLOOKUP(5,$X$35:$AC$40,6,FALSE)</f>
        <v>-5</v>
      </c>
      <c r="R39" s="15" t="str">
        <f>VLOOKUP(5,$X$35:$AF$40,9,FALSE)</f>
        <v>3A</v>
      </c>
      <c r="X39" s="94">
        <f t="shared" si="13"/>
        <v>1</v>
      </c>
      <c r="Y39" s="105" t="str">
        <f>BM14</f>
        <v>Spanien</v>
      </c>
      <c r="Z39" s="86">
        <f>BN14</f>
        <v>6</v>
      </c>
      <c r="AA39" s="86">
        <f>BO14</f>
        <v>11</v>
      </c>
      <c r="AB39" s="86">
        <f>BP14</f>
        <v>10</v>
      </c>
      <c r="AC39" s="86">
        <f>BQ14</f>
        <v>1</v>
      </c>
      <c r="AD39" s="96">
        <f t="shared" si="14"/>
        <v>601110000000002</v>
      </c>
      <c r="AE39" s="97"/>
      <c r="AF39" s="86" t="str">
        <f>BN19</f>
        <v>3E</v>
      </c>
      <c r="AV39" s="97">
        <v>2</v>
      </c>
      <c r="BJ39"/>
      <c r="BK39"/>
      <c r="BL39"/>
      <c r="BM39"/>
      <c r="BN39"/>
      <c r="BO39"/>
      <c r="BP39"/>
      <c r="BQ39"/>
      <c r="BR39"/>
      <c r="BS39" s="102"/>
      <c r="BT39" s="102"/>
      <c r="BU39" s="102"/>
      <c r="CE39"/>
      <c r="CF39" s="103"/>
      <c r="CG39" s="103"/>
      <c r="CH39" s="103"/>
      <c r="CI39" s="104"/>
      <c r="CJ39" s="104"/>
      <c r="CK39" s="104"/>
      <c r="CL39" s="104"/>
      <c r="CM39" s="104"/>
      <c r="CN39" s="104"/>
      <c r="CO39" s="104"/>
      <c r="CP39" s="104"/>
      <c r="CQ39" s="104"/>
    </row>
    <row r="40" spans="1:95" ht="12.75" hidden="1">
      <c r="A40" s="28"/>
      <c r="H40" s="2"/>
      <c r="I40" s="2"/>
      <c r="K40" s="10"/>
      <c r="L40" s="1" t="str">
        <f t="shared" si="12"/>
        <v>D</v>
      </c>
      <c r="M40" s="10" t="str">
        <f>VLOOKUP(6,$X$35:$AC$40,2,FALSE)</f>
        <v>Schottland</v>
      </c>
      <c r="N40" s="2">
        <f>VLOOKUP(6,$X$35:$AC$40,3,FALSE)</f>
        <v>1</v>
      </c>
      <c r="O40" s="2">
        <f>VLOOKUP(6,$X$35:$AC$40,4,FALSE)</f>
        <v>5</v>
      </c>
      <c r="P40" s="2">
        <f>VLOOKUP(6,$X$35:$AC$40,5,FALSE)</f>
        <v>9</v>
      </c>
      <c r="Q40" s="2">
        <f>VLOOKUP(6,$X$35:$AC$40,6,FALSE)</f>
        <v>-4</v>
      </c>
      <c r="R40" s="15" t="str">
        <f>VLOOKUP(6,$X$35:$AF$40,9,FALSE)</f>
        <v>3D</v>
      </c>
      <c r="X40" s="94">
        <f t="shared" si="13"/>
        <v>4</v>
      </c>
      <c r="Y40" s="105" t="str">
        <f>BM24</f>
        <v>Deutschland</v>
      </c>
      <c r="Z40" s="86">
        <f>BN24</f>
        <v>3</v>
      </c>
      <c r="AA40" s="86">
        <f>BO24</f>
        <v>8</v>
      </c>
      <c r="AB40" s="86">
        <f>BP24</f>
        <v>10</v>
      </c>
      <c r="AC40" s="86">
        <f>BQ24</f>
        <v>-2</v>
      </c>
      <c r="AD40" s="96">
        <f t="shared" si="14"/>
        <v>298080000000001</v>
      </c>
      <c r="AE40" s="97"/>
      <c r="AF40" s="86" t="str">
        <f>BN29</f>
        <v>3F</v>
      </c>
      <c r="AV40" s="97">
        <v>1</v>
      </c>
      <c r="BJ40"/>
      <c r="BK40"/>
      <c r="BL40"/>
      <c r="BM40"/>
      <c r="BN40"/>
      <c r="BO40"/>
      <c r="BP40"/>
      <c r="BQ40"/>
      <c r="BR40"/>
      <c r="BS40" s="102"/>
      <c r="BT40" s="102"/>
      <c r="BU40" s="102"/>
      <c r="CE40"/>
      <c r="CF40" s="103"/>
      <c r="CG40" s="103"/>
      <c r="CH40" s="103"/>
      <c r="CI40" s="104"/>
      <c r="CJ40" s="104"/>
      <c r="CK40" s="104"/>
      <c r="CL40" s="104"/>
      <c r="CM40" s="104"/>
      <c r="CN40" s="104"/>
      <c r="CO40" s="104"/>
      <c r="CP40" s="104"/>
      <c r="CQ40" s="104"/>
    </row>
    <row r="41" spans="1:95" ht="12.75" hidden="1">
      <c r="A41" s="28"/>
      <c r="H41" s="2"/>
      <c r="I41" s="2"/>
      <c r="J41" s="1"/>
      <c r="K41" s="2"/>
      <c r="M41" s="2"/>
      <c r="AE41" s="86"/>
      <c r="BJ41"/>
      <c r="BK41"/>
      <c r="BL41"/>
      <c r="BM41"/>
      <c r="BN41"/>
      <c r="BO41"/>
      <c r="BP41"/>
      <c r="BQ41"/>
      <c r="BR41"/>
      <c r="BS41" s="102"/>
      <c r="BT41" s="102"/>
      <c r="BU41" s="102"/>
      <c r="CE41"/>
      <c r="CF41" s="103"/>
      <c r="CG41" s="103"/>
      <c r="CH41" s="103"/>
      <c r="CI41" s="104"/>
      <c r="CJ41" s="104"/>
      <c r="CK41" s="104"/>
      <c r="CL41" s="104"/>
      <c r="CM41" s="104"/>
      <c r="CN41" s="104"/>
      <c r="CO41" s="104"/>
      <c r="CP41" s="104"/>
      <c r="CQ41" s="104"/>
    </row>
    <row r="42" spans="1:100" ht="12.75" hidden="1">
      <c r="A42" s="28"/>
      <c r="H42" s="2"/>
      <c r="I42" s="2"/>
      <c r="J42" s="1"/>
      <c r="K42" s="2"/>
      <c r="M42" s="2"/>
      <c r="AD42" s="86" t="s">
        <v>118</v>
      </c>
      <c r="AE42" s="86"/>
      <c r="BJ42"/>
      <c r="BK42"/>
      <c r="BL42"/>
      <c r="BM42"/>
      <c r="BN42"/>
      <c r="BO42"/>
      <c r="BP42"/>
      <c r="BQ42"/>
      <c r="BR42"/>
      <c r="BS42" s="102"/>
      <c r="BT42" s="102"/>
      <c r="BU42" s="102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</row>
    <row r="43" spans="1:84" ht="12.75" customHeight="1" hidden="1">
      <c r="A43" s="28"/>
      <c r="H43" s="2"/>
      <c r="I43" s="2"/>
      <c r="J43" s="1"/>
      <c r="K43" s="2"/>
      <c r="M43" s="2"/>
      <c r="AD43" s="86" t="s">
        <v>120</v>
      </c>
      <c r="AE43" s="86"/>
      <c r="AX43" s="80"/>
      <c r="AY43" s="80"/>
      <c r="AZ43" s="80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3:84" ht="3.75" customHeight="1">
      <c r="C44" s="3"/>
      <c r="E44" s="3"/>
      <c r="F44" s="3"/>
      <c r="H44" s="12"/>
      <c r="I44" s="13"/>
      <c r="J44" s="12"/>
      <c r="AD44" s="98"/>
      <c r="AX44" s="80"/>
      <c r="AY44" s="80"/>
      <c r="AZ44" s="80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3:84" ht="3.75" customHeight="1">
      <c r="C45" s="3"/>
      <c r="E45" s="3"/>
      <c r="F45" s="3"/>
      <c r="H45" s="12"/>
      <c r="I45" s="13"/>
      <c r="J45" s="12"/>
      <c r="AD45" s="98"/>
      <c r="AX45" s="80"/>
      <c r="AY45" s="80"/>
      <c r="AZ45" s="80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3:84" ht="3.75" customHeight="1">
      <c r="C46" s="3"/>
      <c r="E46" s="3"/>
      <c r="F46" s="3"/>
      <c r="H46" s="12"/>
      <c r="I46" s="13"/>
      <c r="J46" s="12"/>
      <c r="AD46" s="98"/>
      <c r="AX46" s="80"/>
      <c r="AY46" s="80"/>
      <c r="AZ46" s="80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:104" s="11" customFormat="1" ht="12.75">
      <c r="B47" s="18" t="s">
        <v>41</v>
      </c>
      <c r="C47" s="24"/>
      <c r="D47" s="18"/>
      <c r="E47" s="15"/>
      <c r="F47" s="18"/>
      <c r="G47" s="18"/>
      <c r="H47" s="22"/>
      <c r="I47" s="21"/>
      <c r="J47" s="22"/>
      <c r="K47" s="50"/>
      <c r="L47" s="18"/>
      <c r="M47" s="24"/>
      <c r="N47" s="18"/>
      <c r="O47" s="18"/>
      <c r="P47" s="18"/>
      <c r="Q47" s="18"/>
      <c r="R47" s="18"/>
      <c r="S47" s="87"/>
      <c r="T47" s="87"/>
      <c r="U47" s="87"/>
      <c r="V47" s="87"/>
      <c r="W47" s="87"/>
      <c r="X47" s="87"/>
      <c r="Y47" s="88"/>
      <c r="Z47" s="87"/>
      <c r="AA47" s="87"/>
      <c r="AB47" s="87"/>
      <c r="AC47" s="87"/>
      <c r="AD47" s="106"/>
      <c r="AE47" s="21"/>
      <c r="AF47" s="87"/>
      <c r="AG47" s="87"/>
      <c r="AH47" s="87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80"/>
      <c r="AY47" s="80"/>
      <c r="AZ47" s="80"/>
      <c r="BA47" s="2"/>
      <c r="BB47" s="51" t="s">
        <v>50</v>
      </c>
      <c r="BC47" s="24"/>
      <c r="BD47" s="15"/>
      <c r="BE47" s="15"/>
      <c r="BF47" s="15"/>
      <c r="BG47" s="18"/>
      <c r="BH47" s="22"/>
      <c r="BI47" s="21"/>
      <c r="BJ47" s="22"/>
      <c r="BK47" s="50"/>
      <c r="BL47" s="18"/>
      <c r="BM47" s="24"/>
      <c r="BN47" s="18"/>
      <c r="BO47" s="18"/>
      <c r="BP47" s="18"/>
      <c r="BQ47" s="1"/>
      <c r="BR47" s="1"/>
      <c r="BS47" s="94"/>
      <c r="BT47" s="94"/>
      <c r="BU47" s="94"/>
      <c r="BV47" s="94"/>
      <c r="BW47" s="94"/>
      <c r="BX47" s="94"/>
      <c r="BY47" s="95"/>
      <c r="BZ47" s="94"/>
      <c r="CA47" s="94"/>
      <c r="CB47" s="94"/>
      <c r="CC47" s="94"/>
      <c r="CD47" s="94"/>
      <c r="CE47" s="98"/>
      <c r="CF47" s="99"/>
      <c r="CG47" s="94"/>
      <c r="CH47" s="94"/>
      <c r="CI47" s="86"/>
      <c r="CJ47" s="86"/>
      <c r="CK47" s="86"/>
      <c r="CL47" s="86"/>
      <c r="CM47" s="86"/>
      <c r="CN47" s="86"/>
      <c r="CO47" s="94"/>
      <c r="CP47" s="86"/>
      <c r="CQ47" s="86"/>
      <c r="CR47" s="86"/>
      <c r="CS47" s="86"/>
      <c r="CT47" s="86"/>
      <c r="CU47" s="86"/>
      <c r="CV47" s="86"/>
      <c r="CW47" s="86"/>
      <c r="CX47" s="80"/>
      <c r="CY47" s="80"/>
      <c r="CZ47" s="80"/>
    </row>
    <row r="48" spans="2:104" ht="12.75">
      <c r="B48" s="3" t="s">
        <v>19</v>
      </c>
      <c r="C48" s="3" t="s">
        <v>20</v>
      </c>
      <c r="D48" s="18"/>
      <c r="E48" s="15"/>
      <c r="F48" s="18"/>
      <c r="G48" s="18"/>
      <c r="H48" s="22"/>
      <c r="I48" s="12"/>
      <c r="J48" s="22"/>
      <c r="K48" s="50"/>
      <c r="L48" s="1"/>
      <c r="M48" s="3"/>
      <c r="N48" s="1"/>
      <c r="O48" s="1"/>
      <c r="P48" s="1"/>
      <c r="Q48" s="1"/>
      <c r="V48" s="94"/>
      <c r="W48" s="94"/>
      <c r="Y48" s="3" t="s">
        <v>122</v>
      </c>
      <c r="Z48" s="94"/>
      <c r="AB48" s="94" t="s">
        <v>95</v>
      </c>
      <c r="AC48" s="94"/>
      <c r="AD48" s="98"/>
      <c r="AE48" s="21" t="s">
        <v>123</v>
      </c>
      <c r="AF48" s="94"/>
      <c r="AG48" s="94"/>
      <c r="AH48" s="94"/>
      <c r="AX48" s="80"/>
      <c r="AY48" s="80"/>
      <c r="AZ48" s="80"/>
      <c r="BB48" s="3" t="s">
        <v>19</v>
      </c>
      <c r="BC48" s="3" t="s">
        <v>20</v>
      </c>
      <c r="BD48" s="15"/>
      <c r="BE48" s="15"/>
      <c r="BF48" s="15"/>
      <c r="BG48" s="18"/>
      <c r="BH48" s="22"/>
      <c r="BI48" s="12"/>
      <c r="BJ48" s="68"/>
      <c r="BK48" s="50"/>
      <c r="BL48" s="1"/>
      <c r="BM48" s="3"/>
      <c r="BN48" s="1"/>
      <c r="BO48" s="1"/>
      <c r="BP48" s="1"/>
      <c r="BQ48" s="1"/>
      <c r="BR48" s="1"/>
      <c r="BS48" s="94"/>
      <c r="BT48" s="94"/>
      <c r="BU48" s="94"/>
      <c r="BV48" s="94"/>
      <c r="BW48" s="94"/>
      <c r="BX48" s="94"/>
      <c r="BY48" s="95"/>
      <c r="BZ48" s="94"/>
      <c r="CA48" s="94"/>
      <c r="CB48" s="94"/>
      <c r="CC48" s="94"/>
      <c r="CD48" s="94"/>
      <c r="CE48" s="98"/>
      <c r="CF48" s="99"/>
      <c r="CG48" s="94"/>
      <c r="CH48" s="94"/>
      <c r="CI48" s="86"/>
      <c r="CJ48" s="86"/>
      <c r="CK48" s="86"/>
      <c r="CL48" s="86"/>
      <c r="CM48" s="86"/>
      <c r="CN48" s="86"/>
      <c r="CO48" s="94"/>
      <c r="CP48" s="86"/>
      <c r="CQ48" s="86"/>
      <c r="CR48" s="86"/>
      <c r="CS48" s="86"/>
      <c r="CT48" s="86"/>
      <c r="CU48" s="86"/>
      <c r="CV48" s="86"/>
      <c r="CW48" s="86"/>
      <c r="CX48" s="80"/>
      <c r="CY48" s="80"/>
      <c r="CZ48" s="80"/>
    </row>
    <row r="49" spans="1:104" ht="12.75">
      <c r="A49" s="2">
        <v>37</v>
      </c>
      <c r="B49" s="7">
        <v>44373.875</v>
      </c>
      <c r="C49" s="4" t="s">
        <v>139</v>
      </c>
      <c r="D49" s="30" t="str">
        <f>M7</f>
        <v>Wales</v>
      </c>
      <c r="E49" s="16" t="s">
        <v>21</v>
      </c>
      <c r="F49" s="46" t="str">
        <f>M28</f>
        <v>Niederlande</v>
      </c>
      <c r="G49" s="18"/>
      <c r="H49" s="110">
        <f aca="true" ca="1" t="shared" si="15" ref="H49:H56">IF($B$66="",1,IF(OR(J49&lt;1,INT(RAND()*10&lt;6)),J49+1,J49-1))</f>
        <v>1</v>
      </c>
      <c r="I49" s="12" t="s">
        <v>22</v>
      </c>
      <c r="J49" s="110">
        <f aca="true" ca="1" t="shared" si="16" ref="J49:J56">IF($B$66="",0,INT(RAND()*5)+INT(RAND()*3)*INT(RAND()*2))</f>
        <v>2</v>
      </c>
      <c r="K49" s="8" t="s">
        <v>23</v>
      </c>
      <c r="L49" s="1"/>
      <c r="M49" s="70" t="str">
        <f aca="true" t="shared" si="17" ref="M49:M56">IF(J49="","",IF(J49=H49,"falsch!!! K.Remis",IF(H49&gt;J49,D49,F49)))</f>
        <v>Niederlande</v>
      </c>
      <c r="N49" s="1" t="str">
        <f>N7</f>
        <v>1A</v>
      </c>
      <c r="O49" s="1" t="str">
        <f>N28</f>
        <v>2C</v>
      </c>
      <c r="P49" s="1" t="s">
        <v>42</v>
      </c>
      <c r="Q49" s="1"/>
      <c r="V49" s="94"/>
      <c r="W49" s="94"/>
      <c r="Y49" s="1"/>
      <c r="Z49" s="94"/>
      <c r="AB49" s="94"/>
      <c r="AC49" s="80"/>
      <c r="AD49" s="80"/>
      <c r="AE49" s="97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X49" s="80"/>
      <c r="AY49" s="80"/>
      <c r="AZ49" s="80"/>
      <c r="BA49" s="2">
        <f>A56+1</f>
        <v>45</v>
      </c>
      <c r="BB49" s="7">
        <v>44379.875</v>
      </c>
      <c r="BC49" s="114" t="s">
        <v>136</v>
      </c>
      <c r="BD49" s="71" t="str">
        <f>M49</f>
        <v>Niederlande</v>
      </c>
      <c r="BE49" s="16" t="s">
        <v>21</v>
      </c>
      <c r="BF49" s="71" t="str">
        <f>M50</f>
        <v>Dänemark</v>
      </c>
      <c r="BG49" s="15"/>
      <c r="BH49" s="110">
        <f ca="1">IF($B$66="",1,IF(OR(BJ49&lt;1,INT(RAND()*10&lt;6)),BJ49+1,BJ49-1))</f>
        <v>1</v>
      </c>
      <c r="BI49" s="12" t="s">
        <v>22</v>
      </c>
      <c r="BJ49" s="110">
        <f ca="1">IF($B$66="",0,INT(RAND()*5)+INT(RAND()*3)*INT(RAND()*2))</f>
        <v>0</v>
      </c>
      <c r="BK49" s="8" t="s">
        <v>23</v>
      </c>
      <c r="BL49" s="1"/>
      <c r="BM49" s="72" t="str">
        <f>IF(BJ49="","",IF(BJ49=BH49,"falsch!!! K.Remis",IF(BH49&gt;BJ49,BD49,BF49)))</f>
        <v>Niederlande</v>
      </c>
      <c r="BN49" s="1" t="str">
        <f>P49</f>
        <v>AF1</v>
      </c>
      <c r="BO49" s="1" t="str">
        <f>P50</f>
        <v>AF2</v>
      </c>
      <c r="BP49" s="2" t="s">
        <v>52</v>
      </c>
      <c r="BQ49" s="1"/>
      <c r="BR49" s="1"/>
      <c r="BS49" s="94"/>
      <c r="BT49" s="94"/>
      <c r="BU49" s="94"/>
      <c r="BV49" s="94"/>
      <c r="BW49" s="94"/>
      <c r="BX49" s="94"/>
      <c r="BY49" s="95"/>
      <c r="BZ49" s="94"/>
      <c r="CA49" s="94"/>
      <c r="CB49" s="94"/>
      <c r="CC49" s="94"/>
      <c r="CD49" s="94"/>
      <c r="CE49" s="98"/>
      <c r="CF49" s="99"/>
      <c r="CG49" s="94"/>
      <c r="CH49" s="94"/>
      <c r="CI49" s="86"/>
      <c r="CJ49" s="86"/>
      <c r="CK49" s="86"/>
      <c r="CL49" s="86"/>
      <c r="CM49" s="86"/>
      <c r="CN49" s="86"/>
      <c r="CO49" s="94"/>
      <c r="CP49" s="86"/>
      <c r="CQ49" s="86"/>
      <c r="CR49" s="86"/>
      <c r="CS49" s="86"/>
      <c r="CT49" s="86"/>
      <c r="CU49" s="86"/>
      <c r="CV49" s="86"/>
      <c r="CW49" s="86"/>
      <c r="CX49" s="80"/>
      <c r="CY49" s="80"/>
      <c r="CZ49" s="80"/>
    </row>
    <row r="50" spans="1:104" ht="12.75">
      <c r="A50" s="2">
        <f>A49+1</f>
        <v>38</v>
      </c>
      <c r="B50" s="7">
        <v>44374.875</v>
      </c>
      <c r="C50" s="4" t="s">
        <v>167</v>
      </c>
      <c r="D50" s="45" t="str">
        <f>M17</f>
        <v>Dänemark</v>
      </c>
      <c r="E50" s="16" t="s">
        <v>21</v>
      </c>
      <c r="F50" s="42" t="str">
        <f>VLOOKUP(O50,$B$35:$C$38,2,TRUE)</f>
        <v>Deutschland</v>
      </c>
      <c r="G50" s="18"/>
      <c r="H50" s="111">
        <f ca="1" t="shared" si="15"/>
        <v>3</v>
      </c>
      <c r="I50" s="12" t="s">
        <v>22</v>
      </c>
      <c r="J50" s="111">
        <f ca="1" t="shared" si="16"/>
        <v>2</v>
      </c>
      <c r="K50" s="8" t="s">
        <v>23</v>
      </c>
      <c r="L50" s="1"/>
      <c r="M50" s="70" t="str">
        <f t="shared" si="17"/>
        <v>Dänemark</v>
      </c>
      <c r="N50" s="1" t="str">
        <f>N17</f>
        <v>1B</v>
      </c>
      <c r="O50" s="1" t="str">
        <f>IF(AE50="",CONCATENATE("3",AB50),CONCATENATE("3",AE50))</f>
        <v>3F</v>
      </c>
      <c r="P50" s="1" t="s">
        <v>43</v>
      </c>
      <c r="Q50" s="1"/>
      <c r="V50" s="94"/>
      <c r="W50" s="94"/>
      <c r="Y50" s="3" t="s">
        <v>132</v>
      </c>
      <c r="Z50" s="94"/>
      <c r="AA50" s="94" t="s">
        <v>124</v>
      </c>
      <c r="AB50" s="107" t="str">
        <f>IF(COUNTIF($CF$33:$CF$41,C$31)&gt;0,$CF$32,IF(COUNTIF($CG$33:$CG$41,C$31)&gt;0,$CG$32,IF(COUNTIF($CH$33:$CH$41,C$31)&gt;0,$CH$32,IF(COUNTIF($CI$33:$CI$41,C$31)&gt;0,$CI$32,CONCATENATE("??? ",C$31)))))</f>
        <v>F</v>
      </c>
      <c r="AC50" s="80"/>
      <c r="AD50" s="80"/>
      <c r="AE50" s="97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X50" s="80"/>
      <c r="AY50" s="80"/>
      <c r="AZ50" s="80"/>
      <c r="BA50" s="2">
        <f>BA49+1</f>
        <v>46</v>
      </c>
      <c r="BB50" s="7">
        <v>44379.75</v>
      </c>
      <c r="BC50" s="114" t="s">
        <v>135</v>
      </c>
      <c r="BD50" s="53" t="str">
        <f>M51</f>
        <v>Portugal</v>
      </c>
      <c r="BE50" s="52" t="s">
        <v>21</v>
      </c>
      <c r="BF50" s="53" t="str">
        <f>M52</f>
        <v>Kroatien</v>
      </c>
      <c r="BG50" s="15"/>
      <c r="BH50" s="110">
        <f ca="1">IF($B$66="",1,IF(OR(BJ50&lt;1,INT(RAND()*10&lt;6)),BJ50+1,BJ50-1))</f>
        <v>1</v>
      </c>
      <c r="BI50" s="12" t="s">
        <v>22</v>
      </c>
      <c r="BJ50" s="110">
        <f ca="1">IF($B$66="",0,INT(RAND()*5)+INT(RAND()*3)*INT(RAND()*2))</f>
        <v>0</v>
      </c>
      <c r="BK50" s="8" t="s">
        <v>23</v>
      </c>
      <c r="BL50" s="1"/>
      <c r="BM50" s="54" t="str">
        <f>IF(BJ50="","",IF(BJ50=BH50,"falsch!!! K.Remis",IF(BH50&gt;BJ50,BD50,BF50)))</f>
        <v>Portugal</v>
      </c>
      <c r="BN50" s="1" t="str">
        <f>P51</f>
        <v>AF3</v>
      </c>
      <c r="BO50" s="1" t="str">
        <f>P52</f>
        <v>AF4</v>
      </c>
      <c r="BP50" s="2" t="s">
        <v>54</v>
      </c>
      <c r="BQ50" s="1"/>
      <c r="BR50" s="1"/>
      <c r="BS50" s="94"/>
      <c r="BT50" s="94"/>
      <c r="BU50" s="94"/>
      <c r="BV50" s="94"/>
      <c r="BW50" s="94"/>
      <c r="BX50" s="94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6"/>
      <c r="CQ50" s="86"/>
      <c r="CR50" s="86"/>
      <c r="CS50" s="86"/>
      <c r="CT50" s="86"/>
      <c r="CU50" s="86"/>
      <c r="CV50" s="86"/>
      <c r="CW50" s="86"/>
      <c r="CX50" s="80"/>
      <c r="CY50" s="80"/>
      <c r="CZ50" s="80"/>
    </row>
    <row r="51" spans="1:104" ht="12.75">
      <c r="A51" s="2">
        <f aca="true" t="shared" si="18" ref="A51:A56">A50+1</f>
        <v>39</v>
      </c>
      <c r="B51" s="7">
        <v>44375.875</v>
      </c>
      <c r="C51" s="4" t="s">
        <v>141</v>
      </c>
      <c r="D51" s="49" t="str">
        <f>BM27</f>
        <v>Portugal</v>
      </c>
      <c r="E51" s="16" t="s">
        <v>21</v>
      </c>
      <c r="F51" s="42" t="str">
        <f>VLOOKUP(O51,$B$35:$C$38,2,TRUE)</f>
        <v>Finnland</v>
      </c>
      <c r="G51" s="18"/>
      <c r="H51" s="111">
        <f ca="1" t="shared" si="15"/>
        <v>3</v>
      </c>
      <c r="I51" s="12" t="s">
        <v>22</v>
      </c>
      <c r="J51" s="111">
        <f ca="1" t="shared" si="16"/>
        <v>2</v>
      </c>
      <c r="K51" s="8" t="s">
        <v>23</v>
      </c>
      <c r="L51" s="1"/>
      <c r="M51" s="55" t="str">
        <f t="shared" si="17"/>
        <v>Portugal</v>
      </c>
      <c r="N51" s="1" t="str">
        <f>BN27</f>
        <v>1F</v>
      </c>
      <c r="O51" s="1" t="str">
        <f>IF(AE51="",CONCATENATE("3",AB51),CONCATENATE("3",AE51))</f>
        <v>3B</v>
      </c>
      <c r="P51" s="1" t="s">
        <v>44</v>
      </c>
      <c r="Q51" s="1"/>
      <c r="V51" s="94"/>
      <c r="W51" s="94"/>
      <c r="Y51" s="3" t="s">
        <v>134</v>
      </c>
      <c r="Z51" s="94"/>
      <c r="AA51" s="94" t="s">
        <v>124</v>
      </c>
      <c r="AB51" s="107" t="str">
        <f>IF(COUNTIF($CQ$33:$CQ$41,C$31)&gt;0,$CQ$32,IF(COUNTIF($CR$33:$CR$41,C$31)&gt;0,$CR$32,IF(COUNTIF($CS$33:$CS$41,C$31)&gt;0,$CS$32,CONCATENATE("??? ",C$31))))</f>
        <v>B</v>
      </c>
      <c r="AC51" s="80"/>
      <c r="AD51" s="80"/>
      <c r="AE51" s="97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X51" s="80"/>
      <c r="AY51" s="80"/>
      <c r="AZ51" s="80"/>
      <c r="BA51" s="2">
        <f>BA50+1</f>
        <v>47</v>
      </c>
      <c r="BB51" s="7">
        <v>44380.75</v>
      </c>
      <c r="BC51" s="114" t="s">
        <v>137</v>
      </c>
      <c r="BD51" s="56" t="str">
        <f>M53</f>
        <v>Spanien</v>
      </c>
      <c r="BE51" s="52" t="s">
        <v>21</v>
      </c>
      <c r="BF51" s="56" t="str">
        <f>M54</f>
        <v>Schweiz</v>
      </c>
      <c r="BG51" s="15"/>
      <c r="BH51" s="110">
        <f ca="1">IF($B$66="",1,IF(OR(BJ51&lt;1,INT(RAND()*10&lt;6)),BJ51+1,BJ51-1))</f>
        <v>3</v>
      </c>
      <c r="BI51" s="12" t="s">
        <v>22</v>
      </c>
      <c r="BJ51" s="110">
        <f ca="1">IF($B$66="",0,INT(RAND()*5)+INT(RAND()*3)*INT(RAND()*2))</f>
        <v>2</v>
      </c>
      <c r="BK51" s="8" t="s">
        <v>23</v>
      </c>
      <c r="BL51" s="1"/>
      <c r="BM51" s="57" t="str">
        <f>IF(BJ51="","",IF(BJ51=BH51,"falsch!!! K.Remis",IF(BH51&gt;BJ51,BD51,BF51)))</f>
        <v>Spanien</v>
      </c>
      <c r="BN51" s="1" t="str">
        <f>P53</f>
        <v>AF5</v>
      </c>
      <c r="BO51" s="1" t="str">
        <f>P54</f>
        <v>AF6</v>
      </c>
      <c r="BP51" s="1" t="s">
        <v>51</v>
      </c>
      <c r="BQ51" s="1"/>
      <c r="BR51" s="1"/>
      <c r="BS51" s="94"/>
      <c r="BT51" s="94"/>
      <c r="BU51" s="94"/>
      <c r="BV51" s="94"/>
      <c r="BW51" s="94"/>
      <c r="BX51" s="94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6"/>
      <c r="CQ51" s="86"/>
      <c r="CR51" s="86"/>
      <c r="CS51" s="86"/>
      <c r="CT51" s="86"/>
      <c r="CU51" s="86"/>
      <c r="CV51" s="86"/>
      <c r="CW51" s="86"/>
      <c r="CX51" s="80"/>
      <c r="CY51" s="80"/>
      <c r="CZ51" s="80"/>
    </row>
    <row r="52" spans="1:104" ht="12.75">
      <c r="A52" s="2">
        <f t="shared" si="18"/>
        <v>40</v>
      </c>
      <c r="B52" s="7">
        <v>44375.75</v>
      </c>
      <c r="C52" s="4" t="s">
        <v>142</v>
      </c>
      <c r="D52" s="47" t="str">
        <f>BM8</f>
        <v>Kroatien</v>
      </c>
      <c r="E52" s="16" t="s">
        <v>21</v>
      </c>
      <c r="F52" s="48" t="str">
        <f>BM18</f>
        <v>Slowakei</v>
      </c>
      <c r="G52" s="18"/>
      <c r="H52" s="111">
        <f ca="1" t="shared" si="15"/>
        <v>4</v>
      </c>
      <c r="I52" s="12" t="s">
        <v>22</v>
      </c>
      <c r="J52" s="111">
        <f ca="1" t="shared" si="16"/>
        <v>3</v>
      </c>
      <c r="K52" s="8" t="s">
        <v>23</v>
      </c>
      <c r="L52" s="1"/>
      <c r="M52" s="55" t="str">
        <f t="shared" si="17"/>
        <v>Kroatien</v>
      </c>
      <c r="N52" s="1" t="str">
        <f>BN8</f>
        <v>2D</v>
      </c>
      <c r="O52" s="1" t="str">
        <f>BN18</f>
        <v>2E</v>
      </c>
      <c r="P52" s="1" t="s">
        <v>45</v>
      </c>
      <c r="Q52" s="1"/>
      <c r="V52" s="94"/>
      <c r="W52" s="94"/>
      <c r="Y52" s="3"/>
      <c r="Z52" s="94"/>
      <c r="AA52" s="94"/>
      <c r="AB52" s="107"/>
      <c r="AC52" s="80"/>
      <c r="AD52" s="80"/>
      <c r="AE52" s="97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X52" s="80"/>
      <c r="AY52" s="80"/>
      <c r="AZ52" s="80"/>
      <c r="BA52" s="2">
        <f>BA51+1</f>
        <v>48</v>
      </c>
      <c r="BB52" s="7">
        <v>44380.875</v>
      </c>
      <c r="BC52" s="114" t="s">
        <v>138</v>
      </c>
      <c r="BD52" s="58" t="str">
        <f>M55</f>
        <v>Tschechien</v>
      </c>
      <c r="BE52" s="16" t="s">
        <v>21</v>
      </c>
      <c r="BF52" s="58" t="str">
        <f>M56</f>
        <v>Polen</v>
      </c>
      <c r="BG52" s="15"/>
      <c r="BH52" s="110">
        <f ca="1">IF($B$66="",1,IF(OR(BJ52&lt;1,INT(RAND()*10&lt;6)),BJ52+1,BJ52-1))</f>
        <v>5</v>
      </c>
      <c r="BI52" s="12" t="s">
        <v>22</v>
      </c>
      <c r="BJ52" s="110">
        <f ca="1">IF($B$66="",0,INT(RAND()*5)+INT(RAND()*3)*INT(RAND()*2))</f>
        <v>4</v>
      </c>
      <c r="BK52" s="8" t="s">
        <v>23</v>
      </c>
      <c r="BL52" s="1"/>
      <c r="BM52" s="59" t="str">
        <f>IF(BJ52="","",IF(BJ52=BH52,"falsch!!! K.Remis",IF(BH52&gt;BJ52,BD52,BF52)))</f>
        <v>Tschechien</v>
      </c>
      <c r="BN52" s="1" t="str">
        <f>P55</f>
        <v>AF7</v>
      </c>
      <c r="BO52" s="1" t="str">
        <f>P56</f>
        <v>AF8</v>
      </c>
      <c r="BP52" s="1" t="s">
        <v>53</v>
      </c>
      <c r="BQ52" s="1"/>
      <c r="BR52" s="1"/>
      <c r="BS52" s="94"/>
      <c r="BT52" s="94"/>
      <c r="BU52" s="94"/>
      <c r="BV52" s="94"/>
      <c r="BW52" s="94"/>
      <c r="BX52" s="94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6"/>
      <c r="CQ52" s="86"/>
      <c r="CR52" s="86"/>
      <c r="CS52" s="86"/>
      <c r="CT52" s="86"/>
      <c r="CU52" s="86"/>
      <c r="CV52" s="86"/>
      <c r="CW52" s="86"/>
      <c r="CX52" s="80"/>
      <c r="CY52" s="80"/>
      <c r="CZ52" s="80"/>
    </row>
    <row r="53" spans="1:104" ht="12.75">
      <c r="A53" s="2">
        <f t="shared" si="18"/>
        <v>41</v>
      </c>
      <c r="B53" s="7">
        <v>44374.75</v>
      </c>
      <c r="C53" s="4" t="s">
        <v>143</v>
      </c>
      <c r="D53" s="46" t="str">
        <f>M27</f>
        <v>N'Mazedonien</v>
      </c>
      <c r="E53" s="16" t="s">
        <v>21</v>
      </c>
      <c r="F53" s="42" t="str">
        <f>VLOOKUP(O53,$B$35:$C$38,2,TRUE)</f>
        <v>Spanien</v>
      </c>
      <c r="G53" s="18"/>
      <c r="H53" s="111">
        <f ca="1" t="shared" si="15"/>
        <v>1</v>
      </c>
      <c r="I53" s="12" t="s">
        <v>22</v>
      </c>
      <c r="J53" s="111">
        <f ca="1" t="shared" si="16"/>
        <v>2</v>
      </c>
      <c r="K53" s="8" t="s">
        <v>23</v>
      </c>
      <c r="L53" s="1"/>
      <c r="M53" s="60" t="str">
        <f t="shared" si="17"/>
        <v>Spanien</v>
      </c>
      <c r="N53" s="1" t="str">
        <f>N27</f>
        <v>1C</v>
      </c>
      <c r="O53" s="1" t="str">
        <f>IF(AE53="",CONCATENATE("3",AB53),CONCATENATE("3",AE53))</f>
        <v>3E</v>
      </c>
      <c r="P53" s="1" t="s">
        <v>46</v>
      </c>
      <c r="Q53" s="1"/>
      <c r="V53" s="94"/>
      <c r="W53" s="94"/>
      <c r="Y53" s="3" t="s">
        <v>131</v>
      </c>
      <c r="Z53" s="94"/>
      <c r="AA53" s="94" t="s">
        <v>124</v>
      </c>
      <c r="AB53" s="107" t="str">
        <f>IF(COUNTIF($CJ$33:$CJ$41,C$31)&gt;0,$CJ$32,IF(COUNTIF($CK$33:$CK$41,C$31)&gt;0,$CK$32,IF(COUNTIF($CL$33:$CL$41,C$31)&gt;0,$CL$32,CONCATENATE("??? ",C$31))))</f>
        <v>E</v>
      </c>
      <c r="AC53" s="80"/>
      <c r="AD53" s="80"/>
      <c r="AE53" s="97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X53" s="80"/>
      <c r="AY53" s="80"/>
      <c r="AZ53" s="80"/>
      <c r="BD53" s="17"/>
      <c r="BE53" s="17"/>
      <c r="BF53" s="17"/>
      <c r="BG53" s="17"/>
      <c r="BQ53" s="1"/>
      <c r="BR53" s="1"/>
      <c r="BS53" s="94"/>
      <c r="BT53" s="94"/>
      <c r="BU53" s="94"/>
      <c r="BV53" s="94"/>
      <c r="BW53" s="94"/>
      <c r="BX53" s="94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6"/>
      <c r="CQ53" s="86"/>
      <c r="CR53" s="86"/>
      <c r="CS53" s="86"/>
      <c r="CT53" s="86"/>
      <c r="CU53" s="86"/>
      <c r="CV53" s="86"/>
      <c r="CW53" s="86"/>
      <c r="CX53" s="80"/>
      <c r="CY53" s="80"/>
      <c r="CZ53" s="80"/>
    </row>
    <row r="54" spans="1:104" ht="12.75">
      <c r="A54" s="2">
        <f t="shared" si="18"/>
        <v>42</v>
      </c>
      <c r="B54" s="7">
        <v>44373.75</v>
      </c>
      <c r="C54" s="4" t="s">
        <v>144</v>
      </c>
      <c r="D54" s="30" t="str">
        <f>M8</f>
        <v>Schweiz</v>
      </c>
      <c r="E54" s="16" t="s">
        <v>21</v>
      </c>
      <c r="F54" s="45" t="str">
        <f>M18</f>
        <v>Belgien</v>
      </c>
      <c r="G54" s="18"/>
      <c r="H54" s="111">
        <f ca="1" t="shared" si="15"/>
        <v>2</v>
      </c>
      <c r="I54" s="12" t="s">
        <v>22</v>
      </c>
      <c r="J54" s="111">
        <f ca="1" t="shared" si="16"/>
        <v>1</v>
      </c>
      <c r="K54" s="8" t="s">
        <v>23</v>
      </c>
      <c r="L54" s="1"/>
      <c r="M54" s="60" t="str">
        <f t="shared" si="17"/>
        <v>Schweiz</v>
      </c>
      <c r="N54" s="1" t="str">
        <f>N8</f>
        <v>2A</v>
      </c>
      <c r="O54" s="1" t="str">
        <f>N18</f>
        <v>2B</v>
      </c>
      <c r="P54" s="1" t="s">
        <v>47</v>
      </c>
      <c r="Q54" s="1"/>
      <c r="V54" s="94"/>
      <c r="W54" s="94"/>
      <c r="Y54" s="3"/>
      <c r="Z54" s="94"/>
      <c r="AA54" s="94"/>
      <c r="AB54" s="107"/>
      <c r="AC54" s="80"/>
      <c r="AD54" s="80"/>
      <c r="AE54" s="97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X54" s="80"/>
      <c r="AY54" s="80"/>
      <c r="AZ54" s="80"/>
      <c r="BB54" s="61" t="s">
        <v>55</v>
      </c>
      <c r="BC54" s="24"/>
      <c r="BD54" s="15"/>
      <c r="BE54" s="15"/>
      <c r="BF54" s="15"/>
      <c r="BG54" s="18"/>
      <c r="BH54" s="22"/>
      <c r="BI54" s="21"/>
      <c r="BJ54" s="22"/>
      <c r="BK54" s="50"/>
      <c r="BL54" s="18"/>
      <c r="BM54" s="24"/>
      <c r="BN54" s="18"/>
      <c r="BO54" s="18"/>
      <c r="BP54" s="18"/>
      <c r="BQ54" s="1"/>
      <c r="BR54" s="1"/>
      <c r="BS54" s="94"/>
      <c r="BT54" s="94"/>
      <c r="BU54" s="94"/>
      <c r="BV54" s="94"/>
      <c r="BW54" s="94"/>
      <c r="BX54" s="94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6"/>
      <c r="CQ54" s="86"/>
      <c r="CR54" s="86"/>
      <c r="CS54" s="86"/>
      <c r="CT54" s="86"/>
      <c r="CU54" s="86"/>
      <c r="CV54" s="86"/>
      <c r="CW54" s="86"/>
      <c r="CX54" s="80"/>
      <c r="CY54" s="80"/>
      <c r="CZ54" s="80"/>
    </row>
    <row r="55" spans="1:104" ht="12.75">
      <c r="A55" s="2">
        <f t="shared" si="18"/>
        <v>43</v>
      </c>
      <c r="B55" s="7">
        <v>44376.75</v>
      </c>
      <c r="C55" s="4" t="s">
        <v>139</v>
      </c>
      <c r="D55" s="47" t="str">
        <f>BM7</f>
        <v>Tschechien</v>
      </c>
      <c r="E55" s="16" t="s">
        <v>21</v>
      </c>
      <c r="F55" s="49" t="str">
        <f>BM28</f>
        <v>Ungarn</v>
      </c>
      <c r="G55" s="18"/>
      <c r="H55" s="111">
        <f ca="1" t="shared" si="15"/>
        <v>1</v>
      </c>
      <c r="I55" s="12" t="s">
        <v>22</v>
      </c>
      <c r="J55" s="111">
        <f ca="1" t="shared" si="16"/>
        <v>0</v>
      </c>
      <c r="K55" s="8" t="s">
        <v>23</v>
      </c>
      <c r="L55" s="1"/>
      <c r="M55" s="62" t="str">
        <f t="shared" si="17"/>
        <v>Tschechien</v>
      </c>
      <c r="N55" s="1" t="str">
        <f>BN7</f>
        <v>1D</v>
      </c>
      <c r="O55" s="1" t="str">
        <f>BN28</f>
        <v>2F</v>
      </c>
      <c r="P55" s="1" t="s">
        <v>48</v>
      </c>
      <c r="Q55" s="1"/>
      <c r="V55" s="94"/>
      <c r="W55" s="94"/>
      <c r="Y55" s="3"/>
      <c r="Z55" s="94"/>
      <c r="AA55" s="94"/>
      <c r="AB55" s="107"/>
      <c r="AC55" s="80"/>
      <c r="AD55" s="80"/>
      <c r="AE55" s="97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X55" s="80"/>
      <c r="AY55" s="80"/>
      <c r="AZ55" s="80"/>
      <c r="BB55" s="3" t="s">
        <v>19</v>
      </c>
      <c r="BC55" s="3" t="s">
        <v>20</v>
      </c>
      <c r="BD55" s="15"/>
      <c r="BE55" s="15"/>
      <c r="BF55" s="15"/>
      <c r="BG55" s="18"/>
      <c r="BH55" s="22"/>
      <c r="BI55" s="12"/>
      <c r="BJ55" s="22"/>
      <c r="BK55" s="50"/>
      <c r="BL55" s="1"/>
      <c r="BM55" s="3"/>
      <c r="BN55" s="1"/>
      <c r="BO55" s="1"/>
      <c r="BP55" s="1"/>
      <c r="BQ55" s="1"/>
      <c r="BR55" s="1"/>
      <c r="BS55" s="94"/>
      <c r="BT55" s="94"/>
      <c r="BU55" s="94"/>
      <c r="BV55" s="94"/>
      <c r="BW55" s="94"/>
      <c r="BX55" s="94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6"/>
      <c r="CQ55" s="86"/>
      <c r="CR55" s="86"/>
      <c r="CS55" s="86"/>
      <c r="CT55" s="86"/>
      <c r="CU55" s="86"/>
      <c r="CV55" s="86"/>
      <c r="CW55" s="86"/>
      <c r="CX55" s="80"/>
      <c r="CY55" s="80"/>
      <c r="CZ55" s="80"/>
    </row>
    <row r="56" spans="1:104" ht="12.75">
      <c r="A56" s="2">
        <f t="shared" si="18"/>
        <v>44</v>
      </c>
      <c r="B56" s="7">
        <v>44376.875</v>
      </c>
      <c r="C56" s="4" t="s">
        <v>146</v>
      </c>
      <c r="D56" s="48" t="str">
        <f>BM17</f>
        <v>Polen</v>
      </c>
      <c r="E56" s="16" t="s">
        <v>21</v>
      </c>
      <c r="F56" s="42" t="str">
        <f>VLOOKUP(O56,$B$35:$C$38,2,TRUE)</f>
        <v>Ukraine</v>
      </c>
      <c r="G56" s="18"/>
      <c r="H56" s="111">
        <f ca="1" t="shared" si="15"/>
        <v>5</v>
      </c>
      <c r="I56" s="12" t="s">
        <v>22</v>
      </c>
      <c r="J56" s="111">
        <f ca="1" t="shared" si="16"/>
        <v>4</v>
      </c>
      <c r="K56" s="8" t="s">
        <v>23</v>
      </c>
      <c r="L56" s="1"/>
      <c r="M56" s="62" t="str">
        <f t="shared" si="17"/>
        <v>Polen</v>
      </c>
      <c r="N56" s="1" t="str">
        <f>BN17</f>
        <v>1E</v>
      </c>
      <c r="O56" s="1" t="str">
        <f>IF(AE56="",CONCATENATE("3",AB56),CONCATENATE("3",AE56))</f>
        <v>3C</v>
      </c>
      <c r="P56" s="1" t="s">
        <v>49</v>
      </c>
      <c r="Q56" s="1"/>
      <c r="V56" s="94"/>
      <c r="W56" s="94"/>
      <c r="Y56" s="3" t="s">
        <v>133</v>
      </c>
      <c r="Z56" s="94"/>
      <c r="AA56" s="94" t="s">
        <v>124</v>
      </c>
      <c r="AB56" s="107" t="str">
        <f>IF(COUNTIF($CM$33:$CM$41,C$31)&gt;0,$CM$32,IF(COUNTIF($CN$33:$CN$41,C$31)&gt;0,$CN$32,IF(COUNTIF($CO$33:$CO$41,C$31)&gt;0,$CO$32,IF(COUNTIF($CP$33:$CP$41,C$31)&gt;0,$CP$32,CONCATENATE("??? ",C$31)))))</f>
        <v>C</v>
      </c>
      <c r="AC56" s="80"/>
      <c r="AD56" s="80"/>
      <c r="AE56" s="97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X56" s="80"/>
      <c r="AY56" s="80"/>
      <c r="AZ56" s="80"/>
      <c r="BA56" s="2">
        <f>BA52+1</f>
        <v>49</v>
      </c>
      <c r="BB56" s="7">
        <v>44383.875</v>
      </c>
      <c r="BC56" s="4" t="s">
        <v>139</v>
      </c>
      <c r="BD56" s="20" t="str">
        <f>BM50</f>
        <v>Portugal</v>
      </c>
      <c r="BE56" s="16" t="s">
        <v>21</v>
      </c>
      <c r="BF56" s="73" t="str">
        <f>BM49</f>
        <v>Niederlande</v>
      </c>
      <c r="BG56" s="18"/>
      <c r="BH56" s="110">
        <f ca="1">IF($B$66="",1,IF(OR(BJ56&lt;1,INT(RAND()*10&lt;6)),BJ56+1,BJ56-1))</f>
        <v>1</v>
      </c>
      <c r="BI56" s="12" t="s">
        <v>22</v>
      </c>
      <c r="BJ56" s="110">
        <f ca="1">IF($B$66="",0,INT(RAND()*5)+INT(RAND()*3)*INT(RAND()*2))</f>
        <v>0</v>
      </c>
      <c r="BK56" s="8" t="s">
        <v>23</v>
      </c>
      <c r="BL56" s="1"/>
      <c r="BM56" s="74" t="str">
        <f>IF(BJ56="","",IF(BJ56=BH56,"falsch!!! K.Remis",IF(BH56&gt;BJ56,BD56,BF56)))</f>
        <v>Portugal</v>
      </c>
      <c r="BN56" s="1" t="str">
        <f>BP50</f>
        <v>VF2</v>
      </c>
      <c r="BO56" s="1" t="str">
        <f>BP49</f>
        <v>VF1</v>
      </c>
      <c r="BP56" s="1" t="s">
        <v>56</v>
      </c>
      <c r="BQ56" s="1"/>
      <c r="BR56" s="1"/>
      <c r="BS56" s="94"/>
      <c r="BT56" s="94"/>
      <c r="BU56" s="94"/>
      <c r="BV56" s="94"/>
      <c r="BW56" s="94"/>
      <c r="BX56" s="94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6"/>
      <c r="CQ56" s="86"/>
      <c r="CR56" s="86"/>
      <c r="CS56" s="86"/>
      <c r="CT56" s="86"/>
      <c r="CU56" s="86"/>
      <c r="CV56" s="86"/>
      <c r="CW56" s="86"/>
      <c r="CX56" s="80"/>
      <c r="CY56" s="80"/>
      <c r="CZ56" s="80"/>
    </row>
    <row r="57" spans="2:104" ht="12.75">
      <c r="B57" s="1"/>
      <c r="C57" s="3"/>
      <c r="D57" s="18"/>
      <c r="E57" s="15"/>
      <c r="F57" s="18"/>
      <c r="G57" s="18"/>
      <c r="H57" s="22"/>
      <c r="I57" s="12"/>
      <c r="J57" s="22"/>
      <c r="K57" s="50"/>
      <c r="L57" s="1"/>
      <c r="M57" s="3"/>
      <c r="N57" s="1"/>
      <c r="O57" s="1"/>
      <c r="P57" s="1"/>
      <c r="Q57" s="1"/>
      <c r="R57" s="1"/>
      <c r="S57" s="94"/>
      <c r="T57" s="94"/>
      <c r="U57" s="94"/>
      <c r="V57" s="94"/>
      <c r="W57" s="94"/>
      <c r="Y57" s="80"/>
      <c r="Z57" s="80"/>
      <c r="AA57" s="80"/>
      <c r="AB57" s="80"/>
      <c r="AC57" s="80"/>
      <c r="AD57" s="80"/>
      <c r="AE57" s="86" t="s">
        <v>125</v>
      </c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X57" s="80"/>
      <c r="AY57" s="80"/>
      <c r="AZ57" s="80"/>
      <c r="BA57" s="2">
        <f>BA56+1</f>
        <v>50</v>
      </c>
      <c r="BB57" s="7">
        <v>44384.875</v>
      </c>
      <c r="BC57" s="114" t="s">
        <v>139</v>
      </c>
      <c r="BD57" s="64" t="str">
        <f>BM52</f>
        <v>Tschechien</v>
      </c>
      <c r="BE57" s="16" t="s">
        <v>21</v>
      </c>
      <c r="BF57" s="63" t="str">
        <f>BM51</f>
        <v>Spanien</v>
      </c>
      <c r="BG57" s="18"/>
      <c r="BH57" s="110">
        <f ca="1">IF($B$66="",1,IF(OR(BJ57&lt;1,INT(RAND()*10&lt;6)),BJ57+1,BJ57-1))</f>
        <v>2</v>
      </c>
      <c r="BI57" s="12" t="s">
        <v>22</v>
      </c>
      <c r="BJ57" s="110">
        <f ca="1">IF($B$66="",0,INT(RAND()*5)+INT(RAND()*3)*INT(RAND()*2))</f>
        <v>1</v>
      </c>
      <c r="BK57" s="8" t="s">
        <v>23</v>
      </c>
      <c r="BL57" s="1"/>
      <c r="BM57" s="74" t="str">
        <f>IF(BJ57="","",IF(BJ57=BH57,"falsch!!! K.Remis",IF(BH57&gt;BJ57,BD57,BF57)))</f>
        <v>Tschechien</v>
      </c>
      <c r="BN57" s="1" t="str">
        <f>BP52</f>
        <v>VF4</v>
      </c>
      <c r="BO57" s="1" t="str">
        <f>BP51</f>
        <v>VF3</v>
      </c>
      <c r="BP57" s="1" t="s">
        <v>57</v>
      </c>
      <c r="BQ57" s="1"/>
      <c r="BR57" s="1"/>
      <c r="BS57" s="94"/>
      <c r="BT57" s="94"/>
      <c r="BU57" s="94"/>
      <c r="BV57" s="94"/>
      <c r="BW57" s="94"/>
      <c r="BX57" s="94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6"/>
      <c r="CQ57" s="86"/>
      <c r="CR57" s="86"/>
      <c r="CS57" s="86"/>
      <c r="CT57" s="86"/>
      <c r="CU57" s="86"/>
      <c r="CV57" s="86"/>
      <c r="CW57" s="86"/>
      <c r="CX57" s="80"/>
      <c r="CY57" s="80"/>
      <c r="CZ57" s="80"/>
    </row>
    <row r="58" spans="8:104" ht="12.75">
      <c r="H58" s="2"/>
      <c r="I58" s="2"/>
      <c r="J58" s="2"/>
      <c r="K58" s="2"/>
      <c r="M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B58" s="1"/>
      <c r="BC58" s="3"/>
      <c r="BD58" s="15"/>
      <c r="BE58" s="15"/>
      <c r="BF58" s="15"/>
      <c r="BG58" s="18"/>
      <c r="BH58" s="22"/>
      <c r="BI58" s="12"/>
      <c r="BJ58" s="22"/>
      <c r="BK58" s="50"/>
      <c r="BL58" s="1"/>
      <c r="BM58" s="65" t="str">
        <f>IF(BD56=BM56,BF56,BD56)</f>
        <v>Niederlande</v>
      </c>
      <c r="BN58" s="1"/>
      <c r="BO58" s="1"/>
      <c r="BP58" s="1" t="s">
        <v>58</v>
      </c>
      <c r="BQ58" s="1"/>
      <c r="BR58" s="1"/>
      <c r="BS58" s="94"/>
      <c r="BT58" s="94"/>
      <c r="BU58" s="94"/>
      <c r="BV58" s="94"/>
      <c r="BW58" s="94"/>
      <c r="BX58" s="94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6"/>
      <c r="CQ58" s="86"/>
      <c r="CR58" s="86"/>
      <c r="CS58" s="86"/>
      <c r="CT58" s="86"/>
      <c r="CU58" s="86"/>
      <c r="CV58" s="86"/>
      <c r="CW58" s="86"/>
      <c r="CX58" s="80"/>
      <c r="CY58" s="80"/>
      <c r="CZ58" s="80"/>
    </row>
    <row r="59" spans="2:104" ht="12.75">
      <c r="B59" s="66" t="s">
        <v>61</v>
      </c>
      <c r="C59" s="3"/>
      <c r="D59" s="11"/>
      <c r="E59" s="17"/>
      <c r="F59" s="11"/>
      <c r="G59" s="11"/>
      <c r="H59" s="26"/>
      <c r="J59" s="26"/>
      <c r="K59" s="50"/>
      <c r="M59" s="2"/>
      <c r="P59" s="1"/>
      <c r="AE59" s="95"/>
      <c r="AF59" s="100"/>
      <c r="BB59" s="66"/>
      <c r="BC59" s="3"/>
      <c r="BD59" s="11"/>
      <c r="BE59" s="17"/>
      <c r="BF59" s="11"/>
      <c r="BG59" s="11"/>
      <c r="BH59" s="26"/>
      <c r="BJ59" s="26"/>
      <c r="BK59" s="50"/>
      <c r="BM59" s="65" t="str">
        <f>IF(BD57=BM57,BF57,BD57)</f>
        <v>Spanien</v>
      </c>
      <c r="BP59" s="1" t="s">
        <v>60</v>
      </c>
      <c r="BS59" s="86"/>
      <c r="BT59" s="86"/>
      <c r="BU59" s="86"/>
      <c r="BV59" s="86"/>
      <c r="BW59" s="86"/>
      <c r="BX59" s="86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6"/>
      <c r="CQ59" s="86"/>
      <c r="CR59" s="86"/>
      <c r="CS59" s="86"/>
      <c r="CT59" s="86"/>
      <c r="CU59" s="86"/>
      <c r="CV59" s="86"/>
      <c r="CW59" s="86"/>
      <c r="CX59" s="80"/>
      <c r="CY59" s="80"/>
      <c r="CZ59" s="80"/>
    </row>
    <row r="60" spans="2:104" ht="12.75">
      <c r="B60" s="3" t="s">
        <v>19</v>
      </c>
      <c r="C60" s="3" t="s">
        <v>20</v>
      </c>
      <c r="D60" s="11"/>
      <c r="E60" s="17"/>
      <c r="F60" s="11"/>
      <c r="G60" s="11"/>
      <c r="H60" s="69"/>
      <c r="J60" s="69"/>
      <c r="K60" s="50"/>
      <c r="M60" s="2" t="s">
        <v>165</v>
      </c>
      <c r="P60" s="1"/>
      <c r="Q60" s="1"/>
      <c r="R60" s="1"/>
      <c r="S60" s="94"/>
      <c r="T60" s="94"/>
      <c r="U60" s="94"/>
      <c r="V60" s="94"/>
      <c r="W60" s="94"/>
      <c r="AE60" s="94"/>
      <c r="AF60" s="99"/>
      <c r="AG60" s="94"/>
      <c r="AH60" s="94"/>
      <c r="AO60" s="94"/>
      <c r="BB60" s="3"/>
      <c r="BC60" s="3"/>
      <c r="BD60" s="11"/>
      <c r="BE60" s="17"/>
      <c r="BF60" s="11"/>
      <c r="BG60" s="11"/>
      <c r="BH60" s="26"/>
      <c r="BJ60" s="26"/>
      <c r="BK60" s="50"/>
      <c r="BM60" s="2"/>
      <c r="BP60" s="1"/>
      <c r="BQ60" s="1"/>
      <c r="BR60" s="1"/>
      <c r="BS60" s="94"/>
      <c r="BT60" s="94"/>
      <c r="BU60" s="94"/>
      <c r="BV60" s="94"/>
      <c r="BW60" s="94"/>
      <c r="BX60" s="86"/>
      <c r="BZ60" s="86"/>
      <c r="CA60" s="86"/>
      <c r="CB60" s="86"/>
      <c r="CC60" s="86"/>
      <c r="CD60" s="86"/>
      <c r="CE60" s="94"/>
      <c r="CF60" s="99"/>
      <c r="CG60" s="94"/>
      <c r="CH60" s="94"/>
      <c r="CI60" s="86"/>
      <c r="CJ60" s="86"/>
      <c r="CK60" s="86"/>
      <c r="CL60" s="86"/>
      <c r="CM60" s="86"/>
      <c r="CN60" s="86"/>
      <c r="CO60" s="94"/>
      <c r="CP60" s="86"/>
      <c r="CQ60" s="86"/>
      <c r="CR60" s="86"/>
      <c r="CS60" s="86"/>
      <c r="CT60" s="86"/>
      <c r="CU60" s="86"/>
      <c r="CV60" s="86"/>
      <c r="CW60" s="86"/>
      <c r="CX60" s="80"/>
      <c r="CY60" s="80"/>
      <c r="CZ60" s="80"/>
    </row>
    <row r="61" spans="1:104" ht="12.75">
      <c r="A61" s="2">
        <f>BA61+1</f>
        <v>1</v>
      </c>
      <c r="B61" s="7">
        <v>44388.875</v>
      </c>
      <c r="C61" s="114" t="s">
        <v>139</v>
      </c>
      <c r="D61" s="40" t="str">
        <f>BM56</f>
        <v>Portugal</v>
      </c>
      <c r="E61" s="24" t="s">
        <v>21</v>
      </c>
      <c r="F61" s="40" t="str">
        <f>BM57</f>
        <v>Tschechien</v>
      </c>
      <c r="G61" s="18"/>
      <c r="H61" s="110">
        <f ca="1">IF($B$66="",1,IF(OR(J61&lt;1,INT(RAND()*10&lt;6)),J61+1,J61-1))</f>
        <v>0</v>
      </c>
      <c r="I61" s="12" t="s">
        <v>22</v>
      </c>
      <c r="J61" s="110">
        <f ca="1">IF($B$66="",0,INT(RAND()*5)+INT(RAND()*3)*INT(RAND()*2))</f>
        <v>1</v>
      </c>
      <c r="K61" s="8" t="s">
        <v>23</v>
      </c>
      <c r="L61" s="1"/>
      <c r="M61" s="67" t="str">
        <f>IF(J61="","",IF(J61=H61,"falsch!!! K.Remis",IF(H61&gt;J61,D61,F61)))</f>
        <v>Tschechien</v>
      </c>
      <c r="N61" s="1" t="str">
        <f>BP56</f>
        <v>F1</v>
      </c>
      <c r="O61" s="1" t="str">
        <f>BP57</f>
        <v>F2</v>
      </c>
      <c r="Q61" s="1"/>
      <c r="R61" s="1"/>
      <c r="S61" s="94"/>
      <c r="T61" s="94"/>
      <c r="U61" s="94"/>
      <c r="V61" s="94"/>
      <c r="W61" s="94"/>
      <c r="AE61" s="94"/>
      <c r="AF61" s="99"/>
      <c r="AG61" s="94"/>
      <c r="AH61" s="94"/>
      <c r="AO61" s="94"/>
      <c r="BD61" s="11"/>
      <c r="BE61" s="17"/>
      <c r="BF61" s="11"/>
      <c r="BG61" s="11"/>
      <c r="BH61" s="26"/>
      <c r="BJ61" s="26"/>
      <c r="BL61" s="1"/>
      <c r="BM61" s="3"/>
      <c r="BN61" s="1"/>
      <c r="BO61" s="1"/>
      <c r="BQ61" s="1"/>
      <c r="BR61" s="1"/>
      <c r="BS61" s="94"/>
      <c r="BT61" s="94"/>
      <c r="BU61" s="94"/>
      <c r="BV61" s="94"/>
      <c r="BW61" s="94"/>
      <c r="BX61" s="86"/>
      <c r="BZ61" s="86"/>
      <c r="CA61" s="86"/>
      <c r="CB61" s="86"/>
      <c r="CC61" s="86"/>
      <c r="CD61" s="86"/>
      <c r="CE61" s="94"/>
      <c r="CF61" s="99"/>
      <c r="CG61" s="94"/>
      <c r="CH61" s="94"/>
      <c r="CI61" s="86"/>
      <c r="CJ61" s="86"/>
      <c r="CK61" s="86"/>
      <c r="CL61" s="86"/>
      <c r="CM61" s="86"/>
      <c r="CN61" s="86"/>
      <c r="CO61" s="94"/>
      <c r="CP61" s="86"/>
      <c r="CQ61" s="86"/>
      <c r="CR61" s="86"/>
      <c r="CS61" s="86"/>
      <c r="CT61" s="86"/>
      <c r="CU61" s="86"/>
      <c r="CV61" s="86"/>
      <c r="CW61" s="86"/>
      <c r="CX61" s="80"/>
      <c r="CY61" s="80"/>
      <c r="CZ61" s="80"/>
    </row>
    <row r="62" spans="8:104" ht="12.75">
      <c r="H62" s="2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D62" s="11"/>
      <c r="BE62" s="17"/>
      <c r="BF62" s="11"/>
      <c r="BG62" s="11"/>
      <c r="BH62" s="26"/>
      <c r="BJ62" s="26"/>
      <c r="BK62" s="50"/>
      <c r="BM62" s="2"/>
      <c r="BQ62" s="1"/>
      <c r="BR62" s="1"/>
      <c r="BS62" s="94"/>
      <c r="BT62" s="94"/>
      <c r="BU62" s="94"/>
      <c r="BV62" s="94"/>
      <c r="BW62" s="94"/>
      <c r="BX62" s="86"/>
      <c r="BZ62" s="86"/>
      <c r="CA62" s="86"/>
      <c r="CB62" s="86"/>
      <c r="CC62" s="86"/>
      <c r="CD62" s="86"/>
      <c r="CE62" s="94"/>
      <c r="CF62" s="99"/>
      <c r="CG62" s="94"/>
      <c r="CH62" s="94"/>
      <c r="CI62" s="86"/>
      <c r="CJ62" s="86"/>
      <c r="CK62" s="86"/>
      <c r="CL62" s="86"/>
      <c r="CM62" s="86"/>
      <c r="CN62" s="86"/>
      <c r="CO62" s="94"/>
      <c r="CP62" s="86"/>
      <c r="CQ62" s="86"/>
      <c r="CR62" s="86"/>
      <c r="CS62" s="86"/>
      <c r="CT62" s="86"/>
      <c r="CU62" s="86"/>
      <c r="CV62" s="86"/>
      <c r="CW62" s="86"/>
      <c r="CX62" s="80"/>
      <c r="CY62" s="80"/>
      <c r="CZ62" s="80"/>
    </row>
    <row r="63" spans="8:93" ht="12.75">
      <c r="H63" s="2"/>
      <c r="I63" s="2"/>
      <c r="J63" s="2"/>
      <c r="K63" s="2"/>
      <c r="M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 s="80"/>
      <c r="CH63" s="80"/>
      <c r="CI63" s="80"/>
      <c r="CJ63" s="80"/>
      <c r="CK63" s="80"/>
      <c r="CL63" s="80"/>
      <c r="CM63" s="80"/>
      <c r="CN63" s="80"/>
      <c r="CO63" s="80"/>
    </row>
    <row r="64" spans="8:93" ht="13.5" thickBot="1">
      <c r="H64" s="2"/>
      <c r="I64" s="2"/>
      <c r="J64" s="2"/>
      <c r="K64" s="2"/>
      <c r="M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2:82" ht="14.25" thickBot="1" thickTop="1">
      <c r="B65" s="76" t="s">
        <v>23</v>
      </c>
      <c r="C65" s="1" t="s">
        <v>63</v>
      </c>
      <c r="D65" s="3"/>
      <c r="E65" s="3"/>
      <c r="F65" s="3"/>
      <c r="G65" s="75"/>
      <c r="H65" s="79"/>
      <c r="AD65" s="95"/>
      <c r="BB65"/>
      <c r="BC65"/>
      <c r="BD65"/>
      <c r="BE65"/>
      <c r="BF65"/>
      <c r="BG65"/>
      <c r="BH65"/>
      <c r="BI65"/>
      <c r="BJ65"/>
      <c r="BK65"/>
      <c r="CD65" s="3"/>
    </row>
    <row r="66" spans="2:83" ht="14.25" thickBot="1" thickTop="1">
      <c r="B66" s="115" t="s">
        <v>70</v>
      </c>
      <c r="C66" s="2" t="s">
        <v>71</v>
      </c>
      <c r="E66" s="3"/>
      <c r="F66" s="3"/>
      <c r="AD66" s="95"/>
      <c r="AE66" s="86"/>
      <c r="BB66"/>
      <c r="BC66"/>
      <c r="BD66"/>
      <c r="BE66"/>
      <c r="BF66"/>
      <c r="BG66"/>
      <c r="BH66"/>
      <c r="BI66"/>
      <c r="BJ66"/>
      <c r="BK66"/>
      <c r="CD66" s="3"/>
      <c r="CE66" s="2"/>
    </row>
    <row r="67" spans="2:83" ht="14.25" thickBot="1" thickTop="1">
      <c r="B67" s="76">
        <f ca="1">IF($B$66="",1,INT(RAND()*5)+INT(RAND()*3)*INT(RAND()*2))</f>
        <v>0</v>
      </c>
      <c r="C67" s="2" t="s">
        <v>62</v>
      </c>
      <c r="E67" s="3"/>
      <c r="F67" s="3"/>
      <c r="AD67" s="95"/>
      <c r="AE67" s="86"/>
      <c r="BB67"/>
      <c r="BC67"/>
      <c r="BD67"/>
      <c r="BE67"/>
      <c r="BF67"/>
      <c r="BG67"/>
      <c r="BH67"/>
      <c r="BI67"/>
      <c r="BJ67"/>
      <c r="BK67"/>
      <c r="CD67" s="3"/>
      <c r="CE67" s="2"/>
    </row>
    <row r="68" ht="13.5" thickTop="1"/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 s="83"/>
      <c r="D74" s="80"/>
      <c r="E74" s="80"/>
      <c r="F74" s="80"/>
      <c r="G74" s="80"/>
      <c r="H74" s="80"/>
      <c r="I74" s="83"/>
      <c r="J74" s="83"/>
      <c r="K74" s="80"/>
      <c r="L74" s="80"/>
      <c r="M74" s="83"/>
      <c r="N74" s="83"/>
      <c r="O74" s="80"/>
      <c r="P74" s="80"/>
      <c r="Q74" s="83"/>
    </row>
    <row r="75" spans="1:17" ht="12.75">
      <c r="A75"/>
      <c r="B75"/>
      <c r="C75" s="80"/>
      <c r="D75" s="80"/>
      <c r="E75" s="80"/>
      <c r="F75" s="80"/>
      <c r="G75" s="80"/>
      <c r="H75" s="80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2.75">
      <c r="A77"/>
      <c r="B77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2.75">
      <c r="A78"/>
      <c r="B78"/>
      <c r="C78" s="83"/>
      <c r="D78" s="80"/>
      <c r="E78" s="80"/>
      <c r="F78" s="80"/>
      <c r="G78" s="80"/>
      <c r="H78" s="80"/>
      <c r="I78" s="83"/>
      <c r="J78" s="83"/>
      <c r="K78" s="80"/>
      <c r="L78" s="80"/>
      <c r="M78" s="83"/>
      <c r="N78" s="83"/>
      <c r="O78" s="80"/>
      <c r="P78" s="80"/>
      <c r="Q78" s="83"/>
    </row>
    <row r="79" spans="1:17" ht="12.75">
      <c r="A79"/>
      <c r="B79"/>
      <c r="C79" s="80"/>
      <c r="D79" s="80"/>
      <c r="E79" s="80"/>
      <c r="F79" s="80"/>
      <c r="G79" s="80"/>
      <c r="H79" s="80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1:17" ht="12.75">
      <c r="A81"/>
      <c r="B8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3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.75">
      <c r="A87"/>
      <c r="B87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.75">
      <c r="A88"/>
      <c r="B8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84"/>
      <c r="AJ88"/>
      <c r="AK88"/>
      <c r="AL88"/>
    </row>
    <row r="89" spans="1:38" ht="12.75">
      <c r="A89"/>
      <c r="B8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 s="84"/>
      <c r="AJ89"/>
      <c r="AK89"/>
      <c r="AL89"/>
    </row>
    <row r="90" spans="1:38" ht="12.75">
      <c r="A90"/>
      <c r="B9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/>
      <c r="S90"/>
      <c r="T90"/>
      <c r="U90"/>
      <c r="V90"/>
      <c r="W90"/>
      <c r="X90"/>
      <c r="Y90"/>
      <c r="Z90"/>
      <c r="AA90" s="84"/>
      <c r="AB90"/>
      <c r="AC90"/>
      <c r="AD90"/>
      <c r="AE90" s="84"/>
      <c r="AF90"/>
      <c r="AG90" s="84"/>
      <c r="AH90"/>
      <c r="AI90"/>
      <c r="AJ90" s="84"/>
      <c r="AK90"/>
      <c r="AL90"/>
    </row>
    <row r="91" spans="1:38" ht="12.75">
      <c r="A91"/>
      <c r="B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/>
      <c r="S91"/>
      <c r="T91"/>
      <c r="U91"/>
      <c r="V91"/>
      <c r="W91"/>
      <c r="X91"/>
      <c r="Y91"/>
      <c r="Z91"/>
      <c r="AA91" s="84"/>
      <c r="AB91" s="84"/>
      <c r="AC91" s="84"/>
      <c r="AD91"/>
      <c r="AE91" s="84"/>
      <c r="AF91"/>
      <c r="AG91" s="84"/>
      <c r="AH91"/>
      <c r="AI91" s="84"/>
      <c r="AJ91" s="84"/>
      <c r="AK91"/>
      <c r="AL91"/>
    </row>
    <row r="92" spans="1:38" ht="12.75">
      <c r="A92"/>
      <c r="B92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/>
      <c r="S92"/>
      <c r="T92"/>
      <c r="U92"/>
      <c r="V92"/>
      <c r="W92"/>
      <c r="X92"/>
      <c r="Y92"/>
      <c r="Z92"/>
      <c r="AA92" s="84"/>
      <c r="AB92" s="84"/>
      <c r="AC92" s="84"/>
      <c r="AD92"/>
      <c r="AE92"/>
      <c r="AF92"/>
      <c r="AG92" s="84"/>
      <c r="AH92"/>
      <c r="AI92" s="84"/>
      <c r="AJ92" s="84"/>
      <c r="AK92"/>
      <c r="AL92"/>
    </row>
    <row r="93" spans="1:38" ht="12.75">
      <c r="A93"/>
      <c r="B93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/>
      <c r="S93"/>
      <c r="T93"/>
      <c r="U93"/>
      <c r="V93"/>
      <c r="W93"/>
      <c r="X93"/>
      <c r="Y93"/>
      <c r="Z93"/>
      <c r="AA93" s="84"/>
      <c r="AB93" s="84"/>
      <c r="AC93" s="84"/>
      <c r="AD93"/>
      <c r="AE93"/>
      <c r="AF93"/>
      <c r="AG93" s="84"/>
      <c r="AH93"/>
      <c r="AI93" s="84"/>
      <c r="AJ93"/>
      <c r="AK93"/>
      <c r="AL93"/>
    </row>
    <row r="94" spans="1:38" ht="12.75">
      <c r="A94"/>
      <c r="B94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/>
      <c r="S94"/>
      <c r="T94"/>
      <c r="U94"/>
      <c r="V94"/>
      <c r="W94"/>
      <c r="X94"/>
      <c r="Y94"/>
      <c r="Z94"/>
      <c r="AA94" s="84"/>
      <c r="AB94"/>
      <c r="AC94"/>
      <c r="AD94"/>
      <c r="AE94"/>
      <c r="AF94"/>
      <c r="AG94"/>
      <c r="AH94"/>
      <c r="AI94" s="84"/>
      <c r="AJ94"/>
      <c r="AK94"/>
      <c r="AL94"/>
    </row>
    <row r="95" spans="1:3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84"/>
      <c r="AB95"/>
      <c r="AC95"/>
      <c r="AD95"/>
      <c r="AE95"/>
      <c r="AF95"/>
      <c r="AG95"/>
      <c r="AH95"/>
      <c r="AI95"/>
      <c r="AJ95"/>
      <c r="AK95"/>
      <c r="AL95"/>
    </row>
    <row r="96" spans="1:3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84"/>
      <c r="AB96"/>
      <c r="AC96"/>
      <c r="AD96"/>
      <c r="AE96"/>
      <c r="AF96"/>
      <c r="AG96"/>
      <c r="AH96"/>
      <c r="AI96"/>
      <c r="AJ96"/>
      <c r="AK96"/>
      <c r="AL96"/>
    </row>
    <row r="97" spans="1:3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84"/>
      <c r="AB97"/>
      <c r="AC97"/>
      <c r="AD97"/>
      <c r="AE97"/>
      <c r="AF97"/>
      <c r="AG97"/>
      <c r="AH97"/>
      <c r="AI97"/>
      <c r="AJ97"/>
      <c r="AK97"/>
      <c r="AL97"/>
    </row>
    <row r="98" spans="1:3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84"/>
      <c r="AB98"/>
      <c r="AC98"/>
      <c r="AD98"/>
      <c r="AE98"/>
      <c r="AF98"/>
      <c r="AG98"/>
      <c r="AH98"/>
      <c r="AI98"/>
      <c r="AJ98"/>
      <c r="AK98"/>
      <c r="AL98"/>
    </row>
    <row r="99" spans="1:3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84"/>
      <c r="AB99"/>
      <c r="AC99"/>
      <c r="AD99"/>
      <c r="AE99"/>
      <c r="AF99"/>
      <c r="AG99"/>
      <c r="AH99"/>
      <c r="AI99"/>
      <c r="AJ99"/>
      <c r="AK99"/>
      <c r="AL99"/>
    </row>
    <row r="100" spans="1:3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115"/>
  <sheetViews>
    <sheetView tabSelected="1" zoomScalePageLayoutView="0" workbookViewId="0" topLeftCell="A25">
      <selection activeCell="H65" sqref="H65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4" customWidth="1"/>
    <col min="9" max="9" width="1.57421875" style="14" customWidth="1"/>
    <col min="10" max="10" width="3.57421875" style="14" customWidth="1"/>
    <col min="11" max="11" width="3.00390625" style="8" customWidth="1"/>
    <col min="12" max="12" width="2.00390625" style="2" customWidth="1"/>
    <col min="13" max="13" width="14.28125" style="10" customWidth="1"/>
    <col min="14" max="17" width="4.28125" style="2" customWidth="1"/>
    <col min="18" max="18" width="3.8515625" style="2" customWidth="1"/>
    <col min="19" max="22" width="2.00390625" style="86" hidden="1" customWidth="1"/>
    <col min="23" max="23" width="1.7109375" style="86" hidden="1" customWidth="1"/>
    <col min="24" max="24" width="3.00390625" style="86" hidden="1" customWidth="1"/>
    <col min="25" max="25" width="14.28125" style="86" hidden="1" customWidth="1"/>
    <col min="26" max="26" width="2.28125" style="86" hidden="1" customWidth="1"/>
    <col min="27" max="27" width="3.28125" style="86" hidden="1" customWidth="1"/>
    <col min="28" max="28" width="3.00390625" style="86" hidden="1" customWidth="1"/>
    <col min="29" max="29" width="4.421875" style="86" hidden="1" customWidth="1"/>
    <col min="30" max="30" width="19.28125" style="86" hidden="1" customWidth="1"/>
    <col min="31" max="31" width="3.140625" style="100" hidden="1" customWidth="1"/>
    <col min="32" max="32" width="3.57421875" style="86" hidden="1" customWidth="1"/>
    <col min="33" max="36" width="2.8515625" style="86" hidden="1" customWidth="1"/>
    <col min="37" max="37" width="3.140625" style="86" hidden="1" customWidth="1"/>
    <col min="38" max="38" width="6.421875" style="86" hidden="1" customWidth="1"/>
    <col min="39" max="42" width="2.8515625" style="86" hidden="1" customWidth="1"/>
    <col min="43" max="43" width="7.7109375" style="86" hidden="1" customWidth="1"/>
    <col min="44" max="47" width="3.00390625" style="86" hidden="1" customWidth="1"/>
    <col min="48" max="48" width="3.140625" style="86" hidden="1" customWidth="1"/>
    <col min="49" max="52" width="11.421875" style="86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4" customWidth="1"/>
    <col min="61" max="61" width="1.57421875" style="14" customWidth="1"/>
    <col min="62" max="62" width="3.57421875" style="14" customWidth="1"/>
    <col min="63" max="63" width="3.00390625" style="8" customWidth="1"/>
    <col min="64" max="64" width="2.00390625" style="2" customWidth="1"/>
    <col min="65" max="65" width="14.28125" style="10" customWidth="1"/>
    <col min="66" max="69" width="4.28125" style="2" customWidth="1"/>
    <col min="70" max="70" width="3.8515625" style="2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86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5.00390625" style="9" hidden="1" customWidth="1"/>
    <col min="84" max="100" width="5.00390625" style="2" hidden="1" customWidth="1"/>
    <col min="101" max="104" width="11.421875" style="2" hidden="1" customWidth="1"/>
    <col min="105" max="16384" width="11.421875" style="2" customWidth="1"/>
  </cols>
  <sheetData>
    <row r="1" spans="1:100" s="11" customFormat="1" ht="14.25" thickBot="1" thickTop="1">
      <c r="A1" s="11" t="s">
        <v>69</v>
      </c>
      <c r="B1" s="33" t="s">
        <v>0</v>
      </c>
      <c r="C1" s="30" t="s">
        <v>1</v>
      </c>
      <c r="D1" s="18" t="s">
        <v>2</v>
      </c>
      <c r="E1" s="15"/>
      <c r="F1" s="18"/>
      <c r="G1" s="77"/>
      <c r="H1" s="78"/>
      <c r="I1" s="21"/>
      <c r="J1" s="22"/>
      <c r="K1" s="23"/>
      <c r="L1" s="18"/>
      <c r="M1" s="43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/>
      <c r="S1" s="86"/>
      <c r="T1" s="86"/>
      <c r="U1" s="86"/>
      <c r="V1" s="86"/>
      <c r="W1" s="87"/>
      <c r="X1" s="87" t="s">
        <v>8</v>
      </c>
      <c r="Y1" s="88" t="s">
        <v>9</v>
      </c>
      <c r="Z1" s="87" t="s">
        <v>4</v>
      </c>
      <c r="AA1" s="87" t="s">
        <v>5</v>
      </c>
      <c r="AB1" s="87" t="s">
        <v>6</v>
      </c>
      <c r="AC1" s="87" t="s">
        <v>7</v>
      </c>
      <c r="AD1" s="87"/>
      <c r="AE1" s="21" t="s">
        <v>10</v>
      </c>
      <c r="AF1" s="52" t="s">
        <v>11</v>
      </c>
      <c r="AG1" s="52"/>
      <c r="AH1" s="52"/>
      <c r="AI1" s="52"/>
      <c r="AJ1" s="52" t="s">
        <v>12</v>
      </c>
      <c r="AK1" s="88" t="s">
        <v>13</v>
      </c>
      <c r="AL1" s="52" t="s">
        <v>14</v>
      </c>
      <c r="AM1" s="52"/>
      <c r="AN1" s="52"/>
      <c r="AO1" s="52"/>
      <c r="AP1" s="52" t="s">
        <v>15</v>
      </c>
      <c r="AQ1" s="52" t="s">
        <v>16</v>
      </c>
      <c r="AR1" s="52"/>
      <c r="AS1" s="52"/>
      <c r="AT1" s="52"/>
      <c r="AU1" s="89" t="s">
        <v>17</v>
      </c>
      <c r="AV1" s="88" t="s">
        <v>18</v>
      </c>
      <c r="AW1" s="90"/>
      <c r="AX1" s="91"/>
      <c r="AY1" s="91"/>
      <c r="AZ1" s="91"/>
      <c r="BB1" s="32" t="s">
        <v>0</v>
      </c>
      <c r="BC1" s="47" t="s">
        <v>32</v>
      </c>
      <c r="BD1" s="18" t="s">
        <v>2</v>
      </c>
      <c r="BE1" s="15"/>
      <c r="BF1" s="18"/>
      <c r="BG1" s="77"/>
      <c r="BH1" s="78"/>
      <c r="BI1" s="21"/>
      <c r="BJ1" s="22"/>
      <c r="BK1" s="23"/>
      <c r="BL1" s="18"/>
      <c r="BM1" s="43" t="s">
        <v>3</v>
      </c>
      <c r="BN1" s="18" t="s">
        <v>4</v>
      </c>
      <c r="BO1" s="18" t="s">
        <v>5</v>
      </c>
      <c r="BP1" s="18" t="s">
        <v>6</v>
      </c>
      <c r="BQ1" s="18" t="s">
        <v>7</v>
      </c>
      <c r="BR1" s="18"/>
      <c r="BS1" s="2"/>
      <c r="BT1" s="2"/>
      <c r="BU1" s="2"/>
      <c r="BV1" s="2"/>
      <c r="BW1" s="18"/>
      <c r="BX1" s="18" t="s">
        <v>8</v>
      </c>
      <c r="BY1" s="88" t="s">
        <v>9</v>
      </c>
      <c r="BZ1" s="18" t="s">
        <v>4</v>
      </c>
      <c r="CA1" s="18" t="s">
        <v>5</v>
      </c>
      <c r="CB1" s="18" t="s">
        <v>6</v>
      </c>
      <c r="CC1" s="18" t="s">
        <v>7</v>
      </c>
      <c r="CD1" s="18"/>
      <c r="CE1" s="23" t="s">
        <v>10</v>
      </c>
      <c r="CF1" s="16" t="s">
        <v>11</v>
      </c>
      <c r="CG1" s="16"/>
      <c r="CH1" s="16"/>
      <c r="CI1" s="16"/>
      <c r="CJ1" s="16" t="s">
        <v>12</v>
      </c>
      <c r="CK1" s="24" t="s">
        <v>13</v>
      </c>
      <c r="CL1" s="16" t="s">
        <v>14</v>
      </c>
      <c r="CM1" s="16"/>
      <c r="CN1" s="16"/>
      <c r="CO1" s="16"/>
      <c r="CP1" s="16" t="s">
        <v>15</v>
      </c>
      <c r="CQ1" s="16" t="s">
        <v>16</v>
      </c>
      <c r="CR1" s="16"/>
      <c r="CS1" s="16"/>
      <c r="CT1" s="16"/>
      <c r="CU1" s="17" t="s">
        <v>17</v>
      </c>
      <c r="CV1" s="24" t="s">
        <v>18</v>
      </c>
    </row>
    <row r="2" spans="2:100" ht="13.5" thickTop="1">
      <c r="B2" s="3" t="s">
        <v>19</v>
      </c>
      <c r="C2" s="3" t="s">
        <v>20</v>
      </c>
      <c r="L2" s="1"/>
      <c r="M2" s="10" t="str">
        <f>VLOOKUP(1,$X$2:$AC$5,2,FALSE)</f>
        <v>Italien</v>
      </c>
      <c r="N2" s="2">
        <f>VLOOKUP(1,$X$2:$AC$5,3,FALSE)</f>
        <v>7</v>
      </c>
      <c r="O2" s="2">
        <f>VLOOKUP(1,$X$2:$AC$5,4,FALSE)</f>
        <v>9</v>
      </c>
      <c r="P2" s="2">
        <f>VLOOKUP(1,$X$2:$AC$5,5,FALSE)</f>
        <v>1</v>
      </c>
      <c r="Q2" s="2">
        <f>VLOOKUP(1,$X$2:$AC$5,6,FALSE)</f>
        <v>8</v>
      </c>
      <c r="S2" s="92"/>
      <c r="T2" s="93">
        <f>IF(H3="",0,IF(K3=$B$65,IF(H3&gt;J3,3,IF(H3=J3,1,0)),0))</f>
        <v>0</v>
      </c>
      <c r="U2" s="93">
        <f>IF(H5="",0,IF(K5=$B$65,IF(H5&gt;J5,3,IF(H5=J5,1,0)),0))</f>
        <v>3</v>
      </c>
      <c r="V2" s="93">
        <f>IF(J7="",0,IF(K8=$B$65,IF(H7&lt;J7,3,IF(H7=J7,1,0)),0))</f>
        <v>0</v>
      </c>
      <c r="W2" s="94"/>
      <c r="X2" s="94">
        <f>RANK(AD2,$AD$2:$AD$5)</f>
        <v>4</v>
      </c>
      <c r="Y2" s="10" t="s">
        <v>148</v>
      </c>
      <c r="Z2" s="94">
        <f>SUM(S2:V2)</f>
        <v>3</v>
      </c>
      <c r="AA2" s="94">
        <f>SUM(S6:V6)</f>
        <v>4</v>
      </c>
      <c r="AB2" s="94">
        <f>SUM(S6:S9)</f>
        <v>5</v>
      </c>
      <c r="AC2" s="94">
        <f>AA2-AB2</f>
        <v>-1</v>
      </c>
      <c r="AD2" s="28">
        <f>IF(P$8="",(((((((AE2*10+Z2)*100+AC2)*100+AA2)*10+AK2)*10+AJ2)*100+AP2)*100+AU2)*10+AV2,(((((((AE2*10+Z2)*10+AK2)*10+AJ2)*100+AP2)*100+AU2)*100+AC2)*100+AA2)*10+AV2)</f>
        <v>296989999044</v>
      </c>
      <c r="AE2" s="97"/>
      <c r="AF2" s="108"/>
      <c r="AG2" s="108">
        <f>IF($Z2=$Z3,$T2-$S3,0)</f>
        <v>0</v>
      </c>
      <c r="AH2" s="108">
        <f>IF($Z2=$Z4,$U2-$S4,0)</f>
        <v>0</v>
      </c>
      <c r="AI2" s="108">
        <f>IF($Z2=$Z5,$V2-$S5,0)</f>
        <v>-3</v>
      </c>
      <c r="AJ2" s="108">
        <f>SUM(AF2:AI2)</f>
        <v>-3</v>
      </c>
      <c r="AK2" s="97"/>
      <c r="AL2" s="108"/>
      <c r="AM2" s="108">
        <f>IF($Z2=$Z3,$T6-$S7,0)</f>
        <v>0</v>
      </c>
      <c r="AN2" s="108">
        <f>IF($Z2=$Z4,$U6-$S8,0)</f>
        <v>0</v>
      </c>
      <c r="AO2" s="108">
        <f>IF($Z2=$Z5,$V6-$S9,0)</f>
        <v>-1</v>
      </c>
      <c r="AP2" s="108">
        <f>SUM(AL2:AO2)</f>
        <v>-1</v>
      </c>
      <c r="AQ2" s="108"/>
      <c r="AR2" s="108">
        <f>IF($Z2=$Z3,$T6,0)</f>
        <v>0</v>
      </c>
      <c r="AS2" s="108">
        <f>IF($Z2=$Z4,$U6,0)</f>
        <v>0</v>
      </c>
      <c r="AT2" s="108">
        <f>IF($Z2=$Z5,$V6,0)</f>
        <v>0</v>
      </c>
      <c r="AU2" s="108">
        <f>SUM(AQ2:AT2)</f>
        <v>0</v>
      </c>
      <c r="AV2" s="97">
        <v>4</v>
      </c>
      <c r="AW2" s="96"/>
      <c r="BB2" s="3" t="s">
        <v>19</v>
      </c>
      <c r="BC2" s="3" t="s">
        <v>20</v>
      </c>
      <c r="BL2" s="1"/>
      <c r="BM2" s="10" t="str">
        <f>VLOOKUP(1,$BX$2:$CC$5,2,FALSE)</f>
        <v>Tschechien</v>
      </c>
      <c r="BN2" s="2">
        <f>VLOOKUP(1,$BX$2:$CC$5,3,FALSE)</f>
        <v>9</v>
      </c>
      <c r="BO2" s="2">
        <f>VLOOKUP(1,$BX$2:$CC$5,4,FALSE)</f>
        <v>8</v>
      </c>
      <c r="BP2" s="2">
        <f>VLOOKUP(1,$BX$2:$CC$5,5,FALSE)</f>
        <v>2</v>
      </c>
      <c r="BQ2" s="2">
        <f>VLOOKUP(1,$BX$2:$CC$5,6,FALSE)</f>
        <v>6</v>
      </c>
      <c r="BS2" s="92"/>
      <c r="BT2" s="93">
        <f>IF(BH3="",0,IF(BK3=$B$65,IF(BH3&gt;BJ3,3,IF(BH3=BJ3,1,0)),0))</f>
        <v>1</v>
      </c>
      <c r="BU2" s="93">
        <f>IF(BH5="",0,IF(BK5=$B$65,IF(BH5&gt;BJ5,3,IF(BH5=BJ5,1,0)),0))</f>
        <v>0</v>
      </c>
      <c r="BV2" s="93">
        <f>IF(BJ7="",0,IF(BK8=$B$65,IF(BH7&lt;BJ7,3,IF(BH7=BJ7,1,0)),0))</f>
        <v>0</v>
      </c>
      <c r="BW2" s="1"/>
      <c r="BX2" s="1">
        <f>RANK(CD2,$CD$2:$CD$5)</f>
        <v>4</v>
      </c>
      <c r="BY2" s="95" t="s">
        <v>67</v>
      </c>
      <c r="BZ2" s="1">
        <f>SUM(BS2:BV2)</f>
        <v>1</v>
      </c>
      <c r="CA2" s="1">
        <f>SUM(BS6:BV6)</f>
        <v>7</v>
      </c>
      <c r="CB2" s="1">
        <f>SUM(BS6:BS9)</f>
        <v>11</v>
      </c>
      <c r="CC2" s="1">
        <f>CA2-CB2</f>
        <v>-4</v>
      </c>
      <c r="CD2" s="28">
        <f>IF(BP$8="",(((((((CE2*10+BZ2)*100+CC2)*100+CA2)*10+CK2)*10+CJ2)*100+CP2)*100+CU2)*10+CV2,(((((((CE2*10+BZ2)*10+CK2)*10+CJ2)*100+CP2)*100+CU2)*100+CC2)*100+CA2)*10+CV2)</f>
        <v>99999996074</v>
      </c>
      <c r="CE2" s="5"/>
      <c r="CF2" s="109"/>
      <c r="CG2" s="109">
        <f>IF($BZ2=$BZ3,$BT2-$BS3,0)</f>
        <v>0</v>
      </c>
      <c r="CH2" s="109">
        <f>IF($BZ2=$BZ4,$BU2-$BS4,0)</f>
        <v>0</v>
      </c>
      <c r="CI2" s="109">
        <f>IF($BZ2=$BZ5,$BV2-$BS5,0)</f>
        <v>0</v>
      </c>
      <c r="CJ2" s="109">
        <f>SUM(CF2:CI2)</f>
        <v>0</v>
      </c>
      <c r="CK2" s="5"/>
      <c r="CL2" s="109"/>
      <c r="CM2" s="109">
        <f>IF($BZ2=$BZ3,$BT6-$BS7,0)</f>
        <v>0</v>
      </c>
      <c r="CN2" s="109">
        <f>IF($BZ2=$BZ4,$BU6-$BS8,0)</f>
        <v>0</v>
      </c>
      <c r="CO2" s="109">
        <f>IF($BZ2=$BZ5,$BV6-$BS9,0)</f>
        <v>0</v>
      </c>
      <c r="CP2" s="109">
        <f>SUM(CL2:CO2)</f>
        <v>0</v>
      </c>
      <c r="CQ2" s="109"/>
      <c r="CR2" s="109">
        <f>IF($BZ2=$BZ3,$BT6,0)</f>
        <v>0</v>
      </c>
      <c r="CS2" s="109">
        <f>IF($BZ2=$BZ4,$BU6,0)</f>
        <v>0</v>
      </c>
      <c r="CT2" s="109">
        <f>IF($BZ2=$BZ5,$BV6,0)</f>
        <v>0</v>
      </c>
      <c r="CU2" s="109">
        <f>SUM(CQ2:CT2)</f>
        <v>0</v>
      </c>
      <c r="CV2" s="5">
        <v>4</v>
      </c>
    </row>
    <row r="3" spans="1:100" ht="12.75">
      <c r="A3" s="2">
        <v>1</v>
      </c>
      <c r="B3" s="7">
        <v>44358.875</v>
      </c>
      <c r="C3" s="4" t="s">
        <v>138</v>
      </c>
      <c r="D3" s="88" t="str">
        <f>Y2</f>
        <v>Türkei</v>
      </c>
      <c r="E3" s="52" t="s">
        <v>21</v>
      </c>
      <c r="F3" s="88" t="str">
        <f>Y3</f>
        <v>Italien</v>
      </c>
      <c r="G3" s="87"/>
      <c r="H3" s="110">
        <f aca="true" ca="1" t="shared" si="0" ref="H3:H8">IF($B$66="",1,INT(RAND()*5)+INT(RAND()*3)*INT(RAND()*2))</f>
        <v>0</v>
      </c>
      <c r="I3" s="12" t="s">
        <v>22</v>
      </c>
      <c r="J3" s="110">
        <f aca="true" ca="1" t="shared" si="1" ref="J3:J8">IF($B$66="",0,INT(RAND()*5)+INT(RAND()*3)*INT(RAND()*2))</f>
        <v>3</v>
      </c>
      <c r="K3" s="8" t="s">
        <v>23</v>
      </c>
      <c r="L3" s="1"/>
      <c r="M3" s="10" t="str">
        <f>VLOOKUP(2,$X$2:$AC$5,2,FALSE)</f>
        <v>Wales</v>
      </c>
      <c r="N3" s="2">
        <f>VLOOKUP(2,$X$2:$AC$5,3,FALSE)</f>
        <v>4</v>
      </c>
      <c r="O3" s="2">
        <f>VLOOKUP(2,$X$2:$AC$5,4,FALSE)</f>
        <v>4</v>
      </c>
      <c r="P3" s="2">
        <f>VLOOKUP(2,$X$2:$AC$5,5,FALSE)</f>
        <v>5</v>
      </c>
      <c r="Q3" s="2">
        <f>VLOOKUP(2,$X$2:$AC$5,6,FALSE)</f>
        <v>-1</v>
      </c>
      <c r="S3" s="93">
        <f>IF(J3="",0,IF(K3=$B$65,IF(H3&lt;J3,3,IF(H3=J3,1,0)),0))</f>
        <v>3</v>
      </c>
      <c r="T3" s="92"/>
      <c r="U3" s="93">
        <f>IF(H8="",0,IF(K7=$B$65,IF(H8&gt;J8,3,IF(H8=J8,1,0)),0))</f>
        <v>1</v>
      </c>
      <c r="V3" s="93">
        <f>IF(H6="",0,IF(K6=$B$65,IF(H6&gt;J6,3,IF(H6=J6,1,0)),0))</f>
        <v>3</v>
      </c>
      <c r="W3" s="94"/>
      <c r="X3" s="94">
        <f>RANK(AD3,$AD$2:$AD$5)</f>
        <v>1</v>
      </c>
      <c r="Y3" s="10" t="s">
        <v>130</v>
      </c>
      <c r="Z3" s="94">
        <f>SUM(S3:V3)</f>
        <v>7</v>
      </c>
      <c r="AA3" s="94">
        <f>SUM(S7:V7)</f>
        <v>9</v>
      </c>
      <c r="AB3" s="94">
        <f>SUM(T6:T9)</f>
        <v>1</v>
      </c>
      <c r="AC3" s="94">
        <f>AA3-AB3</f>
        <v>8</v>
      </c>
      <c r="AD3" s="28">
        <f>IF(P$8="",(((((((AE3*10+Z3)*100+AC3)*100+AA3)*10+AK3)*10+AJ3)*100+AP3)*100+AU3)*10+AV3,(((((((AE3*10+Z3)*10+AK3)*10+AJ3)*100+AP3)*100+AU3)*100+AC3)*100+AA3)*10+AV3)</f>
        <v>700000008093</v>
      </c>
      <c r="AE3" s="97"/>
      <c r="AF3" s="108">
        <f>IF($Z3=$Z2,$S3-$T2,0)</f>
        <v>0</v>
      </c>
      <c r="AG3" s="108"/>
      <c r="AH3" s="108">
        <f>IF($Z3=$Z4,$U3-$T4,0)</f>
        <v>0</v>
      </c>
      <c r="AI3" s="108">
        <f>IF($Z3=$Z5,$V3-$T5,0)</f>
        <v>0</v>
      </c>
      <c r="AJ3" s="108">
        <f>SUM(AF3:AI3)</f>
        <v>0</v>
      </c>
      <c r="AK3" s="97"/>
      <c r="AL3" s="108">
        <f>IF($Z3=$Z2,$S7-$T6,0)</f>
        <v>0</v>
      </c>
      <c r="AM3" s="108"/>
      <c r="AN3" s="108">
        <f>IF($Z3=$Z4,$U7-$T8,0)</f>
        <v>0</v>
      </c>
      <c r="AO3" s="108">
        <f>IF($Z3=$Z5,$V7-$T9,0)</f>
        <v>0</v>
      </c>
      <c r="AP3" s="108">
        <f>SUM(AL3:AO3)</f>
        <v>0</v>
      </c>
      <c r="AQ3" s="108">
        <f>IF($Z3=$Z2,$S7,0)</f>
        <v>0</v>
      </c>
      <c r="AR3" s="108"/>
      <c r="AS3" s="108">
        <f>IF($Z3=$Z4,$U7,0)</f>
        <v>0</v>
      </c>
      <c r="AT3" s="108">
        <f>IF($Z3=$Z5,$V7,0)</f>
        <v>0</v>
      </c>
      <c r="AU3" s="108">
        <f>SUM(AQ3:AT3)</f>
        <v>0</v>
      </c>
      <c r="AV3" s="97">
        <v>3</v>
      </c>
      <c r="AW3" s="96"/>
      <c r="BA3" s="2">
        <v>7</v>
      </c>
      <c r="BB3" s="7">
        <v>44360.625</v>
      </c>
      <c r="BC3" s="4" t="s">
        <v>139</v>
      </c>
      <c r="BD3" s="88" t="str">
        <f>BY2</f>
        <v>England</v>
      </c>
      <c r="BE3" s="52" t="s">
        <v>21</v>
      </c>
      <c r="BF3" s="88" t="str">
        <f>BY3</f>
        <v>Kroatien</v>
      </c>
      <c r="BG3" s="87"/>
      <c r="BH3" s="110">
        <f aca="true" ca="1" t="shared" si="2" ref="BH3:BH8">IF($B$66="",1,INT(RAND()*5)+INT(RAND()*3)*INT(RAND()*2))</f>
        <v>3</v>
      </c>
      <c r="BI3" s="12" t="s">
        <v>22</v>
      </c>
      <c r="BJ3" s="110">
        <f aca="true" ca="1" t="shared" si="3" ref="BJ3:BJ8">IF($B$66="",0,INT(RAND()*5)+INT(RAND()*3)*INT(RAND()*2))</f>
        <v>3</v>
      </c>
      <c r="BK3" s="8" t="s">
        <v>23</v>
      </c>
      <c r="BL3" s="1"/>
      <c r="BM3" s="10" t="str">
        <f>VLOOKUP(2,$BX$2:$CC$5,2,FALSE)</f>
        <v>Kroatien</v>
      </c>
      <c r="BN3" s="2">
        <f>VLOOKUP(2,$BX$2:$CC$5,3,FALSE)</f>
        <v>4</v>
      </c>
      <c r="BO3" s="2">
        <f>VLOOKUP(2,$BX$2:$CC$5,4,FALSE)</f>
        <v>9</v>
      </c>
      <c r="BP3" s="2">
        <f>VLOOKUP(2,$BX$2:$CC$5,5,FALSE)</f>
        <v>8</v>
      </c>
      <c r="BQ3" s="2">
        <f>VLOOKUP(2,$BX$2:$CC$5,6,FALSE)</f>
        <v>1</v>
      </c>
      <c r="BS3" s="93">
        <f>IF(BJ3="",0,IF(BK3=$B$65,IF(BH3&lt;BJ3,3,IF(BH3=BJ3,1,0)),0))</f>
        <v>1</v>
      </c>
      <c r="BT3" s="92"/>
      <c r="BU3" s="93">
        <f>IF(BH8="",0,IF(BK7=$B$65,IF(BH8&gt;BJ8,3,IF(BH8=BJ8,1,0)),0))</f>
        <v>3</v>
      </c>
      <c r="BV3" s="93">
        <f>IF(BH6="",0,IF(BK6=$B$65,IF(BH6&gt;BJ6,3,IF(BH6=BJ6,1,0)),0))</f>
        <v>0</v>
      </c>
      <c r="BW3" s="1"/>
      <c r="BX3" s="1">
        <f>RANK(CD3,$CD$2:$CD$5)</f>
        <v>2</v>
      </c>
      <c r="BY3" s="95" t="s">
        <v>157</v>
      </c>
      <c r="BZ3" s="1">
        <f>SUM(BS3:BV3)</f>
        <v>4</v>
      </c>
      <c r="CA3" s="1">
        <f>SUM(BS7:BV7)</f>
        <v>9</v>
      </c>
      <c r="CB3" s="1">
        <f>SUM(BT6:BT9)</f>
        <v>8</v>
      </c>
      <c r="CC3" s="1">
        <f>CA3-CB3</f>
        <v>1</v>
      </c>
      <c r="CD3" s="28">
        <f>IF(BP$8="",(((((((CE3*10+BZ3)*100+CC3)*100+CA3)*10+CK3)*10+CJ3)*100+CP3)*100+CU3)*10+CV3,(((((((CE3*10+BZ3)*10+CK3)*10+CJ3)*100+CP3)*100+CU3)*100+CC3)*100+CA3)*10+CV3)</f>
        <v>400000001093</v>
      </c>
      <c r="CE3" s="5"/>
      <c r="CF3" s="109">
        <f>IF($BZ3=$BZ2,$BS3-$BT2,0)</f>
        <v>0</v>
      </c>
      <c r="CG3" s="109"/>
      <c r="CH3" s="109">
        <f>IF($BZ3=$BZ4,$BU3-$BT4,0)</f>
        <v>0</v>
      </c>
      <c r="CI3" s="109">
        <f>IF($BZ3=$BZ5,$BV3-$BT5,0)</f>
        <v>0</v>
      </c>
      <c r="CJ3" s="109">
        <f>SUM(CF3:CI3)</f>
        <v>0</v>
      </c>
      <c r="CK3" s="5"/>
      <c r="CL3" s="109">
        <f>IF($BZ3=$BZ2,$BS7-$BT6,0)</f>
        <v>0</v>
      </c>
      <c r="CM3" s="109"/>
      <c r="CN3" s="109">
        <f>IF($BZ3=$BZ4,$BU7-$BT8,0)</f>
        <v>0</v>
      </c>
      <c r="CO3" s="109">
        <f>IF($BZ3=$BZ5,$BV7-$BT9,0)</f>
        <v>0</v>
      </c>
      <c r="CP3" s="109">
        <f>SUM(CL3:CO3)</f>
        <v>0</v>
      </c>
      <c r="CQ3" s="109">
        <f>IF($BZ3=$BZ2,$BS7,0)</f>
        <v>0</v>
      </c>
      <c r="CR3" s="109"/>
      <c r="CS3" s="109">
        <f>IF($BZ3=$BZ4,$BU7,0)</f>
        <v>0</v>
      </c>
      <c r="CT3" s="109">
        <f>IF($BZ3=$BZ5,$BV7,0)</f>
        <v>0</v>
      </c>
      <c r="CU3" s="109">
        <f>SUM(CQ3:CT3)</f>
        <v>0</v>
      </c>
      <c r="CV3" s="5">
        <v>3</v>
      </c>
    </row>
    <row r="4" spans="1:100" ht="12.75">
      <c r="A4" s="2">
        <f>A3+1</f>
        <v>2</v>
      </c>
      <c r="B4" s="4">
        <v>44359.625</v>
      </c>
      <c r="C4" s="4" t="s">
        <v>137</v>
      </c>
      <c r="D4" s="88" t="str">
        <f>Y4</f>
        <v>Wales</v>
      </c>
      <c r="E4" s="52" t="s">
        <v>21</v>
      </c>
      <c r="F4" s="88" t="str">
        <f>Y5</f>
        <v>Schweiz</v>
      </c>
      <c r="G4" s="87"/>
      <c r="H4" s="111">
        <f ca="1" t="shared" si="0"/>
        <v>3</v>
      </c>
      <c r="I4" s="12" t="s">
        <v>22</v>
      </c>
      <c r="J4" s="111">
        <f ca="1" t="shared" si="1"/>
        <v>1</v>
      </c>
      <c r="K4" s="8" t="s">
        <v>23</v>
      </c>
      <c r="L4" s="1"/>
      <c r="M4" s="10" t="str">
        <f>VLOOKUP(3,$X$2:$AC$5,2,FALSE)</f>
        <v>Schweiz</v>
      </c>
      <c r="N4" s="2">
        <f>VLOOKUP(3,$X$2:$AC$5,3,FALSE)</f>
        <v>3</v>
      </c>
      <c r="O4" s="2">
        <f>VLOOKUP(3,$X$2:$AC$5,4,FALSE)</f>
        <v>3</v>
      </c>
      <c r="P4" s="2">
        <f>VLOOKUP(3,$X$2:$AC$5,5,FALSE)</f>
        <v>9</v>
      </c>
      <c r="Q4" s="2">
        <f>VLOOKUP(3,$X$2:$AC$5,6,FALSE)</f>
        <v>-6</v>
      </c>
      <c r="S4" s="93">
        <f>IF(J5="",0,IF(K5=$B$65,IF(H5&lt;J5,3,IF(H5=J5,1,0)),0))</f>
        <v>0</v>
      </c>
      <c r="T4" s="93">
        <f>IF(J8="",0,IF(K7=$B$65,IF(H8&lt;J8,3,IF(H8=J8,1,0)),0))</f>
        <v>1</v>
      </c>
      <c r="U4" s="92"/>
      <c r="V4" s="93">
        <f>IF(H4="",0,IF(K4=$B$65,IF(H4&gt;J4,3,IF(H4=J4,1,0)),0))</f>
        <v>3</v>
      </c>
      <c r="W4" s="94"/>
      <c r="X4" s="94">
        <f>RANK(AD4,$AD$2:$AD$5)</f>
        <v>2</v>
      </c>
      <c r="Y4" s="10" t="s">
        <v>149</v>
      </c>
      <c r="Z4" s="94">
        <f>SUM(S4:V4)</f>
        <v>4</v>
      </c>
      <c r="AA4" s="94">
        <f>SUM(S8:V8)</f>
        <v>4</v>
      </c>
      <c r="AB4" s="94">
        <f>SUM(U6:U9)</f>
        <v>5</v>
      </c>
      <c r="AC4" s="94">
        <f>AA4-AB4</f>
        <v>-1</v>
      </c>
      <c r="AD4" s="28">
        <f>IF(P$8="",(((((((AE4*10+Z4)*100+AC4)*100+AA4)*10+AK4)*10+AJ4)*100+AP4)*100+AU4)*10+AV4,(((((((AE4*10+Z4)*10+AK4)*10+AJ4)*100+AP4)*100+AU4)*100+AC4)*100+AA4)*10+AV4)</f>
        <v>399999999042</v>
      </c>
      <c r="AE4" s="97"/>
      <c r="AF4" s="108">
        <f>IF($Z4=$Z2,$S4-$U2,0)</f>
        <v>0</v>
      </c>
      <c r="AG4" s="108">
        <f>IF($Z4=$Z3,$T4-$U3,0)</f>
        <v>0</v>
      </c>
      <c r="AH4" s="108"/>
      <c r="AI4" s="108">
        <f>IF($Z4=$Z5,$V4-$U5,0)</f>
        <v>0</v>
      </c>
      <c r="AJ4" s="108">
        <f>SUM(AF4:AI4)</f>
        <v>0</v>
      </c>
      <c r="AK4" s="97"/>
      <c r="AL4" s="108">
        <f>IF($Z4=$Z2,$S8-$U6,0)</f>
        <v>0</v>
      </c>
      <c r="AM4" s="108">
        <f>IF($Z4=$Z3,$T8-$U7,0)</f>
        <v>0</v>
      </c>
      <c r="AN4" s="108"/>
      <c r="AO4" s="108">
        <f>IF($Z4=$Z5,$V8-$U9,0)</f>
        <v>0</v>
      </c>
      <c r="AP4" s="108">
        <f>SUM(AL4:AO4)</f>
        <v>0</v>
      </c>
      <c r="AQ4" s="108">
        <f>IF($Z4=$Z2,$S8,0)</f>
        <v>0</v>
      </c>
      <c r="AR4" s="108">
        <f>IF($Z4=$Z3,$T8,0)</f>
        <v>0</v>
      </c>
      <c r="AS4" s="108"/>
      <c r="AT4" s="108">
        <f>IF($Z4=$Z5,$V8,0)</f>
        <v>0</v>
      </c>
      <c r="AU4" s="108">
        <f>SUM(AQ4:AT4)</f>
        <v>0</v>
      </c>
      <c r="AV4" s="97">
        <v>2</v>
      </c>
      <c r="AW4" s="96"/>
      <c r="BA4" s="2">
        <v>8</v>
      </c>
      <c r="BB4" s="7">
        <v>44361.625</v>
      </c>
      <c r="BC4" s="4" t="s">
        <v>146</v>
      </c>
      <c r="BD4" s="88" t="str">
        <f>BY4</f>
        <v>Schottland</v>
      </c>
      <c r="BE4" s="52" t="s">
        <v>21</v>
      </c>
      <c r="BF4" s="88" t="str">
        <f>BY5</f>
        <v>Tschechien</v>
      </c>
      <c r="BG4" s="87"/>
      <c r="BH4" s="111">
        <f ca="1" t="shared" si="2"/>
        <v>0</v>
      </c>
      <c r="BI4" s="12" t="s">
        <v>22</v>
      </c>
      <c r="BJ4" s="111">
        <f ca="1" t="shared" si="3"/>
        <v>4</v>
      </c>
      <c r="BK4" s="8" t="s">
        <v>23</v>
      </c>
      <c r="BL4" s="1"/>
      <c r="BM4" s="10" t="str">
        <f>VLOOKUP(3,$BX$2:$CC$5,2,FALSE)</f>
        <v>Schottland</v>
      </c>
      <c r="BN4" s="2">
        <f>VLOOKUP(3,$BX$2:$CC$5,3,FALSE)</f>
        <v>3</v>
      </c>
      <c r="BO4" s="2">
        <f>VLOOKUP(3,$BX$2:$CC$5,4,FALSE)</f>
        <v>9</v>
      </c>
      <c r="BP4" s="2">
        <f>VLOOKUP(3,$BX$2:$CC$5,5,FALSE)</f>
        <v>12</v>
      </c>
      <c r="BQ4" s="2">
        <f>VLOOKUP(3,$BX$2:$CC$5,6,FALSE)</f>
        <v>-3</v>
      </c>
      <c r="BS4" s="93">
        <f>IF(BJ5="",0,IF(BK5=$B$65,IF(BH5&lt;BJ5,3,IF(BH5=BJ5,1,0)),0))</f>
        <v>3</v>
      </c>
      <c r="BT4" s="93">
        <f>IF(BJ8="",0,IF(BK7=$B$65,IF(BH8&lt;BJ8,3,IF(BH8=BJ8,1,0)),0))</f>
        <v>0</v>
      </c>
      <c r="BU4" s="92"/>
      <c r="BV4" s="93">
        <f>IF(BH4="",0,IF(BK4=$B$65,IF(BH4&gt;BJ4,3,IF(BH4=BJ4,1,0)),0))</f>
        <v>0</v>
      </c>
      <c r="BW4" s="1"/>
      <c r="BX4" s="1">
        <f>RANK(CD4,$CD$2:$CD$5)</f>
        <v>3</v>
      </c>
      <c r="BY4" s="95" t="s">
        <v>163</v>
      </c>
      <c r="BZ4" s="1">
        <f>SUM(BS4:BV4)</f>
        <v>3</v>
      </c>
      <c r="CA4" s="1">
        <f>SUM(BS8:BV8)</f>
        <v>9</v>
      </c>
      <c r="CB4" s="1">
        <f>SUM(BU6:BU9)</f>
        <v>12</v>
      </c>
      <c r="CC4" s="1">
        <f>CA4-CB4</f>
        <v>-3</v>
      </c>
      <c r="CD4" s="28">
        <f>IF(BP$8="",(((((((CE4*10+BZ4)*100+CC4)*100+CA4)*10+CK4)*10+CJ4)*100+CP4)*100+CU4)*10+CV4,(((((((CE4*10+BZ4)*10+CK4)*10+CJ4)*100+CP4)*100+CU4)*100+CC4)*100+CA4)*10+CV4)</f>
        <v>299999997092</v>
      </c>
      <c r="CE4" s="5"/>
      <c r="CF4" s="109">
        <f>IF($BZ4=$BZ2,$BS4-$BU2,0)</f>
        <v>0</v>
      </c>
      <c r="CG4" s="109">
        <f>IF($BZ4=$BZ3,$BT4-$BU3,0)</f>
        <v>0</v>
      </c>
      <c r="CH4" s="109"/>
      <c r="CI4" s="109">
        <f>IF($BZ4=$BZ5,$BV4-$BU5,0)</f>
        <v>0</v>
      </c>
      <c r="CJ4" s="109">
        <f>SUM(CF4:CI4)</f>
        <v>0</v>
      </c>
      <c r="CK4" s="5"/>
      <c r="CL4" s="109">
        <f>IF($BZ4=$BZ2,$BS8-$BU6,0)</f>
        <v>0</v>
      </c>
      <c r="CM4" s="109">
        <f>IF($BZ4=$BZ3,$BT8-$BU7,0)</f>
        <v>0</v>
      </c>
      <c r="CN4" s="109"/>
      <c r="CO4" s="109">
        <f>IF($BZ4=$BZ5,$BV8-$BU9,0)</f>
        <v>0</v>
      </c>
      <c r="CP4" s="109">
        <f>SUM(CL4:CO4)</f>
        <v>0</v>
      </c>
      <c r="CQ4" s="109">
        <f>IF($BZ4=$BZ2,$BS8,0)</f>
        <v>0</v>
      </c>
      <c r="CR4" s="109">
        <f>IF($BZ4=$BZ3,$BT8,0)</f>
        <v>0</v>
      </c>
      <c r="CS4" s="109"/>
      <c r="CT4" s="109">
        <f>IF($BZ4=$BZ5,$BV8,0)</f>
        <v>0</v>
      </c>
      <c r="CU4" s="109">
        <f>SUM(CQ4:CT4)</f>
        <v>0</v>
      </c>
      <c r="CV4" s="5">
        <v>2</v>
      </c>
    </row>
    <row r="5" spans="1:100" ht="12.75">
      <c r="A5" s="2">
        <f>A3+12</f>
        <v>13</v>
      </c>
      <c r="B5" s="7">
        <v>44363.75</v>
      </c>
      <c r="C5" s="4" t="s">
        <v>137</v>
      </c>
      <c r="D5" s="88" t="str">
        <f>Y2</f>
        <v>Türkei</v>
      </c>
      <c r="E5" s="52" t="s">
        <v>21</v>
      </c>
      <c r="F5" s="88" t="str">
        <f>Y4</f>
        <v>Wales</v>
      </c>
      <c r="G5" s="87"/>
      <c r="H5" s="111">
        <f ca="1" t="shared" si="0"/>
        <v>4</v>
      </c>
      <c r="I5" s="12" t="s">
        <v>22</v>
      </c>
      <c r="J5" s="111">
        <f ca="1" t="shared" si="1"/>
        <v>1</v>
      </c>
      <c r="K5" s="8" t="s">
        <v>23</v>
      </c>
      <c r="L5" s="1"/>
      <c r="M5" s="10" t="str">
        <f>VLOOKUP(4,$X$2:$AC$5,2,FALSE)</f>
        <v>Türkei</v>
      </c>
      <c r="N5" s="2">
        <f>VLOOKUP(4,$X$2:$AC$5,3,FALSE)</f>
        <v>3</v>
      </c>
      <c r="O5" s="2">
        <f>VLOOKUP(4,$X$2:$AC$5,4,FALSE)</f>
        <v>4</v>
      </c>
      <c r="P5" s="2">
        <f>VLOOKUP(4,$X$2:$AC$5,5,FALSE)</f>
        <v>5</v>
      </c>
      <c r="Q5" s="2">
        <f>VLOOKUP(4,$X$2:$AC$5,6,FALSE)</f>
        <v>-1</v>
      </c>
      <c r="S5" s="93">
        <f>IF(H7="",0,IF(K8=$B$65,IF(H7&gt;J7,3,IF(H7=J7,1,0)),0))</f>
        <v>3</v>
      </c>
      <c r="T5" s="93">
        <f>IF(J6="",0,IF(K6=$B$65,IF(H6&lt;J6,3,IF(H6=J6,1,0)),0))</f>
        <v>0</v>
      </c>
      <c r="U5" s="93">
        <f>IF(J4="",0,IF(K4=$B$65,IF(H4&lt;J4,3,IF(H4=J4,1,0)),0))</f>
        <v>0</v>
      </c>
      <c r="V5" s="92"/>
      <c r="W5" s="94"/>
      <c r="X5" s="94">
        <f>RANK(AD5,$AD$2:$AD$5)</f>
        <v>3</v>
      </c>
      <c r="Y5" s="10" t="s">
        <v>150</v>
      </c>
      <c r="Z5" s="94">
        <f>SUM(S5:V5)</f>
        <v>3</v>
      </c>
      <c r="AA5" s="94">
        <f>SUM(S9:V9)</f>
        <v>3</v>
      </c>
      <c r="AB5" s="94">
        <f>SUM(V6:V9)</f>
        <v>9</v>
      </c>
      <c r="AC5" s="94">
        <f>AA5-AB5</f>
        <v>-6</v>
      </c>
      <c r="AD5" s="28">
        <f>IF(P$8="",(((((((AE5*10+Z5)*100+AC5)*100+AA5)*10+AK5)*10+AJ5)*100+AP5)*100+AU5)*10+AV5,(((((((AE5*10+Z5)*10+AK5)*10+AJ5)*100+AP5)*100+AU5)*100+AC5)*100+AA5)*10+AV5)</f>
        <v>303010094031</v>
      </c>
      <c r="AE5" s="97"/>
      <c r="AF5" s="108">
        <f>IF($Z5=$Z2,$S5-$V2,0)</f>
        <v>3</v>
      </c>
      <c r="AG5" s="108">
        <f>IF($Z5=$Z3,$T5-$V3,0)</f>
        <v>0</v>
      </c>
      <c r="AH5" s="108">
        <f>IF($Z5=$Z4,$U5-$V4,0)</f>
        <v>0</v>
      </c>
      <c r="AI5" s="108"/>
      <c r="AJ5" s="108">
        <f>SUM(AF5:AI5)</f>
        <v>3</v>
      </c>
      <c r="AK5" s="97"/>
      <c r="AL5" s="108">
        <f>IF($Z5=$Z2,$S9-$V6,0)</f>
        <v>1</v>
      </c>
      <c r="AM5" s="108">
        <f>IF($Z5=$Z3,$T9-$V7,0)</f>
        <v>0</v>
      </c>
      <c r="AN5" s="108">
        <f>IF($Z5=$Z4,$U9-$V8,0)</f>
        <v>0</v>
      </c>
      <c r="AO5" s="108"/>
      <c r="AP5" s="108">
        <f>SUM(AL5:AO5)</f>
        <v>1</v>
      </c>
      <c r="AQ5" s="108">
        <f>IF($Z5=$Z2,$S9,0)</f>
        <v>1</v>
      </c>
      <c r="AR5" s="108">
        <f>IF($Z5=$Z3,$T9,0)</f>
        <v>0</v>
      </c>
      <c r="AS5" s="108">
        <f>IF($Z5=$Z4,$U9,0)</f>
        <v>0</v>
      </c>
      <c r="AT5" s="108"/>
      <c r="AU5" s="108">
        <f>SUM(AQ5:AT5)</f>
        <v>1</v>
      </c>
      <c r="AV5" s="97">
        <v>1</v>
      </c>
      <c r="AW5" s="96"/>
      <c r="BA5" s="2">
        <f>BA3+12</f>
        <v>19</v>
      </c>
      <c r="BB5" s="7">
        <v>44365.875</v>
      </c>
      <c r="BC5" s="4" t="s">
        <v>139</v>
      </c>
      <c r="BD5" s="88" t="str">
        <f>BY2</f>
        <v>England</v>
      </c>
      <c r="BE5" s="52" t="s">
        <v>21</v>
      </c>
      <c r="BF5" s="88" t="str">
        <f>BY4</f>
        <v>Schottland</v>
      </c>
      <c r="BG5" s="87"/>
      <c r="BH5" s="111">
        <f ca="1" t="shared" si="2"/>
        <v>2</v>
      </c>
      <c r="BI5" s="12" t="s">
        <v>22</v>
      </c>
      <c r="BJ5" s="111">
        <f ca="1" t="shared" si="3"/>
        <v>5</v>
      </c>
      <c r="BK5" s="8" t="s">
        <v>23</v>
      </c>
      <c r="BL5" s="1"/>
      <c r="BM5" s="10" t="str">
        <f>VLOOKUP(4,$BX$2:$CC$5,2,FALSE)</f>
        <v>England</v>
      </c>
      <c r="BN5" s="2">
        <f>VLOOKUP(4,$BX$2:$CC$5,3,FALSE)</f>
        <v>1</v>
      </c>
      <c r="BO5" s="2">
        <f>VLOOKUP(4,$BX$2:$CC$5,4,FALSE)</f>
        <v>7</v>
      </c>
      <c r="BP5" s="2">
        <f>VLOOKUP(4,$BX$2:$CC$5,5,FALSE)</f>
        <v>11</v>
      </c>
      <c r="BQ5" s="2">
        <f>VLOOKUP(4,$BX$2:$CC$5,6,FALSE)</f>
        <v>-4</v>
      </c>
      <c r="BS5" s="93">
        <f>IF(BH7="",0,IF(BK8=$B$65,IF(BH7&gt;BJ7,3,IF(BH7=BJ7,1,0)),0))</f>
        <v>3</v>
      </c>
      <c r="BT5" s="93">
        <f>IF(BJ6="",0,IF(BK6=$B$65,IF(BH6&lt;BJ6,3,IF(BH6=BJ6,1,0)),0))</f>
        <v>3</v>
      </c>
      <c r="BU5" s="93">
        <f>IF(BJ4="",0,IF(BK4=$B$65,IF(BH4&lt;BJ4,3,IF(BH4=BJ4,1,0)),0))</f>
        <v>3</v>
      </c>
      <c r="BV5" s="92"/>
      <c r="BW5" s="1"/>
      <c r="BX5" s="1">
        <f>RANK(CD5,$CD$2:$CD$5)</f>
        <v>1</v>
      </c>
      <c r="BY5" s="95" t="s">
        <v>158</v>
      </c>
      <c r="BZ5" s="1">
        <f>SUM(BS5:BV5)</f>
        <v>9</v>
      </c>
      <c r="CA5" s="1">
        <f>SUM(BS9:BV9)</f>
        <v>8</v>
      </c>
      <c r="CB5" s="1">
        <f>SUM(BV6:BV9)</f>
        <v>2</v>
      </c>
      <c r="CC5" s="1">
        <f>CA5-CB5</f>
        <v>6</v>
      </c>
      <c r="CD5" s="28">
        <f>IF(BP$8="",(((((((CE5*10+BZ5)*100+CC5)*100+CA5)*10+CK5)*10+CJ5)*100+CP5)*100+CU5)*10+CV5,(((((((CE5*10+BZ5)*10+CK5)*10+CJ5)*100+CP5)*100+CU5)*100+CC5)*100+CA5)*10+CV5)</f>
        <v>900000006081</v>
      </c>
      <c r="CE5" s="5"/>
      <c r="CF5" s="109">
        <f>IF($BZ5=$BZ2,$BS5-$BV2,0)</f>
        <v>0</v>
      </c>
      <c r="CG5" s="109">
        <f>IF($BZ5=$BZ3,$BT5-$BV3,0)</f>
        <v>0</v>
      </c>
      <c r="CH5" s="109">
        <f>IF($BZ5=$BZ4,$BU5-$BV4,0)</f>
        <v>0</v>
      </c>
      <c r="CI5" s="109"/>
      <c r="CJ5" s="109">
        <f>SUM(CF5:CI5)</f>
        <v>0</v>
      </c>
      <c r="CK5" s="5"/>
      <c r="CL5" s="109">
        <f>IF($BZ5=$BZ2,$BS9-$BV6,0)</f>
        <v>0</v>
      </c>
      <c r="CM5" s="109">
        <f>IF($BZ5=$BZ3,$BT9-$BV7,0)</f>
        <v>0</v>
      </c>
      <c r="CN5" s="109">
        <f>IF($BZ5=$BZ4,$BU9-$BV8,0)</f>
        <v>0</v>
      </c>
      <c r="CO5" s="109"/>
      <c r="CP5" s="109">
        <f>SUM(CL5:CO5)</f>
        <v>0</v>
      </c>
      <c r="CQ5" s="109">
        <f>IF($BZ5=$BZ2,$BS9,0)</f>
        <v>0</v>
      </c>
      <c r="CR5" s="109">
        <f>IF($BZ5=$BZ3,$BT9,0)</f>
        <v>0</v>
      </c>
      <c r="CS5" s="109">
        <f>IF($BZ5=$BZ4,$BU9,0)</f>
        <v>0</v>
      </c>
      <c r="CT5" s="109"/>
      <c r="CU5" s="109">
        <f>SUM(CQ5:CT5)</f>
        <v>0</v>
      </c>
      <c r="CV5" s="5">
        <v>1</v>
      </c>
    </row>
    <row r="6" spans="1:100" ht="12.75">
      <c r="A6" s="2">
        <f>A4+12</f>
        <v>14</v>
      </c>
      <c r="B6" s="4">
        <v>44363.875</v>
      </c>
      <c r="C6" s="4" t="s">
        <v>138</v>
      </c>
      <c r="D6" s="88" t="str">
        <f>Y3</f>
        <v>Italien</v>
      </c>
      <c r="E6" s="52" t="s">
        <v>21</v>
      </c>
      <c r="F6" s="88" t="str">
        <f>Y5</f>
        <v>Schweiz</v>
      </c>
      <c r="G6" s="87"/>
      <c r="H6" s="111">
        <f ca="1" t="shared" si="0"/>
        <v>6</v>
      </c>
      <c r="I6" s="12" t="s">
        <v>22</v>
      </c>
      <c r="J6" s="111">
        <f ca="1" t="shared" si="1"/>
        <v>1</v>
      </c>
      <c r="K6" s="8" t="s">
        <v>23</v>
      </c>
      <c r="L6" s="1"/>
      <c r="N6" s="1"/>
      <c r="O6" s="1"/>
      <c r="P6" s="1"/>
      <c r="S6" s="92"/>
      <c r="T6" s="93">
        <f>IF(K3=$B$65,H3,0)</f>
        <v>0</v>
      </c>
      <c r="U6" s="93">
        <f>IF(K5=$B$65,H5,0)</f>
        <v>4</v>
      </c>
      <c r="V6" s="93">
        <f>IF(K8=$B$65,J7,0)</f>
        <v>0</v>
      </c>
      <c r="W6" s="94"/>
      <c r="X6" s="94"/>
      <c r="Y6" s="94"/>
      <c r="Z6" s="94"/>
      <c r="AA6" s="94"/>
      <c r="AB6" s="94"/>
      <c r="AC6" s="94"/>
      <c r="AD6" s="98"/>
      <c r="AE6" s="99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V6" s="108"/>
      <c r="AW6" s="96"/>
      <c r="BA6" s="2">
        <f>BA4+12</f>
        <v>20</v>
      </c>
      <c r="BB6" s="7">
        <v>44365.75</v>
      </c>
      <c r="BC6" s="4" t="s">
        <v>146</v>
      </c>
      <c r="BD6" s="88" t="str">
        <f>BY3</f>
        <v>Kroatien</v>
      </c>
      <c r="BE6" s="52" t="s">
        <v>21</v>
      </c>
      <c r="BF6" s="88" t="str">
        <f>BY5</f>
        <v>Tschechien</v>
      </c>
      <c r="BG6" s="87"/>
      <c r="BH6" s="111">
        <f ca="1" t="shared" si="2"/>
        <v>0</v>
      </c>
      <c r="BI6" s="12" t="s">
        <v>22</v>
      </c>
      <c r="BJ6" s="111">
        <f ca="1" t="shared" si="3"/>
        <v>1</v>
      </c>
      <c r="BK6" s="8" t="s">
        <v>23</v>
      </c>
      <c r="BL6" s="1"/>
      <c r="BN6" s="1"/>
      <c r="BO6" s="1"/>
      <c r="BP6" s="1"/>
      <c r="BS6" s="92"/>
      <c r="BT6" s="93">
        <f>IF(BK3=$B$65,BH3,0)</f>
        <v>3</v>
      </c>
      <c r="BU6" s="93">
        <f>IF(BK5=$B$65,BH5,0)</f>
        <v>2</v>
      </c>
      <c r="BV6" s="93">
        <f>IF(BK8=$B$65,BJ7,0)</f>
        <v>2</v>
      </c>
      <c r="BW6" s="1"/>
      <c r="BX6" s="1"/>
      <c r="BY6" s="94"/>
      <c r="BZ6" s="1"/>
      <c r="CA6" s="1"/>
      <c r="CB6" s="1"/>
      <c r="CC6" s="1"/>
      <c r="CD6" s="6"/>
      <c r="CE6" s="8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V6" s="109"/>
    </row>
    <row r="7" spans="1:100" ht="12.75">
      <c r="A7" s="2">
        <f>A5+12</f>
        <v>25</v>
      </c>
      <c r="B7" s="7">
        <v>44367.75</v>
      </c>
      <c r="C7" s="4" t="s">
        <v>137</v>
      </c>
      <c r="D7" s="88" t="str">
        <f>Y5</f>
        <v>Schweiz</v>
      </c>
      <c r="E7" s="52" t="s">
        <v>21</v>
      </c>
      <c r="F7" s="88" t="str">
        <f>Y2</f>
        <v>Türkei</v>
      </c>
      <c r="G7" s="86"/>
      <c r="H7" s="110">
        <f ca="1" t="shared" si="0"/>
        <v>1</v>
      </c>
      <c r="I7" s="12" t="s">
        <v>22</v>
      </c>
      <c r="J7" s="110">
        <f ca="1" t="shared" si="1"/>
        <v>0</v>
      </c>
      <c r="K7" s="8" t="s">
        <v>23</v>
      </c>
      <c r="M7" s="44" t="str">
        <f>IF(N2&gt;0,M2,"")</f>
        <v>Italien</v>
      </c>
      <c r="N7" s="2" t="s">
        <v>24</v>
      </c>
      <c r="P7" s="34"/>
      <c r="S7" s="93">
        <f>IF(K3=$B$65,J3,0)</f>
        <v>3</v>
      </c>
      <c r="T7" s="92"/>
      <c r="U7" s="93">
        <f>IF(K7=$B$65,H8,0)</f>
        <v>0</v>
      </c>
      <c r="V7" s="93">
        <f>IF(K6=$B$65,H6,0)</f>
        <v>6</v>
      </c>
      <c r="AD7" s="86" t="s">
        <v>118</v>
      </c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V7" s="112"/>
      <c r="AW7" s="96"/>
      <c r="BA7" s="2">
        <f>BA5+12</f>
        <v>31</v>
      </c>
      <c r="BB7" s="7">
        <v>44369.875</v>
      </c>
      <c r="BC7" s="4" t="s">
        <v>139</v>
      </c>
      <c r="BD7" s="88" t="str">
        <f>BY5</f>
        <v>Tschechien</v>
      </c>
      <c r="BE7" s="52" t="s">
        <v>21</v>
      </c>
      <c r="BF7" s="88" t="str">
        <f>BY2</f>
        <v>England</v>
      </c>
      <c r="BG7" s="86"/>
      <c r="BH7" s="110">
        <f ca="1" t="shared" si="2"/>
        <v>3</v>
      </c>
      <c r="BI7" s="14" t="s">
        <v>22</v>
      </c>
      <c r="BJ7" s="110">
        <f ca="1" t="shared" si="3"/>
        <v>2</v>
      </c>
      <c r="BK7" s="8" t="s">
        <v>23</v>
      </c>
      <c r="BM7" s="47" t="str">
        <f>IF(BN2&gt;0,BM2,"")</f>
        <v>Tschechien</v>
      </c>
      <c r="BN7" s="2" t="s">
        <v>33</v>
      </c>
      <c r="BP7" s="34"/>
      <c r="BS7" s="93">
        <f>IF(BK3=$B$65,BJ3,0)</f>
        <v>3</v>
      </c>
      <c r="BT7" s="92"/>
      <c r="BU7" s="93">
        <f>IF(BK7=$B$65,BH8,0)</f>
        <v>6</v>
      </c>
      <c r="BV7" s="93">
        <f>IF(BK6=$B$65,BH6,0)</f>
        <v>0</v>
      </c>
      <c r="CD7" s="2" t="s">
        <v>118</v>
      </c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V7" s="113"/>
    </row>
    <row r="8" spans="1:100" ht="12.75">
      <c r="A8" s="2">
        <f>A6+12</f>
        <v>26</v>
      </c>
      <c r="B8" s="7">
        <v>44367.75</v>
      </c>
      <c r="C8" s="4" t="s">
        <v>138</v>
      </c>
      <c r="D8" s="88" t="str">
        <f>Y3</f>
        <v>Italien</v>
      </c>
      <c r="E8" s="52" t="s">
        <v>21</v>
      </c>
      <c r="F8" s="88" t="str">
        <f>Y4</f>
        <v>Wales</v>
      </c>
      <c r="G8" s="86"/>
      <c r="H8" s="111">
        <f ca="1" t="shared" si="0"/>
        <v>0</v>
      </c>
      <c r="I8" s="12" t="s">
        <v>22</v>
      </c>
      <c r="J8" s="111">
        <f ca="1" t="shared" si="1"/>
        <v>0</v>
      </c>
      <c r="K8" s="8" t="s">
        <v>23</v>
      </c>
      <c r="M8" s="44" t="str">
        <f>IF(N3&gt;0,M3,"")</f>
        <v>Wales</v>
      </c>
      <c r="N8" s="2" t="s">
        <v>25</v>
      </c>
      <c r="O8" s="35"/>
      <c r="P8" s="36" t="s">
        <v>11</v>
      </c>
      <c r="S8" s="93">
        <f>IF(K5=$B$65,J5,0)</f>
        <v>1</v>
      </c>
      <c r="T8" s="93">
        <f>IF(K7=$B$65,J8,0)</f>
        <v>0</v>
      </c>
      <c r="U8" s="92"/>
      <c r="V8" s="93">
        <f>IF(K4=$B$65,H4,0)</f>
        <v>3</v>
      </c>
      <c r="AD8" s="86" t="s">
        <v>119</v>
      </c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V8" s="112"/>
      <c r="AW8" s="96"/>
      <c r="BA8" s="2">
        <f>BA6+12</f>
        <v>32</v>
      </c>
      <c r="BB8" s="7">
        <v>44369.875</v>
      </c>
      <c r="BC8" s="4" t="s">
        <v>146</v>
      </c>
      <c r="BD8" s="88" t="str">
        <f>BY3</f>
        <v>Kroatien</v>
      </c>
      <c r="BE8" s="52" t="s">
        <v>21</v>
      </c>
      <c r="BF8" s="88" t="str">
        <f>BY4</f>
        <v>Schottland</v>
      </c>
      <c r="BG8" s="86"/>
      <c r="BH8" s="111">
        <f ca="1" t="shared" si="2"/>
        <v>6</v>
      </c>
      <c r="BI8" s="12" t="s">
        <v>22</v>
      </c>
      <c r="BJ8" s="111">
        <f ca="1" t="shared" si="3"/>
        <v>4</v>
      </c>
      <c r="BK8" s="8" t="s">
        <v>23</v>
      </c>
      <c r="BM8" s="47" t="str">
        <f>IF(BN3&gt;0,BM3,"")</f>
        <v>Kroatien</v>
      </c>
      <c r="BN8" s="2" t="s">
        <v>34</v>
      </c>
      <c r="BO8" s="35"/>
      <c r="BP8" s="36" t="s">
        <v>11</v>
      </c>
      <c r="BS8" s="93">
        <f>IF(BK5=$B$65,BJ5,0)</f>
        <v>5</v>
      </c>
      <c r="BT8" s="93">
        <f>IF(BK7=$B$65,BJ8,0)</f>
        <v>4</v>
      </c>
      <c r="BU8" s="92"/>
      <c r="BV8" s="93">
        <f>IF(BK4=$B$65,BH4,0)</f>
        <v>0</v>
      </c>
      <c r="CD8" s="2" t="s">
        <v>119</v>
      </c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V8" s="113"/>
    </row>
    <row r="9" spans="4:100" ht="12.75">
      <c r="D9" s="86"/>
      <c r="E9" s="86"/>
      <c r="F9" s="86"/>
      <c r="G9" s="86"/>
      <c r="M9" s="44" t="str">
        <f>IF(N4&gt;0,M4,"")</f>
        <v>Schweiz</v>
      </c>
      <c r="N9" s="2" t="s">
        <v>115</v>
      </c>
      <c r="S9" s="93">
        <f>IF(K8=$B$65,H7,0)</f>
        <v>1</v>
      </c>
      <c r="T9" s="93">
        <f>IF(K6=$B$65,J6,0)</f>
        <v>1</v>
      </c>
      <c r="U9" s="93">
        <f>IF(K4=$B$65,J4,0)</f>
        <v>1</v>
      </c>
      <c r="V9" s="92"/>
      <c r="AD9" s="86" t="s">
        <v>120</v>
      </c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V9" s="112"/>
      <c r="AW9" s="96"/>
      <c r="BD9" s="86"/>
      <c r="BE9" s="86"/>
      <c r="BF9" s="86"/>
      <c r="BG9" s="86"/>
      <c r="BM9" s="47" t="str">
        <f>IF(BN4&gt;0,BM4,"")</f>
        <v>Schottland</v>
      </c>
      <c r="BN9" s="2" t="s">
        <v>116</v>
      </c>
      <c r="BS9" s="93">
        <f>IF(BK8=$B$65,BH7,0)</f>
        <v>3</v>
      </c>
      <c r="BT9" s="93">
        <f>IF(BK6=$B$65,BJ6,0)</f>
        <v>1</v>
      </c>
      <c r="BU9" s="93">
        <f>IF(BK4=$B$65,BJ4,0)</f>
        <v>4</v>
      </c>
      <c r="BV9" s="92"/>
      <c r="CD9" s="2" t="s">
        <v>120</v>
      </c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V9" s="113"/>
    </row>
    <row r="10" spans="4:100" ht="6" customHeight="1">
      <c r="D10" s="86"/>
      <c r="E10" s="89"/>
      <c r="F10" s="91"/>
      <c r="G10" s="91"/>
      <c r="H10" s="86"/>
      <c r="I10" s="86"/>
      <c r="J10" s="86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V10" s="112"/>
      <c r="AW10" s="96"/>
      <c r="BD10" s="86"/>
      <c r="BE10" s="89"/>
      <c r="BF10" s="91"/>
      <c r="BG10" s="91"/>
      <c r="BH10" s="86"/>
      <c r="BI10" s="86"/>
      <c r="BJ10" s="86"/>
      <c r="BS10" s="86"/>
      <c r="BT10" s="86"/>
      <c r="BU10" s="86"/>
      <c r="BV10" s="86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V10" s="113"/>
    </row>
    <row r="11" spans="2:100" s="11" customFormat="1" ht="12.75">
      <c r="B11" s="37" t="s">
        <v>0</v>
      </c>
      <c r="C11" s="38" t="s">
        <v>26</v>
      </c>
      <c r="D11" s="87" t="s">
        <v>2</v>
      </c>
      <c r="E11" s="101"/>
      <c r="F11" s="87"/>
      <c r="G11" s="87"/>
      <c r="H11" s="22"/>
      <c r="I11" s="21"/>
      <c r="J11" s="22"/>
      <c r="K11" s="23"/>
      <c r="L11" s="18"/>
      <c r="M11" s="43" t="s">
        <v>3</v>
      </c>
      <c r="N11" s="18" t="s">
        <v>4</v>
      </c>
      <c r="O11" s="18" t="s">
        <v>5</v>
      </c>
      <c r="P11" s="18" t="s">
        <v>6</v>
      </c>
      <c r="Q11" s="18" t="s">
        <v>7</v>
      </c>
      <c r="R11" s="18"/>
      <c r="S11" s="86"/>
      <c r="T11" s="86"/>
      <c r="U11" s="86"/>
      <c r="V11" s="86"/>
      <c r="W11" s="87"/>
      <c r="X11" s="87" t="s">
        <v>8</v>
      </c>
      <c r="Y11" s="88" t="s">
        <v>9</v>
      </c>
      <c r="Z11" s="87" t="s">
        <v>4</v>
      </c>
      <c r="AA11" s="87" t="s">
        <v>5</v>
      </c>
      <c r="AB11" s="87" t="s">
        <v>6</v>
      </c>
      <c r="AC11" s="87" t="s">
        <v>7</v>
      </c>
      <c r="AD11" s="87"/>
      <c r="AE11" s="21" t="s">
        <v>10</v>
      </c>
      <c r="AF11" s="52" t="s">
        <v>11</v>
      </c>
      <c r="AG11" s="52"/>
      <c r="AH11" s="52"/>
      <c r="AI11" s="52"/>
      <c r="AJ11" s="52" t="s">
        <v>12</v>
      </c>
      <c r="AK11" s="88" t="s">
        <v>13</v>
      </c>
      <c r="AL11" s="52" t="s">
        <v>14</v>
      </c>
      <c r="AM11" s="52"/>
      <c r="AN11" s="52"/>
      <c r="AO11" s="52"/>
      <c r="AP11" s="52" t="s">
        <v>15</v>
      </c>
      <c r="AQ11" s="52" t="s">
        <v>16</v>
      </c>
      <c r="AR11" s="52"/>
      <c r="AS11" s="52"/>
      <c r="AT11" s="52"/>
      <c r="AU11" s="89" t="s">
        <v>17</v>
      </c>
      <c r="AV11" s="88" t="s">
        <v>18</v>
      </c>
      <c r="AW11" s="90"/>
      <c r="AX11" s="91"/>
      <c r="AY11" s="91"/>
      <c r="AZ11" s="91"/>
      <c r="BB11" s="19" t="s">
        <v>0</v>
      </c>
      <c r="BC11" s="48" t="s">
        <v>35</v>
      </c>
      <c r="BD11" s="87" t="s">
        <v>2</v>
      </c>
      <c r="BE11" s="101"/>
      <c r="BF11" s="87"/>
      <c r="BG11" s="87"/>
      <c r="BH11" s="22"/>
      <c r="BI11" s="21"/>
      <c r="BJ11" s="22"/>
      <c r="BK11" s="23"/>
      <c r="BL11" s="18"/>
      <c r="BM11" s="43" t="s">
        <v>3</v>
      </c>
      <c r="BN11" s="18" t="s">
        <v>4</v>
      </c>
      <c r="BO11" s="18" t="s">
        <v>5</v>
      </c>
      <c r="BP11" s="18" t="s">
        <v>6</v>
      </c>
      <c r="BQ11" s="18" t="s">
        <v>7</v>
      </c>
      <c r="BR11" s="18"/>
      <c r="BS11" s="86"/>
      <c r="BT11" s="86"/>
      <c r="BU11" s="86"/>
      <c r="BV11" s="86"/>
      <c r="BW11" s="18"/>
      <c r="BX11" s="18" t="s">
        <v>8</v>
      </c>
      <c r="BY11" s="88" t="s">
        <v>9</v>
      </c>
      <c r="BZ11" s="18" t="s">
        <v>4</v>
      </c>
      <c r="CA11" s="18" t="s">
        <v>5</v>
      </c>
      <c r="CB11" s="18" t="s">
        <v>6</v>
      </c>
      <c r="CC11" s="18" t="s">
        <v>7</v>
      </c>
      <c r="CD11" s="18"/>
      <c r="CE11" s="23" t="s">
        <v>10</v>
      </c>
      <c r="CF11" s="16" t="s">
        <v>11</v>
      </c>
      <c r="CG11" s="16"/>
      <c r="CH11" s="16"/>
      <c r="CI11" s="16"/>
      <c r="CJ11" s="16" t="s">
        <v>12</v>
      </c>
      <c r="CK11" s="24" t="s">
        <v>13</v>
      </c>
      <c r="CL11" s="16" t="s">
        <v>14</v>
      </c>
      <c r="CM11" s="16"/>
      <c r="CN11" s="16"/>
      <c r="CO11" s="16"/>
      <c r="CP11" s="16" t="s">
        <v>15</v>
      </c>
      <c r="CQ11" s="16" t="s">
        <v>16</v>
      </c>
      <c r="CR11" s="16"/>
      <c r="CS11" s="16"/>
      <c r="CT11" s="16"/>
      <c r="CU11" s="17" t="s">
        <v>17</v>
      </c>
      <c r="CV11" s="24" t="s">
        <v>18</v>
      </c>
    </row>
    <row r="12" spans="2:100" ht="12.75">
      <c r="B12" s="3" t="s">
        <v>19</v>
      </c>
      <c r="C12" s="3" t="s">
        <v>20</v>
      </c>
      <c r="D12" s="86"/>
      <c r="E12" s="86"/>
      <c r="F12" s="86"/>
      <c r="G12" s="86"/>
      <c r="L12" s="1"/>
      <c r="M12" s="10" t="str">
        <f>VLOOKUP(1,$X$12:$AC$15,2,FALSE)</f>
        <v>Dänemark</v>
      </c>
      <c r="N12" s="2">
        <f>VLOOKUP(1,$X$12:$AC$15,3,FALSE)</f>
        <v>7</v>
      </c>
      <c r="O12" s="2">
        <f>VLOOKUP(1,$X$12:$AC$15,4,FALSE)</f>
        <v>4</v>
      </c>
      <c r="P12" s="2">
        <f>VLOOKUP(1,$X$12:$AC$15,5,FALSE)</f>
        <v>1</v>
      </c>
      <c r="Q12" s="2">
        <f>VLOOKUP(1,$X$12:$AC$15,6,FALSE)</f>
        <v>3</v>
      </c>
      <c r="S12" s="92"/>
      <c r="T12" s="93">
        <f>IF(H13="",0,IF(K13=$B$65,IF(H13&gt;J13,3,IF(H13=J13,1,0)),0))</f>
        <v>3</v>
      </c>
      <c r="U12" s="93">
        <f>IF(H15="",0,IF(K15=$B$65,IF(H15&gt;J15,3,IF(H15=J15,1,0)),0))</f>
        <v>3</v>
      </c>
      <c r="V12" s="93">
        <f>IF(J17="",0,IF(K18=$B$65,IF(H17&lt;J17,3,IF(H17=J17,1,0)),0))</f>
        <v>1</v>
      </c>
      <c r="W12" s="94"/>
      <c r="X12" s="94">
        <f>RANK(AD12,$AD$12:$AD$15)</f>
        <v>1</v>
      </c>
      <c r="Y12" s="95" t="s">
        <v>151</v>
      </c>
      <c r="Z12" s="94">
        <f>SUM(S12:V12)</f>
        <v>7</v>
      </c>
      <c r="AA12" s="94">
        <f>SUM(S16:V16)</f>
        <v>4</v>
      </c>
      <c r="AB12" s="94">
        <f>SUM(S16:S19)</f>
        <v>1</v>
      </c>
      <c r="AC12" s="94">
        <f>AA12-AB12</f>
        <v>3</v>
      </c>
      <c r="AD12" s="28">
        <f>IF(P$18="",(((((((AE12*10+Z12)*100+AC12)*100+AA12)*10+AK12)*10+AJ12)*100+AP12)*100+AU12)*10+AV12,(((((((AE12*10+Z12)*10+AK12)*10+AJ12)*100+AP12)*100+AU12)*100+AC12)*100+AA12)*10+AV12)</f>
        <v>700000003044</v>
      </c>
      <c r="AE12" s="97"/>
      <c r="AF12" s="108"/>
      <c r="AG12" s="108">
        <f>IF($Z12=$Z13,$T12-$S13,0)</f>
        <v>0</v>
      </c>
      <c r="AH12" s="108">
        <f>IF($Z12=$Z14,$U12-$S14,0)</f>
        <v>0</v>
      </c>
      <c r="AI12" s="108">
        <f>IF($Z12=$Z15,$V12-$S15,0)</f>
        <v>0</v>
      </c>
      <c r="AJ12" s="108">
        <f>SUM(AF12:AI12)</f>
        <v>0</v>
      </c>
      <c r="AK12" s="97"/>
      <c r="AL12" s="108"/>
      <c r="AM12" s="108">
        <f>IF($Z12=$Z13,$T16-$S17,0)</f>
        <v>0</v>
      </c>
      <c r="AN12" s="108">
        <f>IF($Z12=$Z14,$U16-$S18,0)</f>
        <v>0</v>
      </c>
      <c r="AO12" s="108">
        <f>IF($Z12=$Z15,$V16-$S19,0)</f>
        <v>0</v>
      </c>
      <c r="AP12" s="108">
        <f>SUM(AL12:AO12)</f>
        <v>0</v>
      </c>
      <c r="AQ12" s="108"/>
      <c r="AR12" s="108">
        <f>IF($Z12=$Z13,$T16,0)</f>
        <v>0</v>
      </c>
      <c r="AS12" s="108">
        <f>IF($Z12=$Z14,$U16,0)</f>
        <v>0</v>
      </c>
      <c r="AT12" s="108">
        <f>IF($Z12=$Z15,$V16,0)</f>
        <v>0</v>
      </c>
      <c r="AU12" s="108">
        <f>SUM(AQ12:AT12)</f>
        <v>0</v>
      </c>
      <c r="AV12" s="97">
        <v>4</v>
      </c>
      <c r="AW12" s="96"/>
      <c r="BB12" s="3" t="s">
        <v>19</v>
      </c>
      <c r="BC12" s="3" t="s">
        <v>20</v>
      </c>
      <c r="BD12" s="86"/>
      <c r="BE12" s="86"/>
      <c r="BF12" s="86"/>
      <c r="BG12" s="86"/>
      <c r="BL12" s="1"/>
      <c r="BM12" s="10" t="str">
        <f>VLOOKUP(1,$BX$12:$CC$15,2,FALSE)</f>
        <v>Schweden</v>
      </c>
      <c r="BN12" s="2">
        <f>VLOOKUP(1,$BX$12:$CC$15,3,FALSE)</f>
        <v>9</v>
      </c>
      <c r="BO12" s="2">
        <f>VLOOKUP(1,$BX$12:$CC$15,4,FALSE)</f>
        <v>7</v>
      </c>
      <c r="BP12" s="2">
        <f>VLOOKUP(1,$BX$12:$CC$15,5,FALSE)</f>
        <v>2</v>
      </c>
      <c r="BQ12" s="2">
        <f>VLOOKUP(1,$BX$12:$CC$15,6,FALSE)</f>
        <v>5</v>
      </c>
      <c r="BS12" s="92"/>
      <c r="BT12" s="93">
        <f>IF(BH13="",0,IF(BK13=$B$65,IF(BH13&gt;BJ13,3,IF(BH13=BJ13,1,0)),0))</f>
        <v>0</v>
      </c>
      <c r="BU12" s="93">
        <f>IF(BH15="",0,IF(BK15=$B$65,IF(BH15&gt;BJ15,3,IF(BH15=BJ15,1,0)),0))</f>
        <v>0</v>
      </c>
      <c r="BV12" s="93">
        <f>IF(BJ17="",0,IF(BK18=$B$65,IF(BH17&lt;BJ17,3,IF(BH17=BJ17,1,0)),0))</f>
        <v>3</v>
      </c>
      <c r="BW12" s="1"/>
      <c r="BX12" s="1">
        <f>RANK(CD12,$CD$12:$CD$15)</f>
        <v>3</v>
      </c>
      <c r="BY12" s="95" t="s">
        <v>64</v>
      </c>
      <c r="BZ12" s="1">
        <f>SUM(BS12:BV12)</f>
        <v>3</v>
      </c>
      <c r="CA12" s="1">
        <f>SUM(BS16:BV16)</f>
        <v>8</v>
      </c>
      <c r="CB12" s="1">
        <f>SUM(BS16:BS19)</f>
        <v>12</v>
      </c>
      <c r="CC12" s="1">
        <f>CA12-CB12</f>
        <v>-4</v>
      </c>
      <c r="CD12" s="28">
        <f>IF(BP$18="",(((((((CE12*10+BZ12)*100+CC12)*100+CA12)*10+CK12)*10+CJ12)*100+CP12)*100+CU12)*10+CV12,(((((((CE12*10+BZ12)*10+CK12)*10+CJ12)*100+CP12)*100+CU12)*100+CC12)*100+CA12)*10+CV12)</f>
        <v>299999996084</v>
      </c>
      <c r="CE12" s="5"/>
      <c r="CF12" s="109"/>
      <c r="CG12" s="109">
        <f>IF($BZ12=$BZ13,$BT12-$BS13,0)</f>
        <v>0</v>
      </c>
      <c r="CH12" s="109">
        <f>IF($BZ12=$BZ14,$BU12-$BS14,0)</f>
        <v>0</v>
      </c>
      <c r="CI12" s="109">
        <f>IF($BZ12=$BZ15,$BV12-$BS15,0)</f>
        <v>0</v>
      </c>
      <c r="CJ12" s="109">
        <f>SUM(CF12:CI12)</f>
        <v>0</v>
      </c>
      <c r="CK12" s="5"/>
      <c r="CL12" s="109"/>
      <c r="CM12" s="109">
        <f>IF($BZ12=$BZ13,$BT16-$BS17,0)</f>
        <v>0</v>
      </c>
      <c r="CN12" s="109">
        <f>IF($BZ12=$BZ14,$BU16-$BS18,0)</f>
        <v>0</v>
      </c>
      <c r="CO12" s="109">
        <f>IF($BZ12=$BZ15,$BV16-$BS19,0)</f>
        <v>0</v>
      </c>
      <c r="CP12" s="109">
        <f>SUM(CL12:CO12)</f>
        <v>0</v>
      </c>
      <c r="CQ12" s="109"/>
      <c r="CR12" s="109">
        <f>IF($BZ12=$BZ13,$BT16,0)</f>
        <v>0</v>
      </c>
      <c r="CS12" s="109">
        <f>IF($BZ12=$BZ14,$BU16,0)</f>
        <v>0</v>
      </c>
      <c r="CT12" s="109">
        <f>IF($BZ12=$BZ15,$BV16,0)</f>
        <v>0</v>
      </c>
      <c r="CU12" s="109">
        <f>SUM(CQ12:CT12)</f>
        <v>0</v>
      </c>
      <c r="CV12" s="5">
        <v>4</v>
      </c>
    </row>
    <row r="13" spans="1:100" ht="12.75">
      <c r="A13" s="2">
        <v>3</v>
      </c>
      <c r="B13" s="7">
        <v>44359.75</v>
      </c>
      <c r="C13" s="4" t="s">
        <v>142</v>
      </c>
      <c r="D13" s="88" t="str">
        <f>Y12</f>
        <v>Dänemark</v>
      </c>
      <c r="E13" s="52" t="s">
        <v>21</v>
      </c>
      <c r="F13" s="88" t="str">
        <f>Y13</f>
        <v>Finnland</v>
      </c>
      <c r="G13" s="87"/>
      <c r="H13" s="110">
        <f aca="true" ca="1" t="shared" si="4" ref="H13:H18">IF($B$66="",1,INT(RAND()*5)+INT(RAND()*3)*INT(RAND()*2))</f>
        <v>2</v>
      </c>
      <c r="I13" s="12" t="s">
        <v>22</v>
      </c>
      <c r="J13" s="110">
        <f aca="true" ca="1" t="shared" si="5" ref="J13:J18">IF($B$66="",0,INT(RAND()*5)+INT(RAND()*3)*INT(RAND()*2))</f>
        <v>1</v>
      </c>
      <c r="K13" s="8" t="s">
        <v>23</v>
      </c>
      <c r="L13" s="1"/>
      <c r="M13" s="10" t="str">
        <f>VLOOKUP(2,$X$12:$AC$15,2,FALSE)</f>
        <v>Russland</v>
      </c>
      <c r="N13" s="2">
        <f>VLOOKUP(2,$X$12:$AC$15,3,FALSE)</f>
        <v>5</v>
      </c>
      <c r="O13" s="2">
        <f>VLOOKUP(2,$X$12:$AC$15,4,FALSE)</f>
        <v>7</v>
      </c>
      <c r="P13" s="2">
        <f>VLOOKUP(2,$X$12:$AC$15,5,FALSE)</f>
        <v>5</v>
      </c>
      <c r="Q13" s="2">
        <f>VLOOKUP(2,$X$12:$AC$15,6,FALSE)</f>
        <v>2</v>
      </c>
      <c r="S13" s="93">
        <f>IF(J13="",0,IF(K13=$B$65,IF(H13&lt;J13,3,IF(H13=J13,1,0)),0))</f>
        <v>0</v>
      </c>
      <c r="T13" s="92"/>
      <c r="U13" s="93">
        <f>IF(H18="",0,IF(K17=$B$65,IF(H18&gt;J18,3,IF(H18=J18,1,0)),0))</f>
        <v>0</v>
      </c>
      <c r="V13" s="93">
        <f>IF(H16="",0,IF(K16=$B$65,IF(H16&gt;J16,3,IF(H16=J16,1,0)),0))</f>
        <v>0</v>
      </c>
      <c r="W13" s="94"/>
      <c r="X13" s="94">
        <f>RANK(AD13,$AD$12:$AD$15)</f>
        <v>4</v>
      </c>
      <c r="Y13" s="95" t="s">
        <v>152</v>
      </c>
      <c r="Z13" s="94">
        <f>SUM(S13:V13)</f>
        <v>0</v>
      </c>
      <c r="AA13" s="94">
        <f>SUM(S17:V17)</f>
        <v>4</v>
      </c>
      <c r="AB13" s="94">
        <f>SUM(T16:T19)</f>
        <v>10</v>
      </c>
      <c r="AC13" s="94">
        <f>AA13-AB13</f>
        <v>-6</v>
      </c>
      <c r="AD13" s="28">
        <f>IF(P$18="",(((((((AE13*10+Z13)*100+AC13)*100+AA13)*10+AK13)*10+AJ13)*100+AP13)*100+AU13)*10+AV13,(((((((AE13*10+Z13)*10+AK13)*10+AJ13)*100+AP13)*100+AU13)*100+AC13)*100+AA13)*10+AV13)</f>
        <v>-5957</v>
      </c>
      <c r="AE13" s="97"/>
      <c r="AF13" s="108">
        <f>IF($Z13=$Z12,$S13-$T12,0)</f>
        <v>0</v>
      </c>
      <c r="AG13" s="108"/>
      <c r="AH13" s="108">
        <f>IF($Z13=$Z14,$U13-$T14,0)</f>
        <v>0</v>
      </c>
      <c r="AI13" s="108">
        <f>IF($Z13=$Z15,$V13-$T15,0)</f>
        <v>0</v>
      </c>
      <c r="AJ13" s="108">
        <f>SUM(AF13:AI13)</f>
        <v>0</v>
      </c>
      <c r="AK13" s="97"/>
      <c r="AL13" s="108">
        <f>IF($Z13=$Z12,$S17-$T16,0)</f>
        <v>0</v>
      </c>
      <c r="AM13" s="108"/>
      <c r="AN13" s="108">
        <f>IF($Z13=$Z14,$U17-$T18,0)</f>
        <v>0</v>
      </c>
      <c r="AO13" s="108">
        <f>IF($Z13=$Z15,$V17-$T19,0)</f>
        <v>0</v>
      </c>
      <c r="AP13" s="108">
        <f>SUM(AL13:AO13)</f>
        <v>0</v>
      </c>
      <c r="AQ13" s="108">
        <f>IF($Z13=$Z12,$S17,0)</f>
        <v>0</v>
      </c>
      <c r="AR13" s="108"/>
      <c r="AS13" s="108">
        <f>IF($Z13=$Z14,$U17,0)</f>
        <v>0</v>
      </c>
      <c r="AT13" s="108">
        <f>IF($Z13=$Z15,$V17,0)</f>
        <v>0</v>
      </c>
      <c r="AU13" s="108">
        <f>SUM(AQ13:AT13)</f>
        <v>0</v>
      </c>
      <c r="AV13" s="97">
        <v>3</v>
      </c>
      <c r="AW13" s="96"/>
      <c r="BA13" s="2">
        <v>9</v>
      </c>
      <c r="BB13" s="7">
        <v>44361.875</v>
      </c>
      <c r="BC13" s="4" t="s">
        <v>167</v>
      </c>
      <c r="BD13" s="88" t="str">
        <f>BY12</f>
        <v>Spanien</v>
      </c>
      <c r="BE13" s="52" t="s">
        <v>21</v>
      </c>
      <c r="BF13" s="88" t="str">
        <f>BY13</f>
        <v>Schweden</v>
      </c>
      <c r="BG13" s="87"/>
      <c r="BH13" s="110">
        <f aca="true" ca="1" t="shared" si="6" ref="BH13:BH18">IF($B$66="",1,INT(RAND()*5)+INT(RAND()*3)*INT(RAND()*2))</f>
        <v>1</v>
      </c>
      <c r="BI13" s="12" t="s">
        <v>22</v>
      </c>
      <c r="BJ13" s="110">
        <f aca="true" ca="1" t="shared" si="7" ref="BJ13:BJ18">IF($B$66="",0,INT(RAND()*5)+INT(RAND()*3)*INT(RAND()*2))</f>
        <v>4</v>
      </c>
      <c r="BK13" s="8" t="s">
        <v>23</v>
      </c>
      <c r="BL13" s="1"/>
      <c r="BM13" s="10" t="str">
        <f>VLOOKUP(2,$BX$12:$CC$15,2,FALSE)</f>
        <v>Polen</v>
      </c>
      <c r="BN13" s="2">
        <f>VLOOKUP(2,$BX$12:$CC$15,3,FALSE)</f>
        <v>6</v>
      </c>
      <c r="BO13" s="2">
        <f>VLOOKUP(2,$BX$12:$CC$15,4,FALSE)</f>
        <v>10</v>
      </c>
      <c r="BP13" s="2">
        <f>VLOOKUP(2,$BX$12:$CC$15,5,FALSE)</f>
        <v>6</v>
      </c>
      <c r="BQ13" s="2">
        <f>VLOOKUP(2,$BX$12:$CC$15,6,FALSE)</f>
        <v>4</v>
      </c>
      <c r="BS13" s="93">
        <f>IF(BJ13="",0,IF(BK13=$B$65,IF(BH13&lt;BJ13,3,IF(BH13=BJ13,1,0)),0))</f>
        <v>3</v>
      </c>
      <c r="BT13" s="92"/>
      <c r="BU13" s="93">
        <f>IF(BH18="",0,IF(BK17=$B$65,IF(BH18&gt;BJ18,3,IF(BH18=BJ18,1,0)),0))</f>
        <v>3</v>
      </c>
      <c r="BV13" s="93">
        <f>IF(BH16="",0,IF(BK16=$B$65,IF(BH16&gt;BJ16,3,IF(BH16=BJ16,1,0)),0))</f>
        <v>3</v>
      </c>
      <c r="BW13" s="1"/>
      <c r="BX13" s="1">
        <f>RANK(CD13,$CD$12:$CD$15)</f>
        <v>1</v>
      </c>
      <c r="BY13" s="95" t="s">
        <v>101</v>
      </c>
      <c r="BZ13" s="1">
        <f>SUM(BS13:BV13)</f>
        <v>9</v>
      </c>
      <c r="CA13" s="1">
        <f>SUM(BS17:BV17)</f>
        <v>7</v>
      </c>
      <c r="CB13" s="1">
        <f>SUM(BT16:BT19)</f>
        <v>2</v>
      </c>
      <c r="CC13" s="1">
        <f>CA13-CB13</f>
        <v>5</v>
      </c>
      <c r="CD13" s="28">
        <f>IF(BP$18="",(((((((CE13*10+BZ13)*100+CC13)*100+CA13)*10+CK13)*10+CJ13)*100+CP13)*100+CU13)*10+CV13,(((((((CE13*10+BZ13)*10+CK13)*10+CJ13)*100+CP13)*100+CU13)*100+CC13)*100+CA13)*10+CV13)</f>
        <v>900000005073</v>
      </c>
      <c r="CE13" s="5"/>
      <c r="CF13" s="109">
        <f>IF($BZ13=$BZ12,$BS13-$BT12,0)</f>
        <v>0</v>
      </c>
      <c r="CG13" s="109"/>
      <c r="CH13" s="109">
        <f>IF($BZ13=$BZ14,$BU13-$BT14,0)</f>
        <v>0</v>
      </c>
      <c r="CI13" s="109">
        <f>IF($BZ13=$BZ15,$BV13-$BT15,0)</f>
        <v>0</v>
      </c>
      <c r="CJ13" s="109">
        <f>SUM(CF13:CI13)</f>
        <v>0</v>
      </c>
      <c r="CK13" s="5"/>
      <c r="CL13" s="109">
        <f>IF($BZ13=$BZ12,$BS17-$BT16,0)</f>
        <v>0</v>
      </c>
      <c r="CM13" s="109"/>
      <c r="CN13" s="109">
        <f>IF($BZ13=$BZ14,$BU17-$BT18,0)</f>
        <v>0</v>
      </c>
      <c r="CO13" s="109">
        <f>IF($BZ13=$BZ15,$BV17-$BT19,0)</f>
        <v>0</v>
      </c>
      <c r="CP13" s="109">
        <f>SUM(CL13:CO13)</f>
        <v>0</v>
      </c>
      <c r="CQ13" s="109">
        <f>IF($BZ13=$BZ12,$BS17,0)</f>
        <v>0</v>
      </c>
      <c r="CR13" s="109"/>
      <c r="CS13" s="109">
        <f>IF($BZ13=$BZ14,$BU17,0)</f>
        <v>0</v>
      </c>
      <c r="CT13" s="109">
        <f>IF($BZ13=$BZ15,$BV17,0)</f>
        <v>0</v>
      </c>
      <c r="CU13" s="109">
        <f>SUM(CQ13:CT13)</f>
        <v>0</v>
      </c>
      <c r="CV13" s="5">
        <v>3</v>
      </c>
    </row>
    <row r="14" spans="1:100" ht="12.75">
      <c r="A14" s="2">
        <v>4</v>
      </c>
      <c r="B14" s="7">
        <v>44359.875</v>
      </c>
      <c r="C14" s="4" t="s">
        <v>135</v>
      </c>
      <c r="D14" s="88" t="str">
        <f>Y14</f>
        <v>Belgien</v>
      </c>
      <c r="E14" s="52" t="s">
        <v>21</v>
      </c>
      <c r="F14" s="88" t="str">
        <f>Y15</f>
        <v>Russland</v>
      </c>
      <c r="G14" s="87"/>
      <c r="H14" s="111">
        <f ca="1" t="shared" si="4"/>
        <v>4</v>
      </c>
      <c r="I14" s="12" t="s">
        <v>22</v>
      </c>
      <c r="J14" s="111">
        <f ca="1" t="shared" si="5"/>
        <v>4</v>
      </c>
      <c r="K14" s="8" t="s">
        <v>23</v>
      </c>
      <c r="L14" s="1"/>
      <c r="M14" s="10" t="str">
        <f>VLOOKUP(3,$X$12:$AC$15,2,FALSE)</f>
        <v>Belgien</v>
      </c>
      <c r="N14" s="2">
        <f>VLOOKUP(3,$X$12:$AC$15,3,FALSE)</f>
        <v>4</v>
      </c>
      <c r="O14" s="2">
        <f>VLOOKUP(3,$X$12:$AC$15,4,FALSE)</f>
        <v>9</v>
      </c>
      <c r="P14" s="2">
        <f>VLOOKUP(3,$X$12:$AC$15,5,FALSE)</f>
        <v>8</v>
      </c>
      <c r="Q14" s="2">
        <f>VLOOKUP(3,$X$12:$AC$15,6,FALSE)</f>
        <v>1</v>
      </c>
      <c r="S14" s="93">
        <f>IF(J15="",0,IF(K15=$B$65,IF(H15&lt;J15,3,IF(H15=J15,1,0)),0))</f>
        <v>0</v>
      </c>
      <c r="T14" s="93">
        <f>IF(J18="",0,IF(K17=$B$65,IF(H18&lt;J18,3,IF(H18=J18,1,0)),0))</f>
        <v>3</v>
      </c>
      <c r="U14" s="92"/>
      <c r="V14" s="93">
        <f>IF(H14="",0,IF(K14=$B$65,IF(H14&gt;J14,3,IF(H14=J14,1,0)),0))</f>
        <v>1</v>
      </c>
      <c r="W14" s="94"/>
      <c r="X14" s="94">
        <f>RANK(AD14,$AD$12:$AD$15)</f>
        <v>3</v>
      </c>
      <c r="Y14" s="95" t="s">
        <v>154</v>
      </c>
      <c r="Z14" s="94">
        <f>SUM(S14:V14)</f>
        <v>4</v>
      </c>
      <c r="AA14" s="94">
        <f>SUM(S18:V18)</f>
        <v>9</v>
      </c>
      <c r="AB14" s="94">
        <f>SUM(U16:U19)</f>
        <v>8</v>
      </c>
      <c r="AC14" s="94">
        <f>AA14-AB14</f>
        <v>1</v>
      </c>
      <c r="AD14" s="28">
        <f>IF(P$18="",(((((((AE14*10+Z14)*100+AC14)*100+AA14)*10+AK14)*10+AJ14)*100+AP14)*100+AU14)*10+AV14,(((((((AE14*10+Z14)*10+AK14)*10+AJ14)*100+AP14)*100+AU14)*100+AC14)*100+AA14)*10+AV14)</f>
        <v>400000001092</v>
      </c>
      <c r="AE14" s="97"/>
      <c r="AF14" s="108">
        <f>IF($Z14=$Z12,$S14-$U12,0)</f>
        <v>0</v>
      </c>
      <c r="AG14" s="108">
        <f>IF($Z14=$Z13,$T14-$U13,0)</f>
        <v>0</v>
      </c>
      <c r="AH14" s="108"/>
      <c r="AI14" s="108">
        <f>IF($Z14=$Z15,$V14-$U15,0)</f>
        <v>0</v>
      </c>
      <c r="AJ14" s="108">
        <f>SUM(AF14:AI14)</f>
        <v>0</v>
      </c>
      <c r="AK14" s="97"/>
      <c r="AL14" s="108">
        <f>IF($Z14=$Z12,$S18-$U16,0)</f>
        <v>0</v>
      </c>
      <c r="AM14" s="108">
        <f>IF($Z14=$Z13,$T18-$U17,0)</f>
        <v>0</v>
      </c>
      <c r="AN14" s="108"/>
      <c r="AO14" s="108">
        <f>IF($Z14=$Z15,$V18-$U19,0)</f>
        <v>0</v>
      </c>
      <c r="AP14" s="108">
        <f>SUM(AL14:AO14)</f>
        <v>0</v>
      </c>
      <c r="AQ14" s="108">
        <f>IF($Z14=$Z12,$S18,0)</f>
        <v>0</v>
      </c>
      <c r="AR14" s="108">
        <f>IF($Z14=$Z13,$T18,0)</f>
        <v>0</v>
      </c>
      <c r="AS14" s="108"/>
      <c r="AT14" s="108">
        <f>IF($Z14=$Z15,$V18,0)</f>
        <v>0</v>
      </c>
      <c r="AU14" s="108">
        <f>SUM(AQ14:AT14)</f>
        <v>0</v>
      </c>
      <c r="AV14" s="97">
        <v>2</v>
      </c>
      <c r="AW14" s="96"/>
      <c r="BA14" s="2">
        <v>10</v>
      </c>
      <c r="BB14" s="7">
        <v>44361.75</v>
      </c>
      <c r="BC14" s="4" t="s">
        <v>135</v>
      </c>
      <c r="BD14" s="88" t="str">
        <f>BY14</f>
        <v>Polen</v>
      </c>
      <c r="BE14" s="52" t="s">
        <v>21</v>
      </c>
      <c r="BF14" s="88" t="str">
        <f>BY15</f>
        <v>Slowakei</v>
      </c>
      <c r="BG14" s="87"/>
      <c r="BH14" s="111">
        <f ca="1" t="shared" si="6"/>
        <v>4</v>
      </c>
      <c r="BI14" s="12" t="s">
        <v>22</v>
      </c>
      <c r="BJ14" s="111">
        <f ca="1" t="shared" si="7"/>
        <v>1</v>
      </c>
      <c r="BK14" s="8" t="s">
        <v>23</v>
      </c>
      <c r="BL14" s="1"/>
      <c r="BM14" s="10" t="str">
        <f>VLOOKUP(3,$BX$12:$CC$15,2,FALSE)</f>
        <v>Spanien</v>
      </c>
      <c r="BN14" s="2">
        <f>VLOOKUP(3,$BX$12:$CC$15,3,FALSE)</f>
        <v>3</v>
      </c>
      <c r="BO14" s="2">
        <f>VLOOKUP(3,$BX$12:$CC$15,4,FALSE)</f>
        <v>8</v>
      </c>
      <c r="BP14" s="2">
        <f>VLOOKUP(3,$BX$12:$CC$15,5,FALSE)</f>
        <v>12</v>
      </c>
      <c r="BQ14" s="2">
        <f>VLOOKUP(3,$BX$12:$CC$15,6,FALSE)</f>
        <v>-4</v>
      </c>
      <c r="BS14" s="93">
        <f>IF(BJ15="",0,IF(BK15=$B$65,IF(BH15&lt;BJ15,3,IF(BH15=BJ15,1,0)),0))</f>
        <v>3</v>
      </c>
      <c r="BT14" s="93">
        <f>IF(BJ18="",0,IF(BK17=$B$65,IF(BH18&lt;BJ18,3,IF(BH18=BJ18,1,0)),0))</f>
        <v>0</v>
      </c>
      <c r="BU14" s="92"/>
      <c r="BV14" s="93">
        <f>IF(BH14="",0,IF(BK14=$B$65,IF(BH14&gt;BJ14,3,IF(BH14=BJ14,1,0)),0))</f>
        <v>3</v>
      </c>
      <c r="BW14" s="1"/>
      <c r="BX14" s="1">
        <f>RANK(CD14,$CD$12:$CD$15)</f>
        <v>2</v>
      </c>
      <c r="BY14" s="95" t="s">
        <v>159</v>
      </c>
      <c r="BZ14" s="1">
        <f>SUM(BS14:BV14)</f>
        <v>6</v>
      </c>
      <c r="CA14" s="1">
        <f>SUM(BS18:BV18)</f>
        <v>10</v>
      </c>
      <c r="CB14" s="1">
        <f>SUM(BU16:BU19)</f>
        <v>6</v>
      </c>
      <c r="CC14" s="1">
        <f>CA14-CB14</f>
        <v>4</v>
      </c>
      <c r="CD14" s="28">
        <f>IF(BP$18="",(((((((CE14*10+BZ14)*100+CC14)*100+CA14)*10+CK14)*10+CJ14)*100+CP14)*100+CU14)*10+CV14,(((((((CE14*10+BZ14)*10+CK14)*10+CJ14)*100+CP14)*100+CU14)*100+CC14)*100+CA14)*10+CV14)</f>
        <v>600000004102</v>
      </c>
      <c r="CE14" s="5"/>
      <c r="CF14" s="109">
        <f>IF($BZ14=$BZ12,$BS14-$BU12,0)</f>
        <v>0</v>
      </c>
      <c r="CG14" s="109">
        <f>IF($BZ14=$BZ13,$BT14-$BU13,0)</f>
        <v>0</v>
      </c>
      <c r="CH14" s="109"/>
      <c r="CI14" s="109">
        <f>IF($BZ14=$BZ15,$BV14-$BU15,0)</f>
        <v>0</v>
      </c>
      <c r="CJ14" s="109">
        <f>SUM(CF14:CI14)</f>
        <v>0</v>
      </c>
      <c r="CK14" s="5"/>
      <c r="CL14" s="109">
        <f>IF($BZ14=$BZ12,$BS18-$BU16,0)</f>
        <v>0</v>
      </c>
      <c r="CM14" s="109">
        <f>IF($BZ14=$BZ13,$BT18-$BU17,0)</f>
        <v>0</v>
      </c>
      <c r="CN14" s="109"/>
      <c r="CO14" s="109">
        <f>IF($BZ14=$BZ15,$BV18-$BU19,0)</f>
        <v>0</v>
      </c>
      <c r="CP14" s="109">
        <f>SUM(CL14:CO14)</f>
        <v>0</v>
      </c>
      <c r="CQ14" s="109">
        <f>IF($BZ14=$BZ12,$BS18,0)</f>
        <v>0</v>
      </c>
      <c r="CR14" s="109">
        <f>IF($BZ14=$BZ13,$BT18,0)</f>
        <v>0</v>
      </c>
      <c r="CS14" s="109"/>
      <c r="CT14" s="109">
        <f>IF($BZ14=$BZ15,$BV18,0)</f>
        <v>0</v>
      </c>
      <c r="CU14" s="109">
        <f>SUM(CQ14:CT14)</f>
        <v>0</v>
      </c>
      <c r="CV14" s="5">
        <v>2</v>
      </c>
    </row>
    <row r="15" spans="1:100" ht="12.75">
      <c r="A15" s="2">
        <f>A13+12</f>
        <v>15</v>
      </c>
      <c r="B15" s="7">
        <v>44364.75</v>
      </c>
      <c r="C15" s="4" t="s">
        <v>142</v>
      </c>
      <c r="D15" s="88" t="str">
        <f>Y12</f>
        <v>Dänemark</v>
      </c>
      <c r="E15" s="52" t="s">
        <v>21</v>
      </c>
      <c r="F15" s="88" t="str">
        <f>Y14</f>
        <v>Belgien</v>
      </c>
      <c r="G15" s="87"/>
      <c r="H15" s="111">
        <f ca="1" t="shared" si="4"/>
        <v>2</v>
      </c>
      <c r="I15" s="12" t="s">
        <v>22</v>
      </c>
      <c r="J15" s="111">
        <f ca="1" t="shared" si="5"/>
        <v>0</v>
      </c>
      <c r="K15" s="8" t="s">
        <v>23</v>
      </c>
      <c r="L15" s="1"/>
      <c r="M15" s="10" t="str">
        <f>VLOOKUP(4,$X$12:$AC$15,2,FALSE)</f>
        <v>Finnland</v>
      </c>
      <c r="N15" s="2">
        <f>VLOOKUP(4,$X$12:$AC$15,3,FALSE)</f>
        <v>0</v>
      </c>
      <c r="O15" s="2">
        <f>VLOOKUP(4,$X$12:$AC$15,4,FALSE)</f>
        <v>4</v>
      </c>
      <c r="P15" s="2">
        <f>VLOOKUP(4,$X$12:$AC$15,5,FALSE)</f>
        <v>10</v>
      </c>
      <c r="Q15" s="2">
        <f>VLOOKUP(4,$X$12:$AC$15,6,FALSE)</f>
        <v>-6</v>
      </c>
      <c r="S15" s="93">
        <f>IF(H17="",0,IF(K18=$B$65,IF(H17&gt;J17,3,IF(H17=J17,1,0)),0))</f>
        <v>1</v>
      </c>
      <c r="T15" s="93">
        <f>IF(J16="",0,IF(K16=$B$65,IF(H16&lt;J16,3,IF(H16=J16,1,0)),0))</f>
        <v>3</v>
      </c>
      <c r="U15" s="93">
        <f>IF(J14="",0,IF(K14=$B$65,IF(H14&lt;J14,3,IF(H14=J14,1,0)),0))</f>
        <v>1</v>
      </c>
      <c r="V15" s="92"/>
      <c r="W15" s="94"/>
      <c r="X15" s="94">
        <f>RANK(AD15,$AD$12:$AD$15)</f>
        <v>2</v>
      </c>
      <c r="Y15" s="95" t="s">
        <v>153</v>
      </c>
      <c r="Z15" s="94">
        <f>SUM(S15:V15)</f>
        <v>5</v>
      </c>
      <c r="AA15" s="94">
        <f>SUM(S19:V19)</f>
        <v>7</v>
      </c>
      <c r="AB15" s="94">
        <f>SUM(V16:V19)</f>
        <v>5</v>
      </c>
      <c r="AC15" s="94">
        <f>AA15-AB15</f>
        <v>2</v>
      </c>
      <c r="AD15" s="28">
        <f>IF(P$18="",(((((((AE15*10+Z15)*100+AC15)*100+AA15)*10+AK15)*10+AJ15)*100+AP15)*100+AU15)*10+AV15,(((((((AE15*10+Z15)*10+AK15)*10+AJ15)*100+AP15)*100+AU15)*100+AC15)*100+AA15)*10+AV15)</f>
        <v>500000002071</v>
      </c>
      <c r="AE15" s="97"/>
      <c r="AF15" s="108">
        <f>IF($Z15=$Z12,$S15-$V12,0)</f>
        <v>0</v>
      </c>
      <c r="AG15" s="108">
        <f>IF($Z15=$Z13,$T15-$V13,0)</f>
        <v>0</v>
      </c>
      <c r="AH15" s="108">
        <f>IF($Z15=$Z14,$U15-$V14,0)</f>
        <v>0</v>
      </c>
      <c r="AI15" s="108"/>
      <c r="AJ15" s="108">
        <f>SUM(AF15:AI15)</f>
        <v>0</v>
      </c>
      <c r="AK15" s="97"/>
      <c r="AL15" s="108">
        <f>IF($Z15=$Z12,$S19-$V16,0)</f>
        <v>0</v>
      </c>
      <c r="AM15" s="108">
        <f>IF($Z15=$Z13,$T19-$V17,0)</f>
        <v>0</v>
      </c>
      <c r="AN15" s="108">
        <f>IF($Z15=$Z14,$U19-$V18,0)</f>
        <v>0</v>
      </c>
      <c r="AO15" s="108"/>
      <c r="AP15" s="108">
        <f>SUM(AL15:AO15)</f>
        <v>0</v>
      </c>
      <c r="AQ15" s="108">
        <f>IF($Z15=$Z12,$S19,0)</f>
        <v>0</v>
      </c>
      <c r="AR15" s="108">
        <f>IF($Z15=$Z13,$T19,0)</f>
        <v>0</v>
      </c>
      <c r="AS15" s="108">
        <f>IF($Z15=$Z14,$U19,0)</f>
        <v>0</v>
      </c>
      <c r="AT15" s="108"/>
      <c r="AU15" s="108">
        <f>SUM(AQ15:AT15)</f>
        <v>0</v>
      </c>
      <c r="AV15" s="97">
        <v>1</v>
      </c>
      <c r="AW15" s="96"/>
      <c r="BA15" s="2">
        <f>BA13+12</f>
        <v>21</v>
      </c>
      <c r="BB15" s="7">
        <v>44366.875</v>
      </c>
      <c r="BC15" s="4" t="s">
        <v>167</v>
      </c>
      <c r="BD15" s="88" t="str">
        <f>BY12</f>
        <v>Spanien</v>
      </c>
      <c r="BE15" s="52" t="s">
        <v>21</v>
      </c>
      <c r="BF15" s="88" t="str">
        <f>BY14</f>
        <v>Polen</v>
      </c>
      <c r="BG15" s="87"/>
      <c r="BH15" s="111">
        <f ca="1" t="shared" si="6"/>
        <v>3</v>
      </c>
      <c r="BI15" s="12" t="s">
        <v>22</v>
      </c>
      <c r="BJ15" s="111">
        <f ca="1" t="shared" si="7"/>
        <v>5</v>
      </c>
      <c r="BK15" s="8" t="s">
        <v>23</v>
      </c>
      <c r="BL15" s="1"/>
      <c r="BM15" s="10" t="str">
        <f>VLOOKUP(4,$BX$12:CC$15,2,FALSE)</f>
        <v>Slowakei</v>
      </c>
      <c r="BN15" s="2">
        <f>VLOOKUP(4,$BX$12:$CC$15,3,FALSE)</f>
        <v>0</v>
      </c>
      <c r="BO15" s="2">
        <f>VLOOKUP(4,$BX$12:$CC$15,4,FALSE)</f>
        <v>4</v>
      </c>
      <c r="BP15" s="2">
        <f>VLOOKUP(4,$BX$12:$CC$15,5,FALSE)</f>
        <v>9</v>
      </c>
      <c r="BQ15" s="2">
        <f>VLOOKUP(4,$BX$12:$CC$15,6,FALSE)</f>
        <v>-5</v>
      </c>
      <c r="BS15" s="93">
        <f>IF(BH17="",0,IF(BK18=$B$65,IF(BH17&gt;BJ17,3,IF(BH17=BJ17,1,0)),0))</f>
        <v>0</v>
      </c>
      <c r="BT15" s="93">
        <f>IF(BJ16="",0,IF(BK16=$B$65,IF(BH16&lt;BJ16,3,IF(BH16=BJ16,1,0)),0))</f>
        <v>0</v>
      </c>
      <c r="BU15" s="93">
        <f>IF(BJ14="",0,IF(BK14=$B$65,IF(BH14&lt;BJ14,3,IF(BH14=BJ14,1,0)),0))</f>
        <v>0</v>
      </c>
      <c r="BV15" s="92"/>
      <c r="BW15" s="1"/>
      <c r="BX15" s="1">
        <f>RANK(CD15,$CD$12:$CD$15)</f>
        <v>4</v>
      </c>
      <c r="BY15" s="95" t="s">
        <v>168</v>
      </c>
      <c r="BZ15" s="1">
        <f>SUM(BS15:BV15)</f>
        <v>0</v>
      </c>
      <c r="CA15" s="1">
        <f>SUM(BS19:BV19)</f>
        <v>4</v>
      </c>
      <c r="CB15" s="1">
        <f>SUM(BV16:BV19)</f>
        <v>9</v>
      </c>
      <c r="CC15" s="1">
        <f>CA15-CB15</f>
        <v>-5</v>
      </c>
      <c r="CD15" s="28">
        <f>IF(BP$18="",(((((((CE15*10+BZ15)*100+CC15)*100+CA15)*10+CK15)*10+CJ15)*100+CP15)*100+CU15)*10+CV15,(((((((CE15*10+BZ15)*10+CK15)*10+CJ15)*100+CP15)*100+CU15)*100+CC15)*100+CA15)*10+CV15)</f>
        <v>-4959</v>
      </c>
      <c r="CE15" s="5"/>
      <c r="CF15" s="109">
        <f>IF($BZ15=$BZ12,$BS15-$BV12,0)</f>
        <v>0</v>
      </c>
      <c r="CG15" s="109">
        <f>IF($BZ15=$BZ13,$BT15-$BV13,0)</f>
        <v>0</v>
      </c>
      <c r="CH15" s="109">
        <f>IF($BZ15=$BZ14,$BU15-$BV14,0)</f>
        <v>0</v>
      </c>
      <c r="CI15" s="109"/>
      <c r="CJ15" s="109">
        <f>SUM(CF15:CI15)</f>
        <v>0</v>
      </c>
      <c r="CK15" s="5"/>
      <c r="CL15" s="109">
        <f>IF($BZ15=$BZ12,$BS19-$BV16,0)</f>
        <v>0</v>
      </c>
      <c r="CM15" s="109">
        <f>IF($BZ15=$BZ13,$BT19-$BV17,0)</f>
        <v>0</v>
      </c>
      <c r="CN15" s="109">
        <f>IF($BZ15=$BZ14,$BU19-$BV18,0)</f>
        <v>0</v>
      </c>
      <c r="CO15" s="109"/>
      <c r="CP15" s="109">
        <f>SUM(CL15:CO15)</f>
        <v>0</v>
      </c>
      <c r="CQ15" s="109">
        <f>IF($BZ15=$BZ12,$BS19,0)</f>
        <v>0</v>
      </c>
      <c r="CR15" s="109">
        <f>IF($BZ15=$BZ13,$BT19,0)</f>
        <v>0</v>
      </c>
      <c r="CS15" s="109">
        <f>IF($BZ15=$BZ14,$BU19,0)</f>
        <v>0</v>
      </c>
      <c r="CT15" s="109"/>
      <c r="CU15" s="109">
        <f>SUM(CQ15:CT15)</f>
        <v>0</v>
      </c>
      <c r="CV15" s="5">
        <v>1</v>
      </c>
    </row>
    <row r="16" spans="1:100" ht="12.75">
      <c r="A16" s="2">
        <f>A14+12</f>
        <v>16</v>
      </c>
      <c r="B16" s="4">
        <v>44363.625</v>
      </c>
      <c r="C16" s="4" t="s">
        <v>135</v>
      </c>
      <c r="D16" s="88" t="str">
        <f>Y13</f>
        <v>Finnland</v>
      </c>
      <c r="E16" s="52" t="s">
        <v>21</v>
      </c>
      <c r="F16" s="88" t="str">
        <f>Y15</f>
        <v>Russland</v>
      </c>
      <c r="G16" s="87"/>
      <c r="H16" s="111">
        <f ca="1" t="shared" si="4"/>
        <v>1</v>
      </c>
      <c r="I16" s="12" t="s">
        <v>22</v>
      </c>
      <c r="J16" s="111">
        <f ca="1" t="shared" si="5"/>
        <v>3</v>
      </c>
      <c r="K16" s="8" t="s">
        <v>23</v>
      </c>
      <c r="L16" s="1"/>
      <c r="N16" s="1"/>
      <c r="O16" s="1"/>
      <c r="P16" s="1"/>
      <c r="S16" s="92"/>
      <c r="T16" s="93">
        <f>IF(K13=$B$65,H13,0)</f>
        <v>2</v>
      </c>
      <c r="U16" s="93">
        <f>IF(K15=$B$65,H15,0)</f>
        <v>2</v>
      </c>
      <c r="V16" s="93">
        <f>IF(K18=$B$65,J17,0)</f>
        <v>0</v>
      </c>
      <c r="W16" s="94"/>
      <c r="X16" s="94"/>
      <c r="Y16" s="94"/>
      <c r="Z16" s="94"/>
      <c r="AA16" s="94"/>
      <c r="AB16" s="94"/>
      <c r="AC16" s="94"/>
      <c r="AD16" s="98"/>
      <c r="AE16" s="99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V16" s="108"/>
      <c r="AW16" s="96"/>
      <c r="BA16" s="2">
        <f>BA14+12</f>
        <v>22</v>
      </c>
      <c r="BB16" s="7">
        <v>44365.625</v>
      </c>
      <c r="BC16" s="4" t="s">
        <v>135</v>
      </c>
      <c r="BD16" s="88" t="str">
        <f>BY13</f>
        <v>Schweden</v>
      </c>
      <c r="BE16" s="52" t="s">
        <v>21</v>
      </c>
      <c r="BF16" s="88" t="str">
        <f>BY15</f>
        <v>Slowakei</v>
      </c>
      <c r="BG16" s="87"/>
      <c r="BH16" s="111">
        <f ca="1" t="shared" si="6"/>
        <v>1</v>
      </c>
      <c r="BI16" s="12" t="s">
        <v>22</v>
      </c>
      <c r="BJ16" s="111">
        <f ca="1" t="shared" si="7"/>
        <v>0</v>
      </c>
      <c r="BK16" s="8" t="s">
        <v>23</v>
      </c>
      <c r="BL16" s="1"/>
      <c r="BN16" s="1"/>
      <c r="BO16" s="1"/>
      <c r="BP16" s="1"/>
      <c r="BS16" s="92"/>
      <c r="BT16" s="93">
        <f>IF(BK13=$B$65,BH13,0)</f>
        <v>1</v>
      </c>
      <c r="BU16" s="93">
        <f>IF(BK15=$B$65,BH15,0)</f>
        <v>3</v>
      </c>
      <c r="BV16" s="93">
        <f>IF(BK18=$B$65,BJ17,0)</f>
        <v>4</v>
      </c>
      <c r="BW16" s="1"/>
      <c r="BX16" s="1"/>
      <c r="BY16" s="94"/>
      <c r="BZ16" s="1"/>
      <c r="CA16" s="1"/>
      <c r="CB16" s="1"/>
      <c r="CC16" s="1"/>
      <c r="CD16" s="6"/>
      <c r="CE16" s="8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V16" s="109"/>
    </row>
    <row r="17" spans="1:100" ht="12.75">
      <c r="A17" s="2">
        <f>A15+12</f>
        <v>27</v>
      </c>
      <c r="B17" s="7">
        <v>44368.875</v>
      </c>
      <c r="C17" s="4" t="s">
        <v>142</v>
      </c>
      <c r="D17" s="88" t="str">
        <f>Y15</f>
        <v>Russland</v>
      </c>
      <c r="E17" s="52" t="s">
        <v>21</v>
      </c>
      <c r="F17" s="88" t="str">
        <f>Y12</f>
        <v>Dänemark</v>
      </c>
      <c r="G17" s="86"/>
      <c r="H17" s="110">
        <f ca="1" t="shared" si="4"/>
        <v>0</v>
      </c>
      <c r="I17" s="14" t="s">
        <v>22</v>
      </c>
      <c r="J17" s="110">
        <f ca="1" t="shared" si="5"/>
        <v>0</v>
      </c>
      <c r="K17" s="8" t="s">
        <v>23</v>
      </c>
      <c r="M17" s="45" t="str">
        <f>IF(N12&gt;0,M12,"")</f>
        <v>Dänemark</v>
      </c>
      <c r="N17" s="2" t="s">
        <v>27</v>
      </c>
      <c r="P17" s="34"/>
      <c r="S17" s="93">
        <f>IF(K13=$B$65,J13,0)</f>
        <v>1</v>
      </c>
      <c r="T17" s="92"/>
      <c r="U17" s="93">
        <f>IF(K17=$B$65,H18,0)</f>
        <v>2</v>
      </c>
      <c r="V17" s="93">
        <f>IF(K16=$B$65,H16,0)</f>
        <v>1</v>
      </c>
      <c r="AD17" s="86" t="s">
        <v>118</v>
      </c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V17" s="112"/>
      <c r="AW17" s="96"/>
      <c r="BA17" s="2">
        <f>BA15+12</f>
        <v>33</v>
      </c>
      <c r="BB17" s="7">
        <v>44370.75</v>
      </c>
      <c r="BC17" s="4" t="s">
        <v>167</v>
      </c>
      <c r="BD17" s="88" t="str">
        <f>BY15</f>
        <v>Slowakei</v>
      </c>
      <c r="BE17" s="52" t="s">
        <v>21</v>
      </c>
      <c r="BF17" s="88" t="str">
        <f>BY12</f>
        <v>Spanien</v>
      </c>
      <c r="BG17" s="86"/>
      <c r="BH17" s="110">
        <f ca="1" t="shared" si="6"/>
        <v>3</v>
      </c>
      <c r="BI17" s="14" t="s">
        <v>22</v>
      </c>
      <c r="BJ17" s="110">
        <f ca="1" t="shared" si="7"/>
        <v>4</v>
      </c>
      <c r="BK17" s="8" t="s">
        <v>23</v>
      </c>
      <c r="BM17" s="48" t="str">
        <f>IF(BN12&gt;0,BM12,"")</f>
        <v>Schweden</v>
      </c>
      <c r="BN17" s="2" t="s">
        <v>36</v>
      </c>
      <c r="BP17" s="34"/>
      <c r="BS17" s="93">
        <f>IF(BK13=$B$65,BJ13,0)</f>
        <v>4</v>
      </c>
      <c r="BT17" s="92"/>
      <c r="BU17" s="93">
        <f>IF(BK17=$B$65,BH18,0)</f>
        <v>2</v>
      </c>
      <c r="BV17" s="93">
        <f>IF(BK16=$B$65,BH16,0)</f>
        <v>1</v>
      </c>
      <c r="CD17" s="2" t="s">
        <v>118</v>
      </c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V17" s="113"/>
    </row>
    <row r="18" spans="1:100" ht="12.75">
      <c r="A18" s="2">
        <f>A16+12</f>
        <v>28</v>
      </c>
      <c r="B18" s="7">
        <v>44368.875</v>
      </c>
      <c r="C18" s="4" t="s">
        <v>135</v>
      </c>
      <c r="D18" s="88" t="str">
        <f>Y13</f>
        <v>Finnland</v>
      </c>
      <c r="E18" s="52" t="s">
        <v>21</v>
      </c>
      <c r="F18" s="88" t="str">
        <f>Y14</f>
        <v>Belgien</v>
      </c>
      <c r="G18" s="86"/>
      <c r="H18" s="111">
        <f ca="1" t="shared" si="4"/>
        <v>2</v>
      </c>
      <c r="I18" s="12" t="s">
        <v>22</v>
      </c>
      <c r="J18" s="111">
        <f ca="1" t="shared" si="5"/>
        <v>5</v>
      </c>
      <c r="K18" s="8" t="s">
        <v>23</v>
      </c>
      <c r="M18" s="45" t="str">
        <f>IF(N13&gt;0,M13,"")</f>
        <v>Russland</v>
      </c>
      <c r="N18" s="2" t="s">
        <v>28</v>
      </c>
      <c r="O18" s="35"/>
      <c r="P18" s="36" t="s">
        <v>11</v>
      </c>
      <c r="S18" s="93">
        <f>IF(K15=$B$65,J15,0)</f>
        <v>0</v>
      </c>
      <c r="T18" s="93">
        <f>IF(K17=$B$65,J18,0)</f>
        <v>5</v>
      </c>
      <c r="U18" s="92"/>
      <c r="V18" s="93">
        <f>IF(K14=$B$65,H14,0)</f>
        <v>4</v>
      </c>
      <c r="AD18" s="86" t="s">
        <v>119</v>
      </c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V18" s="112"/>
      <c r="AW18" s="96"/>
      <c r="BA18" s="2">
        <f>BA16+12</f>
        <v>34</v>
      </c>
      <c r="BB18" s="7">
        <v>44370.75</v>
      </c>
      <c r="BC18" s="4" t="s">
        <v>135</v>
      </c>
      <c r="BD18" s="88" t="str">
        <f>BY13</f>
        <v>Schweden</v>
      </c>
      <c r="BE18" s="52" t="s">
        <v>21</v>
      </c>
      <c r="BF18" s="88" t="str">
        <f>BY14</f>
        <v>Polen</v>
      </c>
      <c r="BG18" s="86"/>
      <c r="BH18" s="111">
        <f ca="1" t="shared" si="6"/>
        <v>2</v>
      </c>
      <c r="BI18" s="12" t="s">
        <v>22</v>
      </c>
      <c r="BJ18" s="111">
        <f ca="1" t="shared" si="7"/>
        <v>1</v>
      </c>
      <c r="BK18" s="8" t="s">
        <v>23</v>
      </c>
      <c r="BM18" s="48" t="str">
        <f>IF(BN13&gt;0,BM13,"")</f>
        <v>Polen</v>
      </c>
      <c r="BN18" s="2" t="s">
        <v>37</v>
      </c>
      <c r="BO18" s="35"/>
      <c r="BP18" s="36" t="s">
        <v>11</v>
      </c>
      <c r="BS18" s="93">
        <f>IF(BK15=$B$65,BJ15,0)</f>
        <v>5</v>
      </c>
      <c r="BT18" s="93">
        <f>IF(BK17=$B$65,BJ18,0)</f>
        <v>1</v>
      </c>
      <c r="BU18" s="92"/>
      <c r="BV18" s="93">
        <f>IF(BK14=$B$65,BH14,0)</f>
        <v>4</v>
      </c>
      <c r="CD18" s="2" t="s">
        <v>119</v>
      </c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V18" s="113"/>
    </row>
    <row r="19" spans="4:100" ht="12.75">
      <c r="D19" s="86"/>
      <c r="E19" s="86"/>
      <c r="F19" s="86"/>
      <c r="G19" s="86"/>
      <c r="M19" s="45" t="str">
        <f>IF(N14&gt;0,M14,"")</f>
        <v>Belgien</v>
      </c>
      <c r="N19" s="2" t="s">
        <v>74</v>
      </c>
      <c r="S19" s="93">
        <f>IF(K18=$B$65,H17,0)</f>
        <v>0</v>
      </c>
      <c r="T19" s="93">
        <f>IF(K16=$B$65,J16,0)</f>
        <v>3</v>
      </c>
      <c r="U19" s="93">
        <f>IF(K14=$B$65,J14,0)</f>
        <v>4</v>
      </c>
      <c r="V19" s="92"/>
      <c r="AD19" s="86" t="s">
        <v>120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V19" s="112"/>
      <c r="AW19" s="96"/>
      <c r="BB19" s="2" t="s">
        <v>2</v>
      </c>
      <c r="BD19" s="86"/>
      <c r="BE19" s="86"/>
      <c r="BF19" s="86"/>
      <c r="BG19" s="86"/>
      <c r="BM19" s="48" t="str">
        <f>IF(BN14&gt;0,BM14,"")</f>
        <v>Spanien</v>
      </c>
      <c r="BN19" s="2" t="s">
        <v>75</v>
      </c>
      <c r="BS19" s="93">
        <f>IF(BK18=$B$65,BH17,0)</f>
        <v>3</v>
      </c>
      <c r="BT19" s="93">
        <f>IF(BK16=$B$65,BJ16,0)</f>
        <v>0</v>
      </c>
      <c r="BU19" s="93">
        <f>IF(BK14=$B$65,BJ14,0)</f>
        <v>1</v>
      </c>
      <c r="BV19" s="92"/>
      <c r="CD19" s="2" t="s">
        <v>120</v>
      </c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V19" s="113"/>
    </row>
    <row r="20" spans="4:100" ht="6" customHeight="1">
      <c r="D20" s="86"/>
      <c r="E20" s="89"/>
      <c r="F20" s="91"/>
      <c r="G20" s="91"/>
      <c r="H20" s="86"/>
      <c r="I20" s="86"/>
      <c r="J20" s="86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V20" s="112"/>
      <c r="AW20" s="96"/>
      <c r="BD20" s="86"/>
      <c r="BE20" s="89"/>
      <c r="BF20" s="91"/>
      <c r="BG20" s="91"/>
      <c r="BH20" s="86"/>
      <c r="BI20" s="86"/>
      <c r="BJ20" s="86"/>
      <c r="BS20" s="86"/>
      <c r="BT20" s="86"/>
      <c r="BU20" s="86"/>
      <c r="BV20" s="86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V20" s="113"/>
    </row>
    <row r="21" spans="2:100" s="11" customFormat="1" ht="12.75">
      <c r="B21" s="31" t="s">
        <v>0</v>
      </c>
      <c r="C21" s="29" t="s">
        <v>29</v>
      </c>
      <c r="D21" s="87" t="s">
        <v>2</v>
      </c>
      <c r="E21" s="101"/>
      <c r="F21" s="87"/>
      <c r="G21" s="87"/>
      <c r="H21" s="22"/>
      <c r="I21" s="21"/>
      <c r="J21" s="22"/>
      <c r="K21" s="23"/>
      <c r="L21" s="18"/>
      <c r="M21" s="43" t="s">
        <v>3</v>
      </c>
      <c r="N21" s="18" t="s">
        <v>4</v>
      </c>
      <c r="O21" s="18" t="s">
        <v>5</v>
      </c>
      <c r="P21" s="18" t="s">
        <v>6</v>
      </c>
      <c r="Q21" s="18" t="s">
        <v>7</v>
      </c>
      <c r="R21" s="18"/>
      <c r="S21" s="86"/>
      <c r="T21" s="86"/>
      <c r="U21" s="86"/>
      <c r="V21" s="86"/>
      <c r="W21" s="87"/>
      <c r="X21" s="87" t="s">
        <v>8</v>
      </c>
      <c r="Y21" s="88" t="s">
        <v>9</v>
      </c>
      <c r="Z21" s="87" t="s">
        <v>4</v>
      </c>
      <c r="AA21" s="87" t="s">
        <v>5</v>
      </c>
      <c r="AB21" s="87" t="s">
        <v>6</v>
      </c>
      <c r="AC21" s="87" t="s">
        <v>7</v>
      </c>
      <c r="AD21" s="87"/>
      <c r="AE21" s="21" t="s">
        <v>10</v>
      </c>
      <c r="AF21" s="52" t="s">
        <v>11</v>
      </c>
      <c r="AG21" s="52"/>
      <c r="AH21" s="52"/>
      <c r="AI21" s="52"/>
      <c r="AJ21" s="52" t="s">
        <v>12</v>
      </c>
      <c r="AK21" s="88" t="s">
        <v>13</v>
      </c>
      <c r="AL21" s="52" t="s">
        <v>14</v>
      </c>
      <c r="AM21" s="52"/>
      <c r="AN21" s="52"/>
      <c r="AO21" s="52"/>
      <c r="AP21" s="52" t="s">
        <v>15</v>
      </c>
      <c r="AQ21" s="52" t="s">
        <v>16</v>
      </c>
      <c r="AR21" s="52"/>
      <c r="AS21" s="52"/>
      <c r="AT21" s="52"/>
      <c r="AU21" s="89" t="s">
        <v>17</v>
      </c>
      <c r="AV21" s="88" t="s">
        <v>18</v>
      </c>
      <c r="AW21" s="90"/>
      <c r="AX21" s="91"/>
      <c r="AY21" s="91"/>
      <c r="AZ21" s="91"/>
      <c r="BB21" s="39" t="s">
        <v>0</v>
      </c>
      <c r="BC21" s="49" t="s">
        <v>38</v>
      </c>
      <c r="BD21" s="87" t="s">
        <v>2</v>
      </c>
      <c r="BE21" s="101"/>
      <c r="BF21" s="87"/>
      <c r="BG21" s="87"/>
      <c r="BH21" s="22"/>
      <c r="BI21" s="21"/>
      <c r="BJ21" s="22"/>
      <c r="BK21" s="23"/>
      <c r="BL21" s="18"/>
      <c r="BM21" s="43" t="s">
        <v>3</v>
      </c>
      <c r="BN21" s="18" t="s">
        <v>4</v>
      </c>
      <c r="BO21" s="18" t="s">
        <v>5</v>
      </c>
      <c r="BP21" s="18" t="s">
        <v>6</v>
      </c>
      <c r="BQ21" s="18" t="s">
        <v>7</v>
      </c>
      <c r="BR21" s="18"/>
      <c r="BS21" s="86"/>
      <c r="BT21" s="86"/>
      <c r="BU21" s="86"/>
      <c r="BV21" s="86"/>
      <c r="BW21" s="18"/>
      <c r="BX21" s="18" t="s">
        <v>8</v>
      </c>
      <c r="BY21" s="88" t="s">
        <v>9</v>
      </c>
      <c r="BZ21" s="18" t="s">
        <v>4</v>
      </c>
      <c r="CA21" s="18" t="s">
        <v>5</v>
      </c>
      <c r="CB21" s="18" t="s">
        <v>6</v>
      </c>
      <c r="CC21" s="18" t="s">
        <v>7</v>
      </c>
      <c r="CD21" s="18"/>
      <c r="CE21" s="23" t="s">
        <v>10</v>
      </c>
      <c r="CF21" s="16" t="s">
        <v>11</v>
      </c>
      <c r="CG21" s="16"/>
      <c r="CH21" s="16"/>
      <c r="CI21" s="16"/>
      <c r="CJ21" s="16" t="s">
        <v>12</v>
      </c>
      <c r="CK21" s="24" t="s">
        <v>13</v>
      </c>
      <c r="CL21" s="16" t="s">
        <v>14</v>
      </c>
      <c r="CM21" s="16"/>
      <c r="CN21" s="16"/>
      <c r="CO21" s="16"/>
      <c r="CP21" s="16" t="s">
        <v>15</v>
      </c>
      <c r="CQ21" s="16" t="s">
        <v>16</v>
      </c>
      <c r="CR21" s="16"/>
      <c r="CS21" s="16"/>
      <c r="CT21" s="16"/>
      <c r="CU21" s="17" t="s">
        <v>17</v>
      </c>
      <c r="CV21" s="24" t="s">
        <v>18</v>
      </c>
    </row>
    <row r="22" spans="2:100" ht="12.75">
      <c r="B22" s="3" t="s">
        <v>19</v>
      </c>
      <c r="C22" s="3" t="s">
        <v>20</v>
      </c>
      <c r="D22" s="86"/>
      <c r="E22" s="86"/>
      <c r="F22" s="86"/>
      <c r="G22" s="86"/>
      <c r="L22" s="1"/>
      <c r="M22" s="10" t="str">
        <f>VLOOKUP(1,$X$22:$AC$25,2,FALSE)</f>
        <v>N'Mazedonien</v>
      </c>
      <c r="N22" s="2">
        <f>VLOOKUP(1,$X$22:$AC$25,3,FALSE)</f>
        <v>5</v>
      </c>
      <c r="O22" s="2">
        <f>VLOOKUP(1,$X$22:$AC$25,4,FALSE)</f>
        <v>11</v>
      </c>
      <c r="P22" s="2">
        <f>VLOOKUP(1,$X$22:$AC$25,5,FALSE)</f>
        <v>9</v>
      </c>
      <c r="Q22" s="2">
        <f>VLOOKUP(1,$X$22:$AC$25,6,FALSE)</f>
        <v>2</v>
      </c>
      <c r="S22" s="92"/>
      <c r="T22" s="93">
        <f>IF(H23="",0,IF(K23=$B$65,IF(H23&gt;J23,3,IF(H23=J23,1,0)),0))</f>
        <v>0</v>
      </c>
      <c r="U22" s="93">
        <f>IF(H25="",0,IF(K25=$B$65,IF(H25&gt;J25,3,IF(H25=J25,1,0)),0))</f>
        <v>3</v>
      </c>
      <c r="V22" s="93">
        <f>IF(J27="",0,IF(K28=$B$65,IF(H27&lt;J27,3,IF(H27=J27,1,0)),0))</f>
        <v>0</v>
      </c>
      <c r="W22" s="94"/>
      <c r="X22" s="94">
        <f>RANK(AD22,$AD$22:$AD$25)</f>
        <v>3</v>
      </c>
      <c r="Y22" s="95" t="s">
        <v>68</v>
      </c>
      <c r="Z22" s="94">
        <f>SUM(S22:V22)</f>
        <v>3</v>
      </c>
      <c r="AA22" s="94">
        <f>SUM(S26:V26)</f>
        <v>8</v>
      </c>
      <c r="AB22" s="94">
        <f>SUM(S26:S29)</f>
        <v>8</v>
      </c>
      <c r="AC22" s="94">
        <f>AA22-AB22</f>
        <v>0</v>
      </c>
      <c r="AD22" s="28">
        <f>IF(P$28="",(((((((AE22*10+Z22)*100+AC22)*100+AA22)*10+AK22)*10+AJ22)*100+AP22)*100+AU22)*10+AV22,(((((((AE22*10+Z22)*10+AK22)*10+AJ22)*100+AP22)*100+AU22)*100+AC22)*100+AA22)*10+AV22)</f>
        <v>300000000084</v>
      </c>
      <c r="AE22" s="97"/>
      <c r="AF22" s="108"/>
      <c r="AG22" s="108">
        <f>IF($Z22=$Z23,$T22-$S23,0)</f>
        <v>0</v>
      </c>
      <c r="AH22" s="108">
        <f>IF($Z22=$Z24,$U22-$S24,0)</f>
        <v>0</v>
      </c>
      <c r="AI22" s="108">
        <f>IF($Z22=$Z25,$V22-$S25,0)</f>
        <v>0</v>
      </c>
      <c r="AJ22" s="108">
        <f>SUM(AF22:AI22)</f>
        <v>0</v>
      </c>
      <c r="AK22" s="97"/>
      <c r="AL22" s="108"/>
      <c r="AM22" s="108">
        <f>IF($Z22=$Z23,$T26-$S27,0)</f>
        <v>0</v>
      </c>
      <c r="AN22" s="108">
        <f>IF($Z22=$Z24,$U26-$S28,0)</f>
        <v>0</v>
      </c>
      <c r="AO22" s="108">
        <f>IF($Z22=$Z25,$V26-$S29,0)</f>
        <v>0</v>
      </c>
      <c r="AP22" s="108">
        <f>SUM(AL22:AO22)</f>
        <v>0</v>
      </c>
      <c r="AQ22" s="108"/>
      <c r="AR22" s="108">
        <f>IF($Z22=$Z23,$T26,0)</f>
        <v>0</v>
      </c>
      <c r="AS22" s="108">
        <f>IF($Z22=$Z24,$U26,0)</f>
        <v>0</v>
      </c>
      <c r="AT22" s="108">
        <f>IF($Z22=$Z25,$V26,0)</f>
        <v>0</v>
      </c>
      <c r="AU22" s="108">
        <f>SUM(AQ22:AT22)</f>
        <v>0</v>
      </c>
      <c r="AV22" s="97">
        <v>4</v>
      </c>
      <c r="AW22" s="96"/>
      <c r="BB22" s="3" t="s">
        <v>19</v>
      </c>
      <c r="BC22" s="3" t="s">
        <v>20</v>
      </c>
      <c r="BD22" s="86"/>
      <c r="BE22" s="86"/>
      <c r="BF22" s="86"/>
      <c r="BG22" s="86"/>
      <c r="BL22" s="1"/>
      <c r="BM22" s="10" t="str">
        <f>VLOOKUP(1,$BX$22:$CC$25,2,FALSE)</f>
        <v>Frankreich</v>
      </c>
      <c r="BN22" s="2">
        <f>VLOOKUP(1,$BX$22:$CC$25,3,FALSE)</f>
        <v>6</v>
      </c>
      <c r="BO22" s="2">
        <f>VLOOKUP(1,$BX$22:$CC$25,4,FALSE)</f>
        <v>11</v>
      </c>
      <c r="BP22" s="2">
        <f>VLOOKUP(1,$BX$22:$CC$25,5,FALSE)</f>
        <v>8</v>
      </c>
      <c r="BQ22" s="2">
        <f>VLOOKUP(1,$BX$22:$CC$25,6,FALSE)</f>
        <v>3</v>
      </c>
      <c r="BS22" s="92"/>
      <c r="BT22" s="93">
        <f>IF(BH23="",0,IF(BK23=$B$65,IF(BH23&gt;BJ23,3,IF(BH23=BJ23,1,0)),0))</f>
        <v>0</v>
      </c>
      <c r="BU22" s="93">
        <f>IF(BH25="",0,IF(BK25=$B$65,IF(BH25&gt;BJ25,3,IF(BH25=BJ25,1,0)),0))</f>
        <v>3</v>
      </c>
      <c r="BV22" s="93">
        <f>IF(BJ27="",0,IF(BK28=$B$65,IF(BH27&lt;BJ27,3,IF(BH27=BJ27,1,0)),0))</f>
        <v>1</v>
      </c>
      <c r="BW22" s="1"/>
      <c r="BX22" s="1">
        <f>RANK(CD22,$CD$22:$CD$25)</f>
        <v>2</v>
      </c>
      <c r="BY22" s="95" t="s">
        <v>161</v>
      </c>
      <c r="BZ22" s="1">
        <f>SUM(BS22:BV22)</f>
        <v>4</v>
      </c>
      <c r="CA22" s="1">
        <f>SUM(BS26:BV26)</f>
        <v>9</v>
      </c>
      <c r="CB22" s="1">
        <f>SUM(BS26:BS29)</f>
        <v>8</v>
      </c>
      <c r="CC22" s="1">
        <f>CA22-CB22</f>
        <v>1</v>
      </c>
      <c r="CD22" s="28">
        <f>IF(BP$28="",(((((((CE22*10+BZ22)*100+CC22)*100+CA22)*10+CK22)*10+CJ22)*100+CP22)*100+CU22)*10+CV22,(((((((CE22*10+BZ22)*10+CK22)*10+CJ22)*100+CP22)*100+CU22)*100+CC22)*100+CA22)*10+CV22)</f>
        <v>400000101094</v>
      </c>
      <c r="CE22" s="5"/>
      <c r="CF22" s="109"/>
      <c r="CG22" s="109">
        <f>IF($BZ22=$BZ23,$BT22-$BS23,0)</f>
        <v>0</v>
      </c>
      <c r="CH22" s="109">
        <f>IF($BZ22=$BZ24,$BU22-$BS24,0)</f>
        <v>0</v>
      </c>
      <c r="CI22" s="109">
        <f>IF($BZ22=$BZ25,$BV22-$BS25,0)</f>
        <v>0</v>
      </c>
      <c r="CJ22" s="109">
        <f>SUM(CF22:CI22)</f>
        <v>0</v>
      </c>
      <c r="CK22" s="5"/>
      <c r="CL22" s="109"/>
      <c r="CM22" s="109">
        <f>IF($BZ22=$BZ23,$BT26-$BS27,0)</f>
        <v>0</v>
      </c>
      <c r="CN22" s="109">
        <f>IF($BZ22=$BZ24,$BU26-$BS28,0)</f>
        <v>0</v>
      </c>
      <c r="CO22" s="109">
        <f>IF($BZ22=$BZ25,$BV26-$BS29,0)</f>
        <v>0</v>
      </c>
      <c r="CP22" s="109">
        <f>SUM(CL22:CO22)</f>
        <v>0</v>
      </c>
      <c r="CQ22" s="109"/>
      <c r="CR22" s="109">
        <f>IF($BZ22=$BZ23,$BT26,0)</f>
        <v>0</v>
      </c>
      <c r="CS22" s="109">
        <f>IF($BZ22=$BZ24,$BU26,0)</f>
        <v>0</v>
      </c>
      <c r="CT22" s="109">
        <f>IF($BZ22=$BZ25,$BV26,0)</f>
        <v>1</v>
      </c>
      <c r="CU22" s="109">
        <f>SUM(CQ22:CT22)</f>
        <v>1</v>
      </c>
      <c r="CV22" s="5">
        <v>4</v>
      </c>
    </row>
    <row r="23" spans="1:100" ht="12.75">
      <c r="A23" s="2">
        <v>5</v>
      </c>
      <c r="B23" s="7">
        <v>44359.875</v>
      </c>
      <c r="C23" s="4" t="s">
        <v>144</v>
      </c>
      <c r="D23" s="88" t="str">
        <f>Y22</f>
        <v>Niederlande</v>
      </c>
      <c r="E23" s="52" t="s">
        <v>21</v>
      </c>
      <c r="F23" s="88" t="str">
        <f>Y23</f>
        <v>Ukraine</v>
      </c>
      <c r="G23" s="87"/>
      <c r="H23" s="110">
        <f aca="true" ca="1" t="shared" si="8" ref="H23:H28">IF($B$66="",1,INT(RAND()*5)+INT(RAND()*3)*INT(RAND()*2))</f>
        <v>0</v>
      </c>
      <c r="I23" s="12" t="s">
        <v>22</v>
      </c>
      <c r="J23" s="110">
        <f aca="true" ca="1" t="shared" si="9" ref="J23:J28">IF($B$66="",0,INT(RAND()*5)+INT(RAND()*3)*INT(RAND()*2))</f>
        <v>1</v>
      </c>
      <c r="K23" s="8" t="s">
        <v>23</v>
      </c>
      <c r="L23" s="1"/>
      <c r="M23" s="10" t="str">
        <f>VLOOKUP(2,$X$22:$AC$25,2,FALSE)</f>
        <v>Ukraine</v>
      </c>
      <c r="N23" s="2">
        <f>VLOOKUP(2,$X$22:$AC$25,3,FALSE)</f>
        <v>5</v>
      </c>
      <c r="O23" s="2">
        <f>VLOOKUP(2,$X$22:$AC$25,4,FALSE)</f>
        <v>6</v>
      </c>
      <c r="P23" s="2">
        <f>VLOOKUP(2,$X$22:$AC$25,5,FALSE)</f>
        <v>5</v>
      </c>
      <c r="Q23" s="2">
        <f>VLOOKUP(2,$X$22:$AC$25,6,FALSE)</f>
        <v>1</v>
      </c>
      <c r="S23" s="93">
        <f>IF(J23="",0,IF(K23=$B$65,IF(H23&lt;J23,3,IF(H23=J23,1,0)),0))</f>
        <v>3</v>
      </c>
      <c r="T23" s="92"/>
      <c r="U23" s="93">
        <f>IF(H28="",0,IF(K27=$B$65,IF(H28&gt;J28,3,IF(H28=J28,1,0)),0))</f>
        <v>1</v>
      </c>
      <c r="V23" s="93">
        <f>IF(H26="",0,IF(K26=$B$65,IF(H26&gt;J26,3,IF(H26=J26,1,0)),0))</f>
        <v>1</v>
      </c>
      <c r="W23" s="94"/>
      <c r="X23" s="94">
        <f>RANK(AD23,$AD$22:$AD$25)</f>
        <v>2</v>
      </c>
      <c r="Y23" s="95" t="s">
        <v>155</v>
      </c>
      <c r="Z23" s="94">
        <f>SUM(S23:V23)</f>
        <v>5</v>
      </c>
      <c r="AA23" s="94">
        <f>SUM(S27:V27)</f>
        <v>6</v>
      </c>
      <c r="AB23" s="94">
        <f>SUM(T26:T29)</f>
        <v>5</v>
      </c>
      <c r="AC23" s="94">
        <f>AA23-AB23</f>
        <v>1</v>
      </c>
      <c r="AD23" s="28">
        <f>IF(P$28="",(((((((AE23*10+Z23)*100+AC23)*100+AA23)*10+AK23)*10+AJ23)*100+AP23)*100+AU23)*10+AV23,(((((((AE23*10+Z23)*10+AK23)*10+AJ23)*100+AP23)*100+AU23)*100+AC23)*100+AA23)*10+AV23)</f>
        <v>500000401063</v>
      </c>
      <c r="AE23" s="97"/>
      <c r="AF23" s="108">
        <f>IF($Z23=$Z22,$S23-$T22,0)</f>
        <v>0</v>
      </c>
      <c r="AG23" s="108"/>
      <c r="AH23" s="108">
        <f>IF($Z23=$Z24,$U23-$T24,0)</f>
        <v>0</v>
      </c>
      <c r="AI23" s="108">
        <f>IF($Z23=$Z25,$V23-$T25,0)</f>
        <v>0</v>
      </c>
      <c r="AJ23" s="108">
        <f>SUM(AF23:AI23)</f>
        <v>0</v>
      </c>
      <c r="AK23" s="97"/>
      <c r="AL23" s="108">
        <f>IF($Z23=$Z22,$S27-$T26,0)</f>
        <v>0</v>
      </c>
      <c r="AM23" s="108"/>
      <c r="AN23" s="108">
        <f>IF($Z23=$Z24,$U27-$T28,0)</f>
        <v>0</v>
      </c>
      <c r="AO23" s="108">
        <f>IF($Z23=$Z25,$V27-$T29,0)</f>
        <v>0</v>
      </c>
      <c r="AP23" s="108">
        <f>SUM(AL23:AO23)</f>
        <v>0</v>
      </c>
      <c r="AQ23" s="108">
        <f>IF($Z23=$Z22,$S27,0)</f>
        <v>0</v>
      </c>
      <c r="AR23" s="108"/>
      <c r="AS23" s="108">
        <f>IF($Z23=$Z24,$U27,0)</f>
        <v>0</v>
      </c>
      <c r="AT23" s="108">
        <f>IF($Z23=$Z25,$V27,0)</f>
        <v>4</v>
      </c>
      <c r="AU23" s="108">
        <f>SUM(AQ23:AT23)</f>
        <v>4</v>
      </c>
      <c r="AV23" s="97">
        <v>3</v>
      </c>
      <c r="AW23" s="96"/>
      <c r="BA23" s="2">
        <v>11</v>
      </c>
      <c r="BB23" s="7">
        <v>44362.75</v>
      </c>
      <c r="BC23" s="4" t="s">
        <v>143</v>
      </c>
      <c r="BD23" s="88" t="str">
        <f>BY22</f>
        <v>Ungarn</v>
      </c>
      <c r="BE23" s="52" t="s">
        <v>21</v>
      </c>
      <c r="BF23" s="88" t="str">
        <f>BY23</f>
        <v>Portugal</v>
      </c>
      <c r="BG23" s="87"/>
      <c r="BH23" s="110">
        <f aca="true" ca="1" t="shared" si="10" ref="BH23:BH28">IF($B$66="",1,INT(RAND()*5)+INT(RAND()*3)*INT(RAND()*2))</f>
        <v>4</v>
      </c>
      <c r="BI23" s="12" t="s">
        <v>22</v>
      </c>
      <c r="BJ23" s="110">
        <f aca="true" ca="1" t="shared" si="11" ref="BJ23:BJ28">IF($B$66="",0,INT(RAND()*5)+INT(RAND()*3)*INT(RAND()*2))</f>
        <v>6</v>
      </c>
      <c r="BK23" s="8" t="s">
        <v>23</v>
      </c>
      <c r="BL23" s="1"/>
      <c r="BM23" s="10" t="str">
        <f>VLOOKUP(2,$BX$22:$CC$25,2,FALSE)</f>
        <v>Ungarn</v>
      </c>
      <c r="BN23" s="2">
        <f>VLOOKUP(2,$BX$22:$CC$25,3,FALSE)</f>
        <v>4</v>
      </c>
      <c r="BO23" s="2">
        <f>VLOOKUP(2,$BX$22:$CC$25,4,FALSE)</f>
        <v>9</v>
      </c>
      <c r="BP23" s="2">
        <f>VLOOKUP(2,$BX$22:$CC$25,5,FALSE)</f>
        <v>8</v>
      </c>
      <c r="BQ23" s="2">
        <f>VLOOKUP(2,$BX$22:$CC$25,6,FALSE)</f>
        <v>1</v>
      </c>
      <c r="BS23" s="93">
        <f>IF(BJ23="",0,IF(BK23=$B$65,IF(BH23&lt;BJ23,3,IF(BH23=BJ23,1,0)),0))</f>
        <v>3</v>
      </c>
      <c r="BT23" s="92"/>
      <c r="BU23" s="93">
        <f>IF(BH28="",0,IF(BK27=$B$65,IF(BH28&gt;BJ28,3,IF(BH28=BJ28,1,0)),0))</f>
        <v>0</v>
      </c>
      <c r="BV23" s="93">
        <f>IF(BH26="",0,IF(BK26=$B$65,IF(BH26&gt;BJ26,3,IF(BH26=BJ26,1,0)),0))</f>
        <v>0</v>
      </c>
      <c r="BW23" s="1"/>
      <c r="BX23" s="1">
        <f>RANK(CD23,$CD$22:$CD$25)</f>
        <v>4</v>
      </c>
      <c r="BY23" s="95" t="s">
        <v>160</v>
      </c>
      <c r="BZ23" s="1">
        <f>SUM(BS23:BV23)</f>
        <v>3</v>
      </c>
      <c r="CA23" s="1">
        <f>SUM(BS27:BV27)</f>
        <v>10</v>
      </c>
      <c r="CB23" s="1">
        <f>SUM(BT26:BT29)</f>
        <v>13</v>
      </c>
      <c r="CC23" s="1">
        <f>CA23-CB23</f>
        <v>-3</v>
      </c>
      <c r="CD23" s="28">
        <f>IF(BP$28="",(((((((CE23*10+BZ23)*100+CC23)*100+CA23)*10+CK23)*10+CJ23)*100+CP23)*100+CU23)*10+CV23,(((((((CE23*10+BZ23)*10+CK23)*10+CJ23)*100+CP23)*100+CU23)*100+CC23)*100+CA23)*10+CV23)</f>
        <v>299999997103</v>
      </c>
      <c r="CE23" s="5"/>
      <c r="CF23" s="109">
        <f>IF($BZ23=$BZ22,$BS23-$BT22,0)</f>
        <v>0</v>
      </c>
      <c r="CG23" s="109"/>
      <c r="CH23" s="109">
        <f>IF($BZ23=$BZ24,$BU23-$BT24,0)</f>
        <v>0</v>
      </c>
      <c r="CI23" s="109">
        <f>IF($BZ23=$BZ25,$BV23-$BT25,0)</f>
        <v>0</v>
      </c>
      <c r="CJ23" s="109">
        <f>SUM(CF23:CI23)</f>
        <v>0</v>
      </c>
      <c r="CK23" s="5"/>
      <c r="CL23" s="109">
        <f>IF($BZ23=$BZ22,$BS27-$BT26,0)</f>
        <v>0</v>
      </c>
      <c r="CM23" s="109"/>
      <c r="CN23" s="109">
        <f>IF($BZ23=$BZ24,$BU27-$BT28,0)</f>
        <v>0</v>
      </c>
      <c r="CO23" s="109">
        <f>IF($BZ23=$BZ25,$BV27-$BT29,0)</f>
        <v>0</v>
      </c>
      <c r="CP23" s="109">
        <f>SUM(CL23:CO23)</f>
        <v>0</v>
      </c>
      <c r="CQ23" s="109">
        <f>IF($BZ23=$BZ22,$BS27,0)</f>
        <v>0</v>
      </c>
      <c r="CR23" s="109"/>
      <c r="CS23" s="109">
        <f>IF($BZ23=$BZ24,$BU27,0)</f>
        <v>0</v>
      </c>
      <c r="CT23" s="109">
        <f>IF($BZ23=$BZ25,$BV27,0)</f>
        <v>0</v>
      </c>
      <c r="CU23" s="109">
        <f>SUM(CQ23:CT23)</f>
        <v>0</v>
      </c>
      <c r="CV23" s="5">
        <v>3</v>
      </c>
    </row>
    <row r="24" spans="1:100" ht="12.75">
      <c r="A24" s="2">
        <v>6</v>
      </c>
      <c r="B24" s="7">
        <v>44360.75</v>
      </c>
      <c r="C24" s="4" t="s">
        <v>141</v>
      </c>
      <c r="D24" s="88" t="str">
        <f>Y24</f>
        <v>Österreich</v>
      </c>
      <c r="E24" s="52" t="s">
        <v>21</v>
      </c>
      <c r="F24" s="88" t="str">
        <f>Y25</f>
        <v>N'Mazedonien</v>
      </c>
      <c r="G24" s="87"/>
      <c r="H24" s="111">
        <f ca="1" t="shared" si="8"/>
        <v>3</v>
      </c>
      <c r="I24" s="12" t="s">
        <v>22</v>
      </c>
      <c r="J24" s="111">
        <f ca="1" t="shared" si="9"/>
        <v>3</v>
      </c>
      <c r="K24" s="8" t="s">
        <v>23</v>
      </c>
      <c r="L24" s="1"/>
      <c r="M24" s="10" t="str">
        <f>VLOOKUP(3,$X$22:$AC$25,2,FALSE)</f>
        <v>Niederlande</v>
      </c>
      <c r="N24" s="2">
        <f>VLOOKUP(3,$X$22:$AC$25,3,FALSE)</f>
        <v>3</v>
      </c>
      <c r="O24" s="2">
        <f>VLOOKUP(3,$X$22:$AC$25,4,FALSE)</f>
        <v>8</v>
      </c>
      <c r="P24" s="2">
        <f>VLOOKUP(3,$X$22:$AC$25,5,FALSE)</f>
        <v>8</v>
      </c>
      <c r="Q24" s="2">
        <f>VLOOKUP(3,$X$22:$AC$25,6,FALSE)</f>
        <v>0</v>
      </c>
      <c r="S24" s="93">
        <f>IF(J25="",0,IF(K25=$B$65,IF(H25&lt;J25,3,IF(H25=J25,1,0)),0))</f>
        <v>0</v>
      </c>
      <c r="T24" s="93">
        <f>IF(J28="",0,IF(K27=$B$65,IF(H28&lt;J28,3,IF(H28=J28,1,0)),0))</f>
        <v>1</v>
      </c>
      <c r="U24" s="92"/>
      <c r="V24" s="93">
        <f>IF(H24="",0,IF(K24=$B$65,IF(H24&gt;J24,3,IF(H24=J24,1,0)),0))</f>
        <v>1</v>
      </c>
      <c r="W24" s="94"/>
      <c r="X24" s="94">
        <f>RANK(AD24,$AD$22:$AD$25)</f>
        <v>4</v>
      </c>
      <c r="Y24" s="95" t="s">
        <v>156</v>
      </c>
      <c r="Z24" s="94">
        <f>SUM(S24:V24)</f>
        <v>2</v>
      </c>
      <c r="AA24" s="94">
        <f>SUM(S28:V28)</f>
        <v>7</v>
      </c>
      <c r="AB24" s="94">
        <f>SUM(U26:U29)</f>
        <v>10</v>
      </c>
      <c r="AC24" s="94">
        <f>AA24-AB24</f>
        <v>-3</v>
      </c>
      <c r="AD24" s="28">
        <f>IF(P$28="",(((((((AE24*10+Z24)*100+AC24)*100+AA24)*10+AK24)*10+AJ24)*100+AP24)*100+AU24)*10+AV24,(((((((AE24*10+Z24)*10+AK24)*10+AJ24)*100+AP24)*100+AU24)*100+AC24)*100+AA24)*10+AV24)</f>
        <v>199999997072</v>
      </c>
      <c r="AE24" s="97"/>
      <c r="AF24" s="108">
        <f>IF($Z24=$Z22,$S24-$U22,0)</f>
        <v>0</v>
      </c>
      <c r="AG24" s="108">
        <f>IF($Z24=$Z23,$T24-$U23,0)</f>
        <v>0</v>
      </c>
      <c r="AH24" s="108"/>
      <c r="AI24" s="108">
        <f>IF($Z24=$Z25,$V24-$U25,0)</f>
        <v>0</v>
      </c>
      <c r="AJ24" s="108">
        <f>SUM(AF24:AI24)</f>
        <v>0</v>
      </c>
      <c r="AK24" s="97"/>
      <c r="AL24" s="108">
        <f>IF($Z24=$Z22,$S28-$U26,0)</f>
        <v>0</v>
      </c>
      <c r="AM24" s="108">
        <f>IF($Z24=$Z23,$T28-$U27,0)</f>
        <v>0</v>
      </c>
      <c r="AN24" s="108"/>
      <c r="AO24" s="108">
        <f>IF($Z24=$Z25,$V28-$U29,0)</f>
        <v>0</v>
      </c>
      <c r="AP24" s="108">
        <f>SUM(AL24:AO24)</f>
        <v>0</v>
      </c>
      <c r="AQ24" s="108">
        <f>IF($Z24=$Z22,$S28,0)</f>
        <v>0</v>
      </c>
      <c r="AR24" s="108">
        <f>IF($Z24=$Z23,$T28,0)</f>
        <v>0</v>
      </c>
      <c r="AS24" s="108"/>
      <c r="AT24" s="108">
        <f>IF($Z24=$Z25,$V28,0)</f>
        <v>0</v>
      </c>
      <c r="AU24" s="108">
        <f>SUM(AQ24:AT24)</f>
        <v>0</v>
      </c>
      <c r="AV24" s="97">
        <v>2</v>
      </c>
      <c r="AW24" s="96"/>
      <c r="BA24" s="2">
        <v>12</v>
      </c>
      <c r="BB24" s="4">
        <v>44362.875</v>
      </c>
      <c r="BC24" s="4" t="s">
        <v>136</v>
      </c>
      <c r="BD24" s="88" t="str">
        <f>BY24</f>
        <v>Frankreich</v>
      </c>
      <c r="BE24" s="52" t="s">
        <v>21</v>
      </c>
      <c r="BF24" s="88" t="str">
        <f>BY25</f>
        <v>Deutschland</v>
      </c>
      <c r="BG24" s="87"/>
      <c r="BH24" s="111">
        <f ca="1" t="shared" si="10"/>
        <v>4</v>
      </c>
      <c r="BI24" s="12" t="s">
        <v>22</v>
      </c>
      <c r="BJ24" s="111">
        <f ca="1" t="shared" si="11"/>
        <v>1</v>
      </c>
      <c r="BK24" s="8" t="s">
        <v>23</v>
      </c>
      <c r="BL24" s="1"/>
      <c r="BM24" s="10" t="str">
        <f>VLOOKUP(3,$BX$22:$CC$25,2,FALSE)</f>
        <v>Deutschland</v>
      </c>
      <c r="BN24" s="2">
        <f>VLOOKUP(3,$BX$22:$CC$25,3,FALSE)</f>
        <v>4</v>
      </c>
      <c r="BO24" s="2">
        <f>VLOOKUP(3,$BX$22:$CC$25,4,FALSE)</f>
        <v>5</v>
      </c>
      <c r="BP24" s="2">
        <f>VLOOKUP(3,$BX$22:$CC$25,5,FALSE)</f>
        <v>6</v>
      </c>
      <c r="BQ24" s="2">
        <f>VLOOKUP(3,$BX$22:$CC$25,6,FALSE)</f>
        <v>-1</v>
      </c>
      <c r="BS24" s="93">
        <f>IF(BJ25="",0,IF(BK25=$B$65,IF(BH25&lt;BJ25,3,IF(BH25=BJ25,1,0)),0))</f>
        <v>0</v>
      </c>
      <c r="BT24" s="93">
        <f>IF(BJ28="",0,IF(BK27=$B$65,IF(BH28&lt;BJ28,3,IF(BH28=BJ28,1,0)),0))</f>
        <v>3</v>
      </c>
      <c r="BU24" s="92"/>
      <c r="BV24" s="93">
        <f>IF(BH24="",0,IF(BK24=$B$65,IF(BH24&gt;BJ24,3,IF(BH24=BJ24,1,0)),0))</f>
        <v>3</v>
      </c>
      <c r="BW24" s="1"/>
      <c r="BX24" s="1">
        <f>RANK(CD24,$CD$22:$CD$25)</f>
        <v>1</v>
      </c>
      <c r="BY24" s="95" t="s">
        <v>66</v>
      </c>
      <c r="BZ24" s="1">
        <f>SUM(BS24:BV24)</f>
        <v>6</v>
      </c>
      <c r="CA24" s="1">
        <f>SUM(BS28:BV28)</f>
        <v>11</v>
      </c>
      <c r="CB24" s="1">
        <f>SUM(BU26:BU29)</f>
        <v>8</v>
      </c>
      <c r="CC24" s="1">
        <f>CA24-CB24</f>
        <v>3</v>
      </c>
      <c r="CD24" s="28">
        <f>IF(BP$28="",(((((((CE24*10+BZ24)*100+CC24)*100+CA24)*10+CK24)*10+CJ24)*100+CP24)*100+CU24)*10+CV24,(((((((CE24*10+BZ24)*10+CK24)*10+CJ24)*100+CP24)*100+CU24)*100+CC24)*100+CA24)*10+CV24)</f>
        <v>600000003112</v>
      </c>
      <c r="CE24" s="5"/>
      <c r="CF24" s="109">
        <f>IF($BZ24=$BZ22,$BS24-$BU22,0)</f>
        <v>0</v>
      </c>
      <c r="CG24" s="109">
        <f>IF($BZ24=$BZ23,$BT24-$BU23,0)</f>
        <v>0</v>
      </c>
      <c r="CH24" s="109"/>
      <c r="CI24" s="109">
        <f>IF($BZ24=$BZ25,$BV24-$BU25,0)</f>
        <v>0</v>
      </c>
      <c r="CJ24" s="109">
        <f>SUM(CF24:CI24)</f>
        <v>0</v>
      </c>
      <c r="CK24" s="5"/>
      <c r="CL24" s="109">
        <f>IF($BZ24=$BZ22,$BS28-$BU26,0)</f>
        <v>0</v>
      </c>
      <c r="CM24" s="109">
        <f>IF($BZ24=$BZ23,$BT28-$BU27,0)</f>
        <v>0</v>
      </c>
      <c r="CN24" s="109"/>
      <c r="CO24" s="109">
        <f>IF($BZ24=$BZ25,$BV28-$BU29,0)</f>
        <v>0</v>
      </c>
      <c r="CP24" s="109">
        <f>SUM(CL24:CO24)</f>
        <v>0</v>
      </c>
      <c r="CQ24" s="109">
        <f>IF($BZ24=$BZ22,$BS28,0)</f>
        <v>0</v>
      </c>
      <c r="CR24" s="109">
        <f>IF($BZ24=$BZ23,$BT28,0)</f>
        <v>0</v>
      </c>
      <c r="CS24" s="109"/>
      <c r="CT24" s="109">
        <f>IF($BZ24=$BZ25,$BV28,0)</f>
        <v>0</v>
      </c>
      <c r="CU24" s="109">
        <f>SUM(CQ24:CT24)</f>
        <v>0</v>
      </c>
      <c r="CV24" s="5">
        <v>2</v>
      </c>
    </row>
    <row r="25" spans="1:100" ht="12.75">
      <c r="A25" s="2">
        <f>A23+12</f>
        <v>17</v>
      </c>
      <c r="B25" s="7">
        <v>44364.875</v>
      </c>
      <c r="C25" s="4" t="s">
        <v>144</v>
      </c>
      <c r="D25" s="88" t="str">
        <f>Y22</f>
        <v>Niederlande</v>
      </c>
      <c r="E25" s="52" t="s">
        <v>21</v>
      </c>
      <c r="F25" s="88" t="str">
        <f>Y24</f>
        <v>Österreich</v>
      </c>
      <c r="G25" s="87"/>
      <c r="H25" s="111">
        <f ca="1" t="shared" si="8"/>
        <v>6</v>
      </c>
      <c r="I25" s="12" t="s">
        <v>22</v>
      </c>
      <c r="J25" s="111">
        <f ca="1" t="shared" si="9"/>
        <v>3</v>
      </c>
      <c r="K25" s="8" t="s">
        <v>23</v>
      </c>
      <c r="L25" s="1"/>
      <c r="M25" s="10" t="str">
        <f>VLOOKUP(4,$X$22:$AC$25,2,FALSE)</f>
        <v>Österreich</v>
      </c>
      <c r="N25" s="2">
        <f>VLOOKUP(4,$X$22:$AC$25,3,FALSE)</f>
        <v>2</v>
      </c>
      <c r="O25" s="2">
        <f>VLOOKUP(4,$X$22:$AC$25,4,FALSE)</f>
        <v>7</v>
      </c>
      <c r="P25" s="2">
        <f>VLOOKUP(4,$X$22:$AC$25,5,FALSE)</f>
        <v>10</v>
      </c>
      <c r="Q25" s="2">
        <f>VLOOKUP(4,$X$22:$AC$25,6,FALSE)</f>
        <v>-3</v>
      </c>
      <c r="S25" s="93">
        <f>IF(H27="",0,IF(K28=$B$65,IF(H27&gt;J27,3,IF(H27=J27,1,0)),0))</f>
        <v>3</v>
      </c>
      <c r="T25" s="93">
        <f>IF(J26="",0,IF(K26=$B$65,IF(H26&lt;J26,3,IF(H26=J26,1,0)),0))</f>
        <v>1</v>
      </c>
      <c r="U25" s="93">
        <f>IF(J24="",0,IF(K24=$B$65,IF(H24&lt;J24,3,IF(H24=J24,1,0)),0))</f>
        <v>1</v>
      </c>
      <c r="V25" s="92"/>
      <c r="W25" s="94"/>
      <c r="X25" s="94">
        <f>RANK(AD25,$AD$22:$AD$25)</f>
        <v>1</v>
      </c>
      <c r="Y25" s="95" t="s">
        <v>166</v>
      </c>
      <c r="Z25" s="94">
        <f>SUM(S25:V25)</f>
        <v>5</v>
      </c>
      <c r="AA25" s="94">
        <f>SUM(S29:V29)</f>
        <v>11</v>
      </c>
      <c r="AB25" s="94">
        <f>SUM(V26:V29)</f>
        <v>9</v>
      </c>
      <c r="AC25" s="94">
        <f>AA25-AB25</f>
        <v>2</v>
      </c>
      <c r="AD25" s="28">
        <f>IF(P$28="",(((((((AE25*10+Z25)*100+AC25)*100+AA25)*10+AK25)*10+AJ25)*100+AP25)*100+AU25)*10+AV25,(((((((AE25*10+Z25)*10+AK25)*10+AJ25)*100+AP25)*100+AU25)*100+AC25)*100+AA25)*10+AV25)</f>
        <v>500000402111</v>
      </c>
      <c r="AE25" s="97"/>
      <c r="AF25" s="108">
        <f>IF($Z25=$Z22,$S25-$V22,0)</f>
        <v>0</v>
      </c>
      <c r="AG25" s="108">
        <f>IF($Z25=$Z23,$T25-$V23,0)</f>
        <v>0</v>
      </c>
      <c r="AH25" s="108">
        <f>IF($Z25=$Z24,$U25-$V24,0)</f>
        <v>0</v>
      </c>
      <c r="AI25" s="108"/>
      <c r="AJ25" s="108">
        <f>SUM(AF25:AI25)</f>
        <v>0</v>
      </c>
      <c r="AK25" s="97"/>
      <c r="AL25" s="108">
        <f>IF($Z25=$Z22,$S29-$V26,0)</f>
        <v>0</v>
      </c>
      <c r="AM25" s="108">
        <f>IF($Z25=$Z23,$T29-$V27,0)</f>
        <v>0</v>
      </c>
      <c r="AN25" s="108">
        <f>IF($Z25=$Z24,$U29-$V28,0)</f>
        <v>0</v>
      </c>
      <c r="AO25" s="108"/>
      <c r="AP25" s="108">
        <f>SUM(AL25:AO25)</f>
        <v>0</v>
      </c>
      <c r="AQ25" s="108">
        <f>IF($Z25=$Z22,$S29,0)</f>
        <v>0</v>
      </c>
      <c r="AR25" s="108">
        <f>IF($Z25=$Z23,$T29,0)</f>
        <v>4</v>
      </c>
      <c r="AS25" s="108">
        <f>IF($Z25=$Z24,$U29,0)</f>
        <v>0</v>
      </c>
      <c r="AT25" s="108"/>
      <c r="AU25" s="108">
        <f>SUM(AQ25:AT25)</f>
        <v>4</v>
      </c>
      <c r="AV25" s="97">
        <v>1</v>
      </c>
      <c r="AW25" s="96"/>
      <c r="BA25" s="2">
        <f>BA23+12</f>
        <v>23</v>
      </c>
      <c r="BB25" s="7">
        <v>44366.625</v>
      </c>
      <c r="BC25" s="4" t="s">
        <v>143</v>
      </c>
      <c r="BD25" s="88" t="str">
        <f>BY22</f>
        <v>Ungarn</v>
      </c>
      <c r="BE25" s="52" t="s">
        <v>21</v>
      </c>
      <c r="BF25" s="88" t="str">
        <f>BY24</f>
        <v>Frankreich</v>
      </c>
      <c r="BG25" s="87"/>
      <c r="BH25" s="111">
        <f ca="1" t="shared" si="10"/>
        <v>4</v>
      </c>
      <c r="BI25" s="12" t="s">
        <v>22</v>
      </c>
      <c r="BJ25" s="111">
        <f ca="1" t="shared" si="11"/>
        <v>1</v>
      </c>
      <c r="BK25" s="8" t="s">
        <v>23</v>
      </c>
      <c r="BL25" s="1"/>
      <c r="BM25" s="10" t="str">
        <f>VLOOKUP(4,$BX$22:$CC$25,2,FALSE)</f>
        <v>Portugal</v>
      </c>
      <c r="BN25" s="2">
        <f>VLOOKUP(4,$BX$22:$CC$25,3,FALSE)</f>
        <v>3</v>
      </c>
      <c r="BO25" s="2">
        <f>VLOOKUP(4,$BX$22:$CC$25,4,FALSE)</f>
        <v>10</v>
      </c>
      <c r="BP25" s="2">
        <f>VLOOKUP(4,$BX$22:$CC$25,5,FALSE)</f>
        <v>13</v>
      </c>
      <c r="BQ25" s="2">
        <f>VLOOKUP(4,$BX$22:$CC$25,6,FALSE)</f>
        <v>-3</v>
      </c>
      <c r="BS25" s="93">
        <f>IF(BH27="",0,IF(BK28=$B$65,IF(BH27&gt;BJ27,3,IF(BH27=BJ27,1,0)),0))</f>
        <v>1</v>
      </c>
      <c r="BT25" s="93">
        <f>IF(BJ26="",0,IF(BK26=$B$65,IF(BH26&lt;BJ26,3,IF(BH26=BJ26,1,0)),0))</f>
        <v>3</v>
      </c>
      <c r="BU25" s="93">
        <f>IF(BJ24="",0,IF(BK24=$B$65,IF(BH24&lt;BJ24,3,IF(BH24=BJ24,1,0)),0))</f>
        <v>0</v>
      </c>
      <c r="BV25" s="92"/>
      <c r="BW25" s="1"/>
      <c r="BX25" s="1">
        <f>RANK(CD25,$CD$22:$CD$25)</f>
        <v>3</v>
      </c>
      <c r="BY25" s="95" t="s">
        <v>65</v>
      </c>
      <c r="BZ25" s="1">
        <f>SUM(BS25:BV25)</f>
        <v>4</v>
      </c>
      <c r="CA25" s="1">
        <f>SUM(BS29:BV29)</f>
        <v>5</v>
      </c>
      <c r="CB25" s="1">
        <f>SUM(BV26:BV29)</f>
        <v>6</v>
      </c>
      <c r="CC25" s="1">
        <f>CA25-CB25</f>
        <v>-1</v>
      </c>
      <c r="CD25" s="28">
        <f>IF(BP$28="",(((((((CE25*10+BZ25)*100+CC25)*100+CA25)*10+CK25)*10+CJ25)*100+CP25)*100+CU25)*10+CV25,(((((((CE25*10+BZ25)*10+CK25)*10+CJ25)*100+CP25)*100+CU25)*100+CC25)*100+CA25)*10+CV25)</f>
        <v>400000099051</v>
      </c>
      <c r="CE25" s="5"/>
      <c r="CF25" s="109">
        <f>IF($BZ25=$BZ22,$BS25-$BV22,0)</f>
        <v>0</v>
      </c>
      <c r="CG25" s="109">
        <f>IF($BZ25=$BZ23,$BT25-$BV23,0)</f>
        <v>0</v>
      </c>
      <c r="CH25" s="109">
        <f>IF($BZ25=$BZ24,$BU25-$BV24,0)</f>
        <v>0</v>
      </c>
      <c r="CI25" s="109"/>
      <c r="CJ25" s="109">
        <f>SUM(CF25:CI25)</f>
        <v>0</v>
      </c>
      <c r="CK25" s="5"/>
      <c r="CL25" s="109">
        <f>IF($BZ25=$BZ22,$BS29-$BV26,0)</f>
        <v>0</v>
      </c>
      <c r="CM25" s="109">
        <f>IF($BZ25=$BZ23,$BT29-$BV27,0)</f>
        <v>0</v>
      </c>
      <c r="CN25" s="109">
        <f>IF($BZ25=$BZ24,$BU29-$BV28,0)</f>
        <v>0</v>
      </c>
      <c r="CO25" s="109"/>
      <c r="CP25" s="109">
        <f>SUM(CL25:CO25)</f>
        <v>0</v>
      </c>
      <c r="CQ25" s="109">
        <f>IF($BZ25=$BZ22,$BS29,0)</f>
        <v>1</v>
      </c>
      <c r="CR25" s="109">
        <f>IF($BZ25=$BZ23,$BT29,0)</f>
        <v>0</v>
      </c>
      <c r="CS25" s="109">
        <f>IF($BZ25=$BZ24,$BU29,0)</f>
        <v>0</v>
      </c>
      <c r="CT25" s="109"/>
      <c r="CU25" s="109">
        <f>SUM(CQ25:CT25)</f>
        <v>1</v>
      </c>
      <c r="CV25" s="5">
        <v>1</v>
      </c>
    </row>
    <row r="26" spans="1:100" ht="12.75">
      <c r="A26" s="2">
        <f>A24+12</f>
        <v>18</v>
      </c>
      <c r="B26" s="7">
        <v>44364.625</v>
      </c>
      <c r="C26" s="4" t="s">
        <v>141</v>
      </c>
      <c r="D26" s="88" t="str">
        <f>Y23</f>
        <v>Ukraine</v>
      </c>
      <c r="E26" s="52" t="s">
        <v>21</v>
      </c>
      <c r="F26" s="88" t="str">
        <f>Y25</f>
        <v>N'Mazedonien</v>
      </c>
      <c r="G26" s="87"/>
      <c r="H26" s="111">
        <f ca="1" t="shared" si="8"/>
        <v>4</v>
      </c>
      <c r="I26" s="12" t="s">
        <v>22</v>
      </c>
      <c r="J26" s="111">
        <f ca="1" t="shared" si="9"/>
        <v>4</v>
      </c>
      <c r="K26" s="8" t="s">
        <v>23</v>
      </c>
      <c r="L26" s="1"/>
      <c r="N26" s="1"/>
      <c r="O26" s="1"/>
      <c r="P26" s="1"/>
      <c r="S26" s="92"/>
      <c r="T26" s="93">
        <f>IF(K23=$B$65,H23,0)</f>
        <v>0</v>
      </c>
      <c r="U26" s="93">
        <f>IF(K25=$B$65,H25,0)</f>
        <v>6</v>
      </c>
      <c r="V26" s="93">
        <f>IF(K28=$B$65,J27,0)</f>
        <v>2</v>
      </c>
      <c r="W26" s="94"/>
      <c r="X26" s="94"/>
      <c r="Y26" s="94"/>
      <c r="Z26" s="94"/>
      <c r="AA26" s="94"/>
      <c r="AB26" s="94"/>
      <c r="AC26" s="94"/>
      <c r="AD26" s="98"/>
      <c r="AE26" s="99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V26" s="108"/>
      <c r="AW26" s="96"/>
      <c r="BA26" s="2">
        <f>BA24+12</f>
        <v>24</v>
      </c>
      <c r="BB26" s="7">
        <v>44366.75</v>
      </c>
      <c r="BC26" s="4" t="s">
        <v>136</v>
      </c>
      <c r="BD26" s="88" t="str">
        <f>BY23</f>
        <v>Portugal</v>
      </c>
      <c r="BE26" s="52" t="s">
        <v>21</v>
      </c>
      <c r="BF26" s="88" t="str">
        <f>BY25</f>
        <v>Deutschland</v>
      </c>
      <c r="BG26" s="87"/>
      <c r="BH26" s="111">
        <f ca="1" t="shared" si="10"/>
        <v>1</v>
      </c>
      <c r="BI26" s="12" t="s">
        <v>22</v>
      </c>
      <c r="BJ26" s="111">
        <f ca="1" t="shared" si="11"/>
        <v>3</v>
      </c>
      <c r="BK26" s="8" t="s">
        <v>23</v>
      </c>
      <c r="BL26" s="1"/>
      <c r="BN26" s="1"/>
      <c r="BO26" s="1"/>
      <c r="BP26" s="1"/>
      <c r="BS26" s="92"/>
      <c r="BT26" s="93">
        <f>IF(BK23=$B$65,BH23,0)</f>
        <v>4</v>
      </c>
      <c r="BU26" s="93">
        <f>IF(BK25=$B$65,BH25,0)</f>
        <v>4</v>
      </c>
      <c r="BV26" s="93">
        <f>IF(BK28=$B$65,BJ27,0)</f>
        <v>1</v>
      </c>
      <c r="BW26" s="1"/>
      <c r="BX26" s="1"/>
      <c r="BY26" s="94"/>
      <c r="BZ26" s="1"/>
      <c r="CA26" s="1"/>
      <c r="CB26" s="1"/>
      <c r="CC26" s="1"/>
      <c r="CD26" s="6"/>
      <c r="CE26" s="8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V26" s="109"/>
    </row>
    <row r="27" spans="1:100" ht="12.75">
      <c r="A27" s="2">
        <f>A25+12</f>
        <v>29</v>
      </c>
      <c r="B27" s="7">
        <v>44368.75</v>
      </c>
      <c r="C27" s="4" t="s">
        <v>144</v>
      </c>
      <c r="D27" s="88" t="str">
        <f>Y25</f>
        <v>N'Mazedonien</v>
      </c>
      <c r="E27" s="52" t="s">
        <v>21</v>
      </c>
      <c r="F27" s="88" t="str">
        <f>Y22</f>
        <v>Niederlande</v>
      </c>
      <c r="G27" s="86"/>
      <c r="H27" s="110">
        <f ca="1" t="shared" si="8"/>
        <v>4</v>
      </c>
      <c r="I27" s="14" t="s">
        <v>22</v>
      </c>
      <c r="J27" s="110">
        <f ca="1" t="shared" si="9"/>
        <v>2</v>
      </c>
      <c r="K27" s="8" t="s">
        <v>23</v>
      </c>
      <c r="M27" s="46" t="str">
        <f>IF(N22&gt;0,M22,"")</f>
        <v>N'Mazedonien</v>
      </c>
      <c r="N27" s="2" t="s">
        <v>30</v>
      </c>
      <c r="P27" s="34"/>
      <c r="S27" s="93">
        <f>IF(K23=$B$65,J23,0)</f>
        <v>1</v>
      </c>
      <c r="T27" s="92"/>
      <c r="U27" s="93">
        <f>IF(K27=$B$65,H28,0)</f>
        <v>1</v>
      </c>
      <c r="V27" s="93">
        <f>IF(K26=$B$65,H26,0)</f>
        <v>4</v>
      </c>
      <c r="AD27" s="86" t="s">
        <v>118</v>
      </c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V27" s="112"/>
      <c r="AW27" s="96"/>
      <c r="BA27" s="2">
        <f>BA25+12</f>
        <v>35</v>
      </c>
      <c r="BB27" s="7">
        <v>44370.875</v>
      </c>
      <c r="BC27" s="4" t="s">
        <v>136</v>
      </c>
      <c r="BD27" s="88" t="str">
        <f>BY25</f>
        <v>Deutschland</v>
      </c>
      <c r="BE27" s="52" t="s">
        <v>21</v>
      </c>
      <c r="BF27" s="88" t="str">
        <f>BY22</f>
        <v>Ungarn</v>
      </c>
      <c r="BG27" s="86"/>
      <c r="BH27" s="110">
        <f ca="1" t="shared" si="10"/>
        <v>1</v>
      </c>
      <c r="BI27" s="14" t="s">
        <v>22</v>
      </c>
      <c r="BJ27" s="110">
        <f ca="1" t="shared" si="11"/>
        <v>1</v>
      </c>
      <c r="BK27" s="8" t="s">
        <v>23</v>
      </c>
      <c r="BM27" s="49" t="str">
        <f>IF(BN22&gt;0,BM22,"")</f>
        <v>Frankreich</v>
      </c>
      <c r="BN27" s="2" t="s">
        <v>39</v>
      </c>
      <c r="BP27" s="34"/>
      <c r="BS27" s="93">
        <f>IF(BK23=$B$65,BJ23,0)</f>
        <v>6</v>
      </c>
      <c r="BT27" s="92"/>
      <c r="BU27" s="93">
        <f>IF(BK27=$B$65,BH28,0)</f>
        <v>3</v>
      </c>
      <c r="BV27" s="93">
        <f>IF(BK26=$B$65,BH26,0)</f>
        <v>1</v>
      </c>
      <c r="CD27" s="2" t="s">
        <v>118</v>
      </c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V27" s="113"/>
    </row>
    <row r="28" spans="1:100" ht="12.75">
      <c r="A28" s="2">
        <f>A26+12</f>
        <v>30</v>
      </c>
      <c r="B28" s="7">
        <v>44368.75</v>
      </c>
      <c r="C28" s="4" t="s">
        <v>141</v>
      </c>
      <c r="D28" s="88" t="str">
        <f>Y23</f>
        <v>Ukraine</v>
      </c>
      <c r="E28" s="52" t="s">
        <v>21</v>
      </c>
      <c r="F28" s="88" t="str">
        <f>Y24</f>
        <v>Österreich</v>
      </c>
      <c r="G28" s="86"/>
      <c r="H28" s="111">
        <f ca="1" t="shared" si="8"/>
        <v>1</v>
      </c>
      <c r="I28" s="12" t="s">
        <v>22</v>
      </c>
      <c r="J28" s="111">
        <f ca="1" t="shared" si="9"/>
        <v>1</v>
      </c>
      <c r="K28" s="8" t="s">
        <v>23</v>
      </c>
      <c r="M28" s="46" t="str">
        <f>IF(N23&gt;0,M23,"")</f>
        <v>Ukraine</v>
      </c>
      <c r="N28" s="2" t="s">
        <v>31</v>
      </c>
      <c r="O28" s="35"/>
      <c r="P28" s="36" t="s">
        <v>11</v>
      </c>
      <c r="S28" s="93">
        <f>IF(K25=$B$65,J25,0)</f>
        <v>3</v>
      </c>
      <c r="T28" s="93">
        <f>IF(K27=$B$65,J28,0)</f>
        <v>1</v>
      </c>
      <c r="U28" s="92"/>
      <c r="V28" s="93">
        <f>IF(K24=$B$65,H24,0)</f>
        <v>3</v>
      </c>
      <c r="AD28" s="86" t="s">
        <v>119</v>
      </c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V28" s="112"/>
      <c r="AW28" s="96"/>
      <c r="BA28" s="2">
        <f>BA26+12</f>
        <v>36</v>
      </c>
      <c r="BB28" s="7">
        <v>44370.875</v>
      </c>
      <c r="BC28" s="4" t="s">
        <v>143</v>
      </c>
      <c r="BD28" s="88" t="str">
        <f>BY23</f>
        <v>Portugal</v>
      </c>
      <c r="BE28" s="52" t="s">
        <v>21</v>
      </c>
      <c r="BF28" s="88" t="str">
        <f>BY24</f>
        <v>Frankreich</v>
      </c>
      <c r="BG28" s="86"/>
      <c r="BH28" s="111">
        <f ca="1" t="shared" si="10"/>
        <v>3</v>
      </c>
      <c r="BI28" s="12" t="s">
        <v>22</v>
      </c>
      <c r="BJ28" s="111">
        <f ca="1" t="shared" si="11"/>
        <v>6</v>
      </c>
      <c r="BK28" s="8" t="s">
        <v>23</v>
      </c>
      <c r="BM28" s="49" t="str">
        <f>IF(BN23&gt;0,BM23,"")</f>
        <v>Ungarn</v>
      </c>
      <c r="BN28" s="2" t="s">
        <v>40</v>
      </c>
      <c r="BO28" s="35"/>
      <c r="BP28" s="36" t="s">
        <v>11</v>
      </c>
      <c r="BS28" s="93">
        <f>IF(BK25=$B$65,BJ25,0)</f>
        <v>1</v>
      </c>
      <c r="BT28" s="93">
        <f>IF(BK27=$B$65,BJ28,0)</f>
        <v>6</v>
      </c>
      <c r="BU28" s="92"/>
      <c r="BV28" s="93">
        <f>IF(BK24=$B$65,BH24,0)</f>
        <v>4</v>
      </c>
      <c r="CD28" s="2" t="s">
        <v>119</v>
      </c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V28" s="113"/>
    </row>
    <row r="29" spans="4:100" ht="12.75">
      <c r="D29" s="86"/>
      <c r="E29" s="86"/>
      <c r="F29" s="86"/>
      <c r="G29" s="86"/>
      <c r="M29" s="46" t="str">
        <f>IF(N24&gt;0,M24,"")</f>
        <v>Niederlande</v>
      </c>
      <c r="N29" s="2" t="s">
        <v>72</v>
      </c>
      <c r="S29" s="93">
        <f>IF(K28=$B$65,H27,0)</f>
        <v>4</v>
      </c>
      <c r="T29" s="93">
        <f>IF(K26=$B$65,J26,0)</f>
        <v>4</v>
      </c>
      <c r="U29" s="93">
        <f>IF(K24=$B$65,J24,0)</f>
        <v>3</v>
      </c>
      <c r="V29" s="92"/>
      <c r="AD29" s="86" t="s">
        <v>120</v>
      </c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V29" s="112"/>
      <c r="AW29" s="96"/>
      <c r="BD29" s="86"/>
      <c r="BE29" s="86"/>
      <c r="BF29" s="86"/>
      <c r="BG29" s="86"/>
      <c r="BM29" s="49" t="str">
        <f>IF(BN24&gt;0,BM24,"")</f>
        <v>Deutschland</v>
      </c>
      <c r="BN29" s="2" t="s">
        <v>73</v>
      </c>
      <c r="BS29" s="93">
        <f>IF(BK28=$B$65,BH27,0)</f>
        <v>1</v>
      </c>
      <c r="BT29" s="93">
        <f>IF(BK26=$B$65,BJ26,0)</f>
        <v>3</v>
      </c>
      <c r="BU29" s="93">
        <f>IF(BK24=$B$65,BJ24,0)</f>
        <v>1</v>
      </c>
      <c r="BV29" s="92"/>
      <c r="CD29" s="2" t="s">
        <v>120</v>
      </c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V29" s="113"/>
    </row>
    <row r="30" spans="4:100" ht="6" customHeight="1">
      <c r="D30" s="86"/>
      <c r="E30" s="89"/>
      <c r="F30" s="91"/>
      <c r="G30" s="91"/>
      <c r="H30" s="86"/>
      <c r="I30" s="86"/>
      <c r="J30" s="86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V30" s="112"/>
      <c r="AW30" s="96"/>
      <c r="BD30" s="86"/>
      <c r="BE30" s="89"/>
      <c r="BF30" s="91"/>
      <c r="BG30" s="91"/>
      <c r="BH30" s="86"/>
      <c r="BI30" s="86"/>
      <c r="BJ30" s="86"/>
      <c r="BS30" s="86"/>
      <c r="BT30" s="86"/>
      <c r="BU30" s="86"/>
      <c r="BV30" s="86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V30" s="113"/>
    </row>
    <row r="31" spans="2:95" ht="12.75">
      <c r="B31" s="41" t="s">
        <v>117</v>
      </c>
      <c r="C31" s="85" t="str">
        <f>CONCATENATE(D35,D36,D37,D38)</f>
        <v>BCDF</v>
      </c>
      <c r="AW31" s="96"/>
      <c r="BJ31"/>
      <c r="BK31"/>
      <c r="BL31"/>
      <c r="BM31"/>
      <c r="BN31"/>
      <c r="BO31"/>
      <c r="BP31"/>
      <c r="BQ31"/>
      <c r="BR31"/>
      <c r="BS31" s="80"/>
      <c r="BT31" s="80"/>
      <c r="BU31" s="80"/>
      <c r="CE31"/>
      <c r="CF31" s="80" t="s">
        <v>27</v>
      </c>
      <c r="CG31" s="80"/>
      <c r="CH31" s="80"/>
      <c r="CI31"/>
      <c r="CJ31" t="s">
        <v>30</v>
      </c>
      <c r="CK31"/>
      <c r="CL31"/>
      <c r="CM31" t="s">
        <v>36</v>
      </c>
      <c r="CN31"/>
      <c r="CO31"/>
      <c r="CP31"/>
      <c r="CQ31" t="s">
        <v>39</v>
      </c>
    </row>
    <row r="32" spans="13:97" ht="12.75">
      <c r="M32" s="43" t="s">
        <v>126</v>
      </c>
      <c r="AW32" s="96"/>
      <c r="BJ32"/>
      <c r="BK32"/>
      <c r="BL32"/>
      <c r="BM32"/>
      <c r="BN32"/>
      <c r="BO32"/>
      <c r="BP32"/>
      <c r="BQ32"/>
      <c r="BR32"/>
      <c r="BS32" s="102"/>
      <c r="BT32" s="102"/>
      <c r="BU32" s="102"/>
      <c r="CE32"/>
      <c r="CF32" s="80" t="s">
        <v>95</v>
      </c>
      <c r="CG32" s="80" t="s">
        <v>97</v>
      </c>
      <c r="CH32" s="80" t="s">
        <v>98</v>
      </c>
      <c r="CI32" t="s">
        <v>100</v>
      </c>
      <c r="CJ32" t="s">
        <v>97</v>
      </c>
      <c r="CK32" t="s">
        <v>98</v>
      </c>
      <c r="CL32" t="s">
        <v>100</v>
      </c>
      <c r="CM32" t="s">
        <v>95</v>
      </c>
      <c r="CN32" t="s">
        <v>99</v>
      </c>
      <c r="CO32" t="s">
        <v>96</v>
      </c>
      <c r="CP32" t="s">
        <v>97</v>
      </c>
      <c r="CQ32" t="s">
        <v>95</v>
      </c>
      <c r="CR32" s="2" t="s">
        <v>99</v>
      </c>
      <c r="CS32" s="2" t="s">
        <v>96</v>
      </c>
    </row>
    <row r="33" spans="4:98" ht="12.75">
      <c r="D33" s="26" t="s">
        <v>127</v>
      </c>
      <c r="F33" s="26" t="s">
        <v>128</v>
      </c>
      <c r="M33" s="43"/>
      <c r="AW33" s="96"/>
      <c r="BJ33"/>
      <c r="BK33"/>
      <c r="BL33"/>
      <c r="BM33"/>
      <c r="BN33"/>
      <c r="BO33"/>
      <c r="BP33"/>
      <c r="BQ33"/>
      <c r="BR33"/>
      <c r="BS33" s="102"/>
      <c r="BT33" s="102"/>
      <c r="BU33" s="102"/>
      <c r="CE33"/>
      <c r="CF33" s="103" t="s">
        <v>80</v>
      </c>
      <c r="CG33" s="103" t="s">
        <v>83</v>
      </c>
      <c r="CH33" s="103" t="s">
        <v>85</v>
      </c>
      <c r="CI33" s="104" t="s">
        <v>87</v>
      </c>
      <c r="CJ33" s="104" t="s">
        <v>80</v>
      </c>
      <c r="CK33" s="104" t="s">
        <v>81</v>
      </c>
      <c r="CL33" s="104" t="s">
        <v>82</v>
      </c>
      <c r="CM33" s="104" t="s">
        <v>83</v>
      </c>
      <c r="CN33" s="104" t="s">
        <v>80</v>
      </c>
      <c r="CO33" s="104" t="s">
        <v>86</v>
      </c>
      <c r="CP33" s="104" t="s">
        <v>89</v>
      </c>
      <c r="CQ33" s="104" t="s">
        <v>85</v>
      </c>
      <c r="CR33" s="104" t="s">
        <v>83</v>
      </c>
      <c r="CS33" s="104" t="s">
        <v>80</v>
      </c>
      <c r="CT33" s="103"/>
    </row>
    <row r="34" spans="1:100" s="11" customFormat="1" ht="12.75">
      <c r="A34" s="27"/>
      <c r="D34" s="18" t="s">
        <v>129</v>
      </c>
      <c r="F34" s="18" t="s">
        <v>95</v>
      </c>
      <c r="L34" s="18"/>
      <c r="M34" s="43" t="s">
        <v>3</v>
      </c>
      <c r="N34" s="18" t="s">
        <v>4</v>
      </c>
      <c r="O34" s="18" t="s">
        <v>5</v>
      </c>
      <c r="P34" s="18" t="s">
        <v>6</v>
      </c>
      <c r="Q34" s="18" t="s">
        <v>7</v>
      </c>
      <c r="R34" s="18" t="s">
        <v>8</v>
      </c>
      <c r="S34" s="91"/>
      <c r="T34" s="91" t="s">
        <v>96</v>
      </c>
      <c r="U34" s="91"/>
      <c r="V34" s="91"/>
      <c r="W34" s="91"/>
      <c r="X34" s="87" t="s">
        <v>121</v>
      </c>
      <c r="Y34" s="91" t="s">
        <v>117</v>
      </c>
      <c r="Z34" s="91"/>
      <c r="AA34" s="91"/>
      <c r="AB34" s="91"/>
      <c r="AC34" s="91"/>
      <c r="AD34" s="91"/>
      <c r="AE34" s="21" t="s">
        <v>10</v>
      </c>
      <c r="AF34" s="87" t="s">
        <v>8</v>
      </c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88" t="s">
        <v>18</v>
      </c>
      <c r="AW34" s="91"/>
      <c r="BJ34"/>
      <c r="BK34"/>
      <c r="BL34"/>
      <c r="BM34"/>
      <c r="BN34"/>
      <c r="BO34"/>
      <c r="BP34"/>
      <c r="BQ34"/>
      <c r="BR34"/>
      <c r="BS34" s="102"/>
      <c r="BT34" s="102"/>
      <c r="BU34" s="102"/>
      <c r="CE34"/>
      <c r="CF34" s="103" t="s">
        <v>81</v>
      </c>
      <c r="CG34" s="103" t="s">
        <v>84</v>
      </c>
      <c r="CH34" s="103" t="s">
        <v>86</v>
      </c>
      <c r="CI34" s="104" t="s">
        <v>91</v>
      </c>
      <c r="CJ34" s="104" t="s">
        <v>86</v>
      </c>
      <c r="CK34" s="104" t="s">
        <v>83</v>
      </c>
      <c r="CL34" s="104" t="s">
        <v>84</v>
      </c>
      <c r="CM34" s="104" t="s">
        <v>84</v>
      </c>
      <c r="CN34" s="104" t="s">
        <v>81</v>
      </c>
      <c r="CO34" s="104" t="s">
        <v>87</v>
      </c>
      <c r="CP34" s="104" t="s">
        <v>93</v>
      </c>
      <c r="CQ34" s="104" t="s">
        <v>86</v>
      </c>
      <c r="CR34" s="104" t="s">
        <v>84</v>
      </c>
      <c r="CS34" s="104" t="s">
        <v>81</v>
      </c>
      <c r="CV34" s="2"/>
    </row>
    <row r="35" spans="1:97" ht="12.75">
      <c r="A35" s="28"/>
      <c r="B35" s="41" t="str">
        <f>CONCATENATE("3",D35)</f>
        <v>3B</v>
      </c>
      <c r="C35" s="42" t="str">
        <f>IF(AND(N$35=0,N$36=0,N$37=0,N$38=0),"",VLOOKUP(1,$F$35:$M$43,8,FALSE))</f>
        <v>Belgien</v>
      </c>
      <c r="D35" s="1" t="str">
        <f>IF(AND(N$35=0,N$36=0,N$37=0,N$38=0),"",VLOOKUP(1,$F$35:$M$38,7,FALSE))</f>
        <v>B</v>
      </c>
      <c r="F35" s="1">
        <f>RANK(T35,$T$35:$T$38)</f>
        <v>1</v>
      </c>
      <c r="I35" s="2"/>
      <c r="K35" s="10"/>
      <c r="L35" s="81" t="str">
        <f aca="true" t="shared" si="12" ref="L35:L40">MID(R35,2,1)</f>
        <v>B</v>
      </c>
      <c r="M35" s="82" t="str">
        <f>VLOOKUP(1,$X$35:$AC$40,2,FALSE)</f>
        <v>Belgien</v>
      </c>
      <c r="N35" s="2">
        <f>VLOOKUP(1,$X$35:$AC$40,3,FALSE)</f>
        <v>4</v>
      </c>
      <c r="O35" s="2">
        <f>VLOOKUP(1,$X$35:$AC$40,4,FALSE)</f>
        <v>9</v>
      </c>
      <c r="P35" s="2">
        <f>VLOOKUP(1,$X$35:$AC$40,5,FALSE)</f>
        <v>8</v>
      </c>
      <c r="Q35" s="2">
        <f>VLOOKUP(1,$X$35:$AC$40,6,FALSE)</f>
        <v>1</v>
      </c>
      <c r="R35" s="15" t="str">
        <f>VLOOKUP(1,$X$35:$AF$40,9,FALSE)</f>
        <v>3B</v>
      </c>
      <c r="T35" s="86">
        <f>71-CODE(L35)</f>
        <v>5</v>
      </c>
      <c r="X35" s="94">
        <f aca="true" t="shared" si="13" ref="X35:X40">RANK(AD35,$AD$35:$AD$40)</f>
        <v>6</v>
      </c>
      <c r="Y35" s="105" t="str">
        <f>M4</f>
        <v>Schweiz</v>
      </c>
      <c r="Z35" s="86">
        <f>N4</f>
        <v>3</v>
      </c>
      <c r="AA35" s="86">
        <f>O4</f>
        <v>3</v>
      </c>
      <c r="AB35" s="86">
        <f>P4</f>
        <v>9</v>
      </c>
      <c r="AC35" s="86">
        <f>Q4</f>
        <v>-6</v>
      </c>
      <c r="AD35" s="96">
        <f aca="true" t="shared" si="14" ref="AD35:AD40">AE35*10000000000000000+Z35*100000000000000+AC35*1000000000000+AA35*10000000000+AV35</f>
        <v>294030000000006</v>
      </c>
      <c r="AE35" s="97"/>
      <c r="AF35" s="86" t="str">
        <f>N9</f>
        <v>3A</v>
      </c>
      <c r="AV35" s="97">
        <v>6</v>
      </c>
      <c r="BJ35"/>
      <c r="BK35"/>
      <c r="BL35"/>
      <c r="BM35"/>
      <c r="BN35"/>
      <c r="BO35"/>
      <c r="BP35"/>
      <c r="BQ35"/>
      <c r="BR35"/>
      <c r="BS35" s="102"/>
      <c r="BT35" s="102"/>
      <c r="BU35" s="102"/>
      <c r="CE35"/>
      <c r="CF35" s="103" t="s">
        <v>82</v>
      </c>
      <c r="CG35" s="103"/>
      <c r="CH35" s="103" t="s">
        <v>88</v>
      </c>
      <c r="CI35" s="104" t="s">
        <v>92</v>
      </c>
      <c r="CJ35" s="104" t="s">
        <v>87</v>
      </c>
      <c r="CK35" s="104" t="s">
        <v>92</v>
      </c>
      <c r="CL35" s="104" t="s">
        <v>85</v>
      </c>
      <c r="CM35" s="104"/>
      <c r="CN35" s="104" t="s">
        <v>82</v>
      </c>
      <c r="CO35" s="104" t="s">
        <v>88</v>
      </c>
      <c r="CP35" s="104" t="s">
        <v>94</v>
      </c>
      <c r="CQ35" s="104" t="s">
        <v>87</v>
      </c>
      <c r="CR35" s="104" t="s">
        <v>91</v>
      </c>
      <c r="CS35" s="104" t="s">
        <v>82</v>
      </c>
    </row>
    <row r="36" spans="1:97" ht="12.75">
      <c r="A36" s="28"/>
      <c r="B36" s="41" t="str">
        <f>CONCATENATE("3",D36)</f>
        <v>3C</v>
      </c>
      <c r="C36" s="42" t="str">
        <f>IF(AND(N$35=0,N$36=0,N$37=0,N$38=0),"",VLOOKUP(2,$F$35:$M$43,8,FALSE))</f>
        <v>Niederlande</v>
      </c>
      <c r="D36" s="1" t="str">
        <f>IF(AND(N$35=0,N$36=0,N$37=0,N$38=0),"",VLOOKUP(2,$F$35:$M$38,7,FALSE))</f>
        <v>C</v>
      </c>
      <c r="F36" s="1">
        <f>RANK(T36,$T$35:$T$38)</f>
        <v>4</v>
      </c>
      <c r="I36" s="2"/>
      <c r="K36" s="10"/>
      <c r="L36" s="81" t="str">
        <f t="shared" si="12"/>
        <v>F</v>
      </c>
      <c r="M36" s="82" t="str">
        <f>VLOOKUP(2,$X$35:$AC$40,2,FALSE)</f>
        <v>Deutschland</v>
      </c>
      <c r="N36" s="2">
        <f>VLOOKUP(2,$X$35:$AC$40,3,FALSE)</f>
        <v>4</v>
      </c>
      <c r="O36" s="2">
        <f>VLOOKUP(2,$X$35:$AC$40,4,FALSE)</f>
        <v>5</v>
      </c>
      <c r="P36" s="2">
        <f>VLOOKUP(2,$X$35:$AC$40,5,FALSE)</f>
        <v>6</v>
      </c>
      <c r="Q36" s="2">
        <f>VLOOKUP(2,$X$35:$AC$40,6,FALSE)</f>
        <v>-1</v>
      </c>
      <c r="R36" s="15" t="str">
        <f>VLOOKUP(2,$X$35:$AF$40,9,FALSE)</f>
        <v>3F</v>
      </c>
      <c r="T36" s="86">
        <f>71-CODE(L36)</f>
        <v>1</v>
      </c>
      <c r="X36" s="94">
        <f t="shared" si="13"/>
        <v>1</v>
      </c>
      <c r="Y36" s="105" t="str">
        <f>M14</f>
        <v>Belgien</v>
      </c>
      <c r="Z36" s="86">
        <f>N14</f>
        <v>4</v>
      </c>
      <c r="AA36" s="86">
        <f>O14</f>
        <v>9</v>
      </c>
      <c r="AB36" s="86">
        <f>P14</f>
        <v>8</v>
      </c>
      <c r="AC36" s="86">
        <f>Q14</f>
        <v>1</v>
      </c>
      <c r="AD36" s="96">
        <f t="shared" si="14"/>
        <v>401090000000005</v>
      </c>
      <c r="AE36" s="97"/>
      <c r="AF36" s="86" t="str">
        <f>N19</f>
        <v>3B</v>
      </c>
      <c r="AV36" s="97">
        <v>5</v>
      </c>
      <c r="BJ36"/>
      <c r="BK36"/>
      <c r="BL36"/>
      <c r="BM36"/>
      <c r="BN36"/>
      <c r="BO36"/>
      <c r="BP36"/>
      <c r="BQ36"/>
      <c r="BR36"/>
      <c r="BS36" s="102"/>
      <c r="BT36" s="102"/>
      <c r="BU36" s="102"/>
      <c r="CE36"/>
      <c r="CF36" s="103"/>
      <c r="CG36" s="103"/>
      <c r="CH36" s="103" t="s">
        <v>89</v>
      </c>
      <c r="CI36" s="104" t="s">
        <v>93</v>
      </c>
      <c r="CJ36" s="104" t="s">
        <v>90</v>
      </c>
      <c r="CK36" s="104" t="s">
        <v>93</v>
      </c>
      <c r="CL36" s="104" t="s">
        <v>88</v>
      </c>
      <c r="CM36" s="104"/>
      <c r="CN36" s="104" t="s">
        <v>85</v>
      </c>
      <c r="CO36" s="104" t="s">
        <v>91</v>
      </c>
      <c r="CP36" s="104"/>
      <c r="CQ36" s="104" t="s">
        <v>88</v>
      </c>
      <c r="CR36" s="104" t="s">
        <v>92</v>
      </c>
      <c r="CS36" s="104" t="s">
        <v>90</v>
      </c>
    </row>
    <row r="37" spans="1:97" ht="12.75">
      <c r="A37" s="28"/>
      <c r="B37" s="41" t="str">
        <f>CONCATENATE("3",D37)</f>
        <v>3D</v>
      </c>
      <c r="C37" s="42" t="str">
        <f>IF(AND(N$35=0,N$36=0,N$37=0,N$38=0),"",VLOOKUP(3,$F$35:$M$43,8,FALSE))</f>
        <v>Schottland</v>
      </c>
      <c r="D37" s="1" t="str">
        <f>IF(AND(N$35=0,N$36=0,N$37=0,N$38=0),"",VLOOKUP(3,$F$35:$M$38,7,FALSE))</f>
        <v>D</v>
      </c>
      <c r="F37" s="1">
        <f>RANK(T37,$T$35:$T$38)</f>
        <v>2</v>
      </c>
      <c r="I37" s="2"/>
      <c r="K37" s="10"/>
      <c r="L37" s="81" t="str">
        <f t="shared" si="12"/>
        <v>C</v>
      </c>
      <c r="M37" s="82" t="str">
        <f>VLOOKUP(3,$X$35:$AC$40,2,FALSE)</f>
        <v>Niederlande</v>
      </c>
      <c r="N37" s="2">
        <f>VLOOKUP(3,$X$35:$AC$40,3,FALSE)</f>
        <v>3</v>
      </c>
      <c r="O37" s="2">
        <f>VLOOKUP(3,$X$35:$AC$40,4,FALSE)</f>
        <v>8</v>
      </c>
      <c r="P37" s="2">
        <f>VLOOKUP(3,$X$35:$AC$40,5,FALSE)</f>
        <v>8</v>
      </c>
      <c r="Q37" s="2">
        <f>VLOOKUP(3,$X$35:$AC$40,6,FALSE)</f>
        <v>0</v>
      </c>
      <c r="R37" s="15" t="str">
        <f>VLOOKUP(3,$X$35:$AF$40,9,FALSE)</f>
        <v>3C</v>
      </c>
      <c r="T37" s="86">
        <f>71-CODE(L37)</f>
        <v>4</v>
      </c>
      <c r="X37" s="94">
        <f t="shared" si="13"/>
        <v>3</v>
      </c>
      <c r="Y37" s="105" t="str">
        <f>M24</f>
        <v>Niederlande</v>
      </c>
      <c r="Z37" s="86">
        <f>N24</f>
        <v>3</v>
      </c>
      <c r="AA37" s="86">
        <f>O24</f>
        <v>8</v>
      </c>
      <c r="AB37" s="86">
        <f>P24</f>
        <v>8</v>
      </c>
      <c r="AC37" s="86">
        <f>Q24</f>
        <v>0</v>
      </c>
      <c r="AD37" s="96">
        <f t="shared" si="14"/>
        <v>300080000000004</v>
      </c>
      <c r="AE37" s="97"/>
      <c r="AF37" s="86" t="str">
        <f>N29</f>
        <v>3C</v>
      </c>
      <c r="AV37" s="97">
        <v>4</v>
      </c>
      <c r="BJ37"/>
      <c r="BK37"/>
      <c r="BL37"/>
      <c r="BM37"/>
      <c r="BN37"/>
      <c r="BO37"/>
      <c r="BP37"/>
      <c r="BQ37"/>
      <c r="BR37"/>
      <c r="BS37" s="102"/>
      <c r="BT37" s="102"/>
      <c r="BU37" s="102"/>
      <c r="CE37"/>
      <c r="CF37" s="103"/>
      <c r="CG37" s="103"/>
      <c r="CH37" s="103" t="s">
        <v>90</v>
      </c>
      <c r="CI37" s="104" t="s">
        <v>94</v>
      </c>
      <c r="CJ37" s="104" t="s">
        <v>91</v>
      </c>
      <c r="CK37" s="104" t="s">
        <v>94</v>
      </c>
      <c r="CL37" s="104" t="s">
        <v>89</v>
      </c>
      <c r="CM37" s="104"/>
      <c r="CN37" s="104" t="s">
        <v>90</v>
      </c>
      <c r="CO37" s="104" t="s">
        <v>92</v>
      </c>
      <c r="CP37" s="104"/>
      <c r="CQ37" s="104" t="s">
        <v>89</v>
      </c>
      <c r="CR37" s="104" t="s">
        <v>93</v>
      </c>
      <c r="CS37" s="104" t="s">
        <v>94</v>
      </c>
    </row>
    <row r="38" spans="1:95" ht="12.75">
      <c r="A38" s="28"/>
      <c r="B38" s="41" t="str">
        <f>CONCATENATE("3",D38)</f>
        <v>3F</v>
      </c>
      <c r="C38" s="42" t="str">
        <f>IF(AND(N$35=0,N$36=0,N$37=0,N$38=0),"",VLOOKUP(4,$F$35:$M$43,8,FALSE))</f>
        <v>Deutschland</v>
      </c>
      <c r="D38" s="1" t="str">
        <f>IF(AND(N$35=0,N$36=0,N$37=0,N$38=0),"",VLOOKUP(4,$F$35:$M$38,7,FALSE))</f>
        <v>F</v>
      </c>
      <c r="F38" s="1">
        <f>RANK(T38,$T$35:$T$38)</f>
        <v>3</v>
      </c>
      <c r="I38" s="2"/>
      <c r="K38" s="10"/>
      <c r="L38" s="81" t="str">
        <f t="shared" si="12"/>
        <v>D</v>
      </c>
      <c r="M38" s="82" t="str">
        <f>VLOOKUP(4,$X$35:$AC$40,2,FALSE)</f>
        <v>Schottland</v>
      </c>
      <c r="N38" s="2">
        <f>VLOOKUP(4,$X$35:$AC$40,3,FALSE)</f>
        <v>3</v>
      </c>
      <c r="O38" s="2">
        <f>VLOOKUP(4,$X$35:$AC$40,4,FALSE)</f>
        <v>9</v>
      </c>
      <c r="P38" s="2">
        <f>VLOOKUP(4,$X$35:$AC$40,5,FALSE)</f>
        <v>12</v>
      </c>
      <c r="Q38" s="2">
        <f>VLOOKUP(4,$X$35:$AC$40,6,FALSE)</f>
        <v>-3</v>
      </c>
      <c r="R38" s="15" t="str">
        <f>VLOOKUP(4,$X$35:$AF$40,9,FALSE)</f>
        <v>3D</v>
      </c>
      <c r="T38" s="86">
        <f>71-CODE(L38)</f>
        <v>3</v>
      </c>
      <c r="X38" s="94">
        <f t="shared" si="13"/>
        <v>4</v>
      </c>
      <c r="Y38" s="105" t="str">
        <f>BM4</f>
        <v>Schottland</v>
      </c>
      <c r="Z38" s="86">
        <f>BN4</f>
        <v>3</v>
      </c>
      <c r="AA38" s="86">
        <f>BO4</f>
        <v>9</v>
      </c>
      <c r="AB38" s="86">
        <f>BP4</f>
        <v>12</v>
      </c>
      <c r="AC38" s="86">
        <f>BQ4</f>
        <v>-3</v>
      </c>
      <c r="AD38" s="96">
        <f t="shared" si="14"/>
        <v>297090000000003</v>
      </c>
      <c r="AE38" s="97"/>
      <c r="AF38" s="86" t="str">
        <f>BN9</f>
        <v>3D</v>
      </c>
      <c r="AV38" s="97">
        <v>3</v>
      </c>
      <c r="BJ38"/>
      <c r="BK38"/>
      <c r="BL38"/>
      <c r="BM38"/>
      <c r="BN38"/>
      <c r="BO38"/>
      <c r="BP38"/>
      <c r="BQ38"/>
      <c r="BR38"/>
      <c r="BS38" s="102"/>
      <c r="BT38" s="102"/>
      <c r="BU38" s="102"/>
      <c r="CE38"/>
      <c r="CF38" s="103"/>
      <c r="CG38" s="103"/>
      <c r="CH38" s="103"/>
      <c r="CI38" s="104"/>
      <c r="CJ38" s="104"/>
      <c r="CK38" s="104"/>
      <c r="CL38" s="104"/>
      <c r="CM38" s="104"/>
      <c r="CN38" s="104"/>
      <c r="CO38" s="104"/>
      <c r="CP38" s="104"/>
      <c r="CQ38" s="104"/>
    </row>
    <row r="39" spans="1:95" ht="12.75">
      <c r="A39" s="28"/>
      <c r="H39" s="2"/>
      <c r="I39" s="2"/>
      <c r="K39" s="10"/>
      <c r="L39" s="1" t="str">
        <f t="shared" si="12"/>
        <v>E</v>
      </c>
      <c r="M39" s="10" t="str">
        <f>VLOOKUP(5,$X$35:$AC$40,2,FALSE)</f>
        <v>Spanien</v>
      </c>
      <c r="N39" s="2">
        <f>VLOOKUP(5,$X$35:$AC$40,3,FALSE)</f>
        <v>3</v>
      </c>
      <c r="O39" s="2">
        <f>VLOOKUP(5,$X$35:$AC$40,4,FALSE)</f>
        <v>8</v>
      </c>
      <c r="P39" s="2">
        <f>VLOOKUP(5,$X$35:$AC$40,5,FALSE)</f>
        <v>12</v>
      </c>
      <c r="Q39" s="2">
        <f>VLOOKUP(5,$X$35:$AC$40,6,FALSE)</f>
        <v>-4</v>
      </c>
      <c r="R39" s="15" t="str">
        <f>VLOOKUP(5,$X$35:$AF$40,9,FALSE)</f>
        <v>3E</v>
      </c>
      <c r="X39" s="94">
        <f t="shared" si="13"/>
        <v>5</v>
      </c>
      <c r="Y39" s="105" t="str">
        <f>BM14</f>
        <v>Spanien</v>
      </c>
      <c r="Z39" s="86">
        <f>BN14</f>
        <v>3</v>
      </c>
      <c r="AA39" s="86">
        <f>BO14</f>
        <v>8</v>
      </c>
      <c r="AB39" s="86">
        <f>BP14</f>
        <v>12</v>
      </c>
      <c r="AC39" s="86">
        <f>BQ14</f>
        <v>-4</v>
      </c>
      <c r="AD39" s="96">
        <f t="shared" si="14"/>
        <v>296080000000002</v>
      </c>
      <c r="AE39" s="97"/>
      <c r="AF39" s="86" t="str">
        <f>BN19</f>
        <v>3E</v>
      </c>
      <c r="AV39" s="97">
        <v>2</v>
      </c>
      <c r="BJ39"/>
      <c r="BK39"/>
      <c r="BL39"/>
      <c r="BM39"/>
      <c r="BN39"/>
      <c r="BO39"/>
      <c r="BP39"/>
      <c r="BQ39"/>
      <c r="BR39"/>
      <c r="BS39" s="102"/>
      <c r="BT39" s="102"/>
      <c r="BU39" s="102"/>
      <c r="CE39"/>
      <c r="CF39" s="103"/>
      <c r="CG39" s="103"/>
      <c r="CH39" s="103"/>
      <c r="CI39" s="104"/>
      <c r="CJ39" s="104"/>
      <c r="CK39" s="104"/>
      <c r="CL39" s="104"/>
      <c r="CM39" s="104"/>
      <c r="CN39" s="104"/>
      <c r="CO39" s="104"/>
      <c r="CP39" s="104"/>
      <c r="CQ39" s="104"/>
    </row>
    <row r="40" spans="1:95" ht="12.75">
      <c r="A40" s="28"/>
      <c r="H40" s="2"/>
      <c r="I40" s="2"/>
      <c r="K40" s="10"/>
      <c r="L40" s="1" t="str">
        <f t="shared" si="12"/>
        <v>A</v>
      </c>
      <c r="M40" s="10" t="str">
        <f>VLOOKUP(6,$X$35:$AC$40,2,FALSE)</f>
        <v>Schweiz</v>
      </c>
      <c r="N40" s="2">
        <f>VLOOKUP(6,$X$35:$AC$40,3,FALSE)</f>
        <v>3</v>
      </c>
      <c r="O40" s="2">
        <f>VLOOKUP(6,$X$35:$AC$40,4,FALSE)</f>
        <v>3</v>
      </c>
      <c r="P40" s="2">
        <f>VLOOKUP(6,$X$35:$AC$40,5,FALSE)</f>
        <v>9</v>
      </c>
      <c r="Q40" s="2">
        <f>VLOOKUP(6,$X$35:$AC$40,6,FALSE)</f>
        <v>-6</v>
      </c>
      <c r="R40" s="15" t="str">
        <f>VLOOKUP(6,$X$35:$AF$40,9,FALSE)</f>
        <v>3A</v>
      </c>
      <c r="X40" s="94">
        <f t="shared" si="13"/>
        <v>2</v>
      </c>
      <c r="Y40" s="105" t="str">
        <f>BM24</f>
        <v>Deutschland</v>
      </c>
      <c r="Z40" s="86">
        <f>BN24</f>
        <v>4</v>
      </c>
      <c r="AA40" s="86">
        <f>BO24</f>
        <v>5</v>
      </c>
      <c r="AB40" s="86">
        <f>BP24</f>
        <v>6</v>
      </c>
      <c r="AC40" s="86">
        <f>BQ24</f>
        <v>-1</v>
      </c>
      <c r="AD40" s="96">
        <f t="shared" si="14"/>
        <v>399050000000001</v>
      </c>
      <c r="AE40" s="97"/>
      <c r="AF40" s="86" t="str">
        <f>BN29</f>
        <v>3F</v>
      </c>
      <c r="AV40" s="97">
        <v>1</v>
      </c>
      <c r="BJ40"/>
      <c r="BK40"/>
      <c r="BL40"/>
      <c r="BM40"/>
      <c r="BN40"/>
      <c r="BO40"/>
      <c r="BP40"/>
      <c r="BQ40"/>
      <c r="BR40"/>
      <c r="BS40" s="102"/>
      <c r="BT40" s="102"/>
      <c r="BU40" s="102"/>
      <c r="CE40"/>
      <c r="CF40" s="103"/>
      <c r="CG40" s="103"/>
      <c r="CH40" s="103"/>
      <c r="CI40" s="104"/>
      <c r="CJ40" s="104"/>
      <c r="CK40" s="104"/>
      <c r="CL40" s="104"/>
      <c r="CM40" s="104"/>
      <c r="CN40" s="104"/>
      <c r="CO40" s="104"/>
      <c r="CP40" s="104"/>
      <c r="CQ40" s="104"/>
    </row>
    <row r="41" spans="1:95" ht="12.75">
      <c r="A41" s="28"/>
      <c r="H41" s="2"/>
      <c r="I41" s="2"/>
      <c r="J41" s="1"/>
      <c r="K41" s="2"/>
      <c r="M41" s="2"/>
      <c r="AE41" s="86"/>
      <c r="BJ41"/>
      <c r="BK41"/>
      <c r="BL41"/>
      <c r="BM41"/>
      <c r="BN41"/>
      <c r="BO41"/>
      <c r="BP41"/>
      <c r="BQ41"/>
      <c r="BR41"/>
      <c r="BS41" s="102"/>
      <c r="BT41" s="102"/>
      <c r="BU41" s="102"/>
      <c r="CE41"/>
      <c r="CF41" s="103"/>
      <c r="CG41" s="103"/>
      <c r="CH41" s="103"/>
      <c r="CI41" s="104"/>
      <c r="CJ41" s="104"/>
      <c r="CK41" s="104"/>
      <c r="CL41" s="104"/>
      <c r="CM41" s="104"/>
      <c r="CN41" s="104"/>
      <c r="CO41" s="104"/>
      <c r="CP41" s="104"/>
      <c r="CQ41" s="104"/>
    </row>
    <row r="42" spans="1:100" ht="12.75">
      <c r="A42" s="28"/>
      <c r="H42" s="2"/>
      <c r="I42" s="2"/>
      <c r="J42" s="1"/>
      <c r="K42" s="2"/>
      <c r="M42" s="2"/>
      <c r="AD42" s="86" t="s">
        <v>118</v>
      </c>
      <c r="AE42" s="86"/>
      <c r="BJ42"/>
      <c r="BK42"/>
      <c r="BL42"/>
      <c r="BM42"/>
      <c r="BN42"/>
      <c r="BO42"/>
      <c r="BP42"/>
      <c r="BQ42"/>
      <c r="BR42"/>
      <c r="BS42" s="102"/>
      <c r="BT42" s="102"/>
      <c r="BU42" s="102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</row>
    <row r="43" spans="1:84" ht="12.75" customHeight="1">
      <c r="A43" s="28"/>
      <c r="H43" s="2"/>
      <c r="I43" s="2"/>
      <c r="J43" s="1"/>
      <c r="K43" s="2"/>
      <c r="M43" s="2"/>
      <c r="AD43" s="86" t="s">
        <v>120</v>
      </c>
      <c r="AE43" s="86"/>
      <c r="AX43" s="80"/>
      <c r="AY43" s="80"/>
      <c r="AZ43" s="80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3:84" ht="3.75" customHeight="1">
      <c r="C44" s="3"/>
      <c r="E44" s="3"/>
      <c r="F44" s="3"/>
      <c r="H44" s="12"/>
      <c r="I44" s="13"/>
      <c r="J44" s="12"/>
      <c r="AD44" s="98"/>
      <c r="AX44" s="80"/>
      <c r="AY44" s="80"/>
      <c r="AZ44" s="80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3:84" ht="3.75" customHeight="1">
      <c r="C45" s="3"/>
      <c r="E45" s="3"/>
      <c r="F45" s="3"/>
      <c r="H45" s="12"/>
      <c r="I45" s="13"/>
      <c r="J45" s="12"/>
      <c r="AD45" s="98"/>
      <c r="AX45" s="80"/>
      <c r="AY45" s="80"/>
      <c r="AZ45" s="80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3:84" ht="3.75" customHeight="1">
      <c r="C46" s="3"/>
      <c r="E46" s="3"/>
      <c r="F46" s="3"/>
      <c r="H46" s="12"/>
      <c r="I46" s="13"/>
      <c r="J46" s="12"/>
      <c r="AD46" s="98"/>
      <c r="AX46" s="80"/>
      <c r="AY46" s="80"/>
      <c r="AZ46" s="80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:104" s="11" customFormat="1" ht="12.75">
      <c r="B47" s="18" t="s">
        <v>41</v>
      </c>
      <c r="C47" s="24"/>
      <c r="D47" s="18"/>
      <c r="E47" s="15"/>
      <c r="F47" s="18"/>
      <c r="G47" s="18"/>
      <c r="H47" s="22"/>
      <c r="I47" s="21"/>
      <c r="J47" s="22"/>
      <c r="K47" s="50"/>
      <c r="L47" s="18"/>
      <c r="M47" s="24"/>
      <c r="N47" s="18"/>
      <c r="O47" s="18"/>
      <c r="P47" s="18"/>
      <c r="Q47" s="18"/>
      <c r="R47" s="18"/>
      <c r="S47" s="87"/>
      <c r="T47" s="87"/>
      <c r="U47" s="87"/>
      <c r="V47" s="87"/>
      <c r="W47" s="87"/>
      <c r="X47" s="87"/>
      <c r="Y47" s="88"/>
      <c r="Z47" s="87"/>
      <c r="AA47" s="87"/>
      <c r="AB47" s="87"/>
      <c r="AC47" s="87"/>
      <c r="AD47" s="106"/>
      <c r="AE47" s="21"/>
      <c r="AF47" s="87"/>
      <c r="AG47" s="87"/>
      <c r="AH47" s="87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80"/>
      <c r="AY47" s="80"/>
      <c r="AZ47" s="80"/>
      <c r="BA47" s="2"/>
      <c r="BB47" s="51" t="s">
        <v>50</v>
      </c>
      <c r="BC47" s="24"/>
      <c r="BD47" s="15"/>
      <c r="BE47" s="15"/>
      <c r="BF47" s="15"/>
      <c r="BG47" s="18"/>
      <c r="BH47" s="22"/>
      <c r="BI47" s="21"/>
      <c r="BJ47" s="22"/>
      <c r="BK47" s="50"/>
      <c r="BL47" s="18"/>
      <c r="BM47" s="24"/>
      <c r="BN47" s="18"/>
      <c r="BO47" s="18"/>
      <c r="BP47" s="18"/>
      <c r="BQ47" s="1"/>
      <c r="BR47" s="1"/>
      <c r="BS47" s="94"/>
      <c r="BT47" s="94"/>
      <c r="BU47" s="94"/>
      <c r="BV47" s="94"/>
      <c r="BW47" s="94"/>
      <c r="BX47" s="94"/>
      <c r="BY47" s="95"/>
      <c r="BZ47" s="94"/>
      <c r="CA47" s="94"/>
      <c r="CB47" s="94"/>
      <c r="CC47" s="94"/>
      <c r="CD47" s="94"/>
      <c r="CE47" s="98"/>
      <c r="CF47" s="99"/>
      <c r="CG47" s="94"/>
      <c r="CH47" s="94"/>
      <c r="CI47" s="86"/>
      <c r="CJ47" s="86"/>
      <c r="CK47" s="86"/>
      <c r="CL47" s="86"/>
      <c r="CM47" s="86"/>
      <c r="CN47" s="86"/>
      <c r="CO47" s="94"/>
      <c r="CP47" s="86"/>
      <c r="CQ47" s="86"/>
      <c r="CR47" s="86"/>
      <c r="CS47" s="86"/>
      <c r="CT47" s="86"/>
      <c r="CU47" s="86"/>
      <c r="CV47" s="86"/>
      <c r="CW47" s="86"/>
      <c r="CX47" s="80"/>
      <c r="CY47" s="80"/>
      <c r="CZ47" s="80"/>
    </row>
    <row r="48" spans="2:104" ht="12.75">
      <c r="B48" s="3" t="s">
        <v>19</v>
      </c>
      <c r="C48" s="3" t="s">
        <v>20</v>
      </c>
      <c r="D48" s="18"/>
      <c r="E48" s="15"/>
      <c r="F48" s="18"/>
      <c r="G48" s="18"/>
      <c r="H48" s="22"/>
      <c r="I48" s="12"/>
      <c r="J48" s="22"/>
      <c r="K48" s="50"/>
      <c r="L48" s="1"/>
      <c r="M48" s="3"/>
      <c r="N48" s="1"/>
      <c r="O48" s="1"/>
      <c r="P48" s="1"/>
      <c r="Q48" s="1"/>
      <c r="V48" s="94"/>
      <c r="W48" s="94"/>
      <c r="Y48" s="3" t="s">
        <v>122</v>
      </c>
      <c r="Z48" s="94"/>
      <c r="AB48" s="94" t="s">
        <v>95</v>
      </c>
      <c r="AC48" s="94"/>
      <c r="AD48" s="98"/>
      <c r="AE48" s="21" t="s">
        <v>123</v>
      </c>
      <c r="AF48" s="94"/>
      <c r="AG48" s="94"/>
      <c r="AH48" s="94"/>
      <c r="AX48" s="80"/>
      <c r="AY48" s="80"/>
      <c r="AZ48" s="80"/>
      <c r="BB48" s="3" t="s">
        <v>19</v>
      </c>
      <c r="BC48" s="3" t="s">
        <v>20</v>
      </c>
      <c r="BD48" s="15"/>
      <c r="BE48" s="15"/>
      <c r="BF48" s="15"/>
      <c r="BG48" s="18"/>
      <c r="BH48" s="22"/>
      <c r="BI48" s="12"/>
      <c r="BJ48" s="68"/>
      <c r="BK48" s="50"/>
      <c r="BL48" s="1"/>
      <c r="BM48" s="3"/>
      <c r="BN48" s="1"/>
      <c r="BO48" s="1"/>
      <c r="BP48" s="1"/>
      <c r="BQ48" s="1"/>
      <c r="BR48" s="1"/>
      <c r="BS48" s="94"/>
      <c r="BT48" s="94"/>
      <c r="BU48" s="94"/>
      <c r="BV48" s="94"/>
      <c r="BW48" s="94"/>
      <c r="BX48" s="94"/>
      <c r="BY48" s="95"/>
      <c r="BZ48" s="94"/>
      <c r="CA48" s="94"/>
      <c r="CB48" s="94"/>
      <c r="CC48" s="94"/>
      <c r="CD48" s="94"/>
      <c r="CE48" s="98"/>
      <c r="CF48" s="99"/>
      <c r="CG48" s="94"/>
      <c r="CH48" s="94"/>
      <c r="CI48" s="86"/>
      <c r="CJ48" s="86"/>
      <c r="CK48" s="86"/>
      <c r="CL48" s="86"/>
      <c r="CM48" s="86"/>
      <c r="CN48" s="86"/>
      <c r="CO48" s="94"/>
      <c r="CP48" s="86"/>
      <c r="CQ48" s="86"/>
      <c r="CR48" s="86"/>
      <c r="CS48" s="86"/>
      <c r="CT48" s="86"/>
      <c r="CU48" s="86"/>
      <c r="CV48" s="86"/>
      <c r="CW48" s="86"/>
      <c r="CX48" s="80"/>
      <c r="CY48" s="80"/>
      <c r="CZ48" s="80"/>
    </row>
    <row r="49" spans="1:104" ht="12.75">
      <c r="A49" s="2">
        <v>37</v>
      </c>
      <c r="B49" s="7">
        <v>44373.875</v>
      </c>
      <c r="C49" s="4" t="s">
        <v>139</v>
      </c>
      <c r="D49" s="30" t="str">
        <f>M7</f>
        <v>Italien</v>
      </c>
      <c r="E49" s="16" t="s">
        <v>21</v>
      </c>
      <c r="F49" s="46" t="str">
        <f>M28</f>
        <v>Ukraine</v>
      </c>
      <c r="G49" s="18"/>
      <c r="H49" s="110">
        <f aca="true" ca="1" t="shared" si="15" ref="H49:H56">IF($B$66="",1,IF(OR(J49&lt;1,INT(RAND()*10&lt;6)),J49+1,J49-1))</f>
        <v>3</v>
      </c>
      <c r="I49" s="12" t="s">
        <v>22</v>
      </c>
      <c r="J49" s="110">
        <f aca="true" ca="1" t="shared" si="16" ref="J49:J56">IF($B$66="",0,INT(RAND()*5)+INT(RAND()*3)*INT(RAND()*2))</f>
        <v>2</v>
      </c>
      <c r="K49" s="8" t="s">
        <v>23</v>
      </c>
      <c r="L49" s="1"/>
      <c r="M49" s="70" t="str">
        <f aca="true" t="shared" si="17" ref="M49:M56">IF(J49="","",IF(J49=H49,"falsch!!! K.Remis",IF(H49&gt;J49,D49,F49)))</f>
        <v>Italien</v>
      </c>
      <c r="N49" s="1" t="str">
        <f>N7</f>
        <v>1A</v>
      </c>
      <c r="O49" s="1" t="str">
        <f>N28</f>
        <v>2C</v>
      </c>
      <c r="P49" s="1" t="s">
        <v>42</v>
      </c>
      <c r="Q49" s="1"/>
      <c r="V49" s="94"/>
      <c r="W49" s="94"/>
      <c r="Y49" s="1"/>
      <c r="Z49" s="94"/>
      <c r="AB49" s="94"/>
      <c r="AC49" s="80"/>
      <c r="AD49" s="80"/>
      <c r="AE49" s="97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X49" s="80"/>
      <c r="AY49" s="80"/>
      <c r="AZ49" s="80"/>
      <c r="BA49" s="2">
        <f>A56+1</f>
        <v>45</v>
      </c>
      <c r="BB49" s="7">
        <v>44379.875</v>
      </c>
      <c r="BC49" s="114" t="s">
        <v>136</v>
      </c>
      <c r="BD49" s="71" t="str">
        <f>M49</f>
        <v>Italien</v>
      </c>
      <c r="BE49" s="16" t="s">
        <v>21</v>
      </c>
      <c r="BF49" s="71" t="str">
        <f>M50</f>
        <v>Dänemark</v>
      </c>
      <c r="BG49" s="15"/>
      <c r="BH49" s="110">
        <f ca="1">IF($B$66="",1,IF(OR(BJ49&lt;1,INT(RAND()*10&lt;6)),BJ49+1,BJ49-1))</f>
        <v>0</v>
      </c>
      <c r="BI49" s="12" t="s">
        <v>22</v>
      </c>
      <c r="BJ49" s="110">
        <f ca="1">IF($B$66="",0,INT(RAND()*5)+INT(RAND()*3)*INT(RAND()*2))</f>
        <v>1</v>
      </c>
      <c r="BK49" s="8" t="s">
        <v>23</v>
      </c>
      <c r="BL49" s="1"/>
      <c r="BM49" s="72" t="str">
        <f>IF(BJ49="","",IF(BJ49=BH49,"falsch!!! K.Remis",IF(BH49&gt;BJ49,BD49,BF49)))</f>
        <v>Dänemark</v>
      </c>
      <c r="BN49" s="1" t="str">
        <f>P49</f>
        <v>AF1</v>
      </c>
      <c r="BO49" s="1" t="str">
        <f>P50</f>
        <v>AF2</v>
      </c>
      <c r="BP49" s="2" t="s">
        <v>52</v>
      </c>
      <c r="BQ49" s="1"/>
      <c r="BR49" s="1"/>
      <c r="BS49" s="94"/>
      <c r="BT49" s="94"/>
      <c r="BU49" s="94"/>
      <c r="BV49" s="94"/>
      <c r="BW49" s="94"/>
      <c r="BX49" s="94"/>
      <c r="BY49" s="95"/>
      <c r="BZ49" s="94"/>
      <c r="CA49" s="94"/>
      <c r="CB49" s="94"/>
      <c r="CC49" s="94"/>
      <c r="CD49" s="94"/>
      <c r="CE49" s="98"/>
      <c r="CF49" s="99"/>
      <c r="CG49" s="94"/>
      <c r="CH49" s="94"/>
      <c r="CI49" s="86"/>
      <c r="CJ49" s="86"/>
      <c r="CK49" s="86"/>
      <c r="CL49" s="86"/>
      <c r="CM49" s="86"/>
      <c r="CN49" s="86"/>
      <c r="CO49" s="94"/>
      <c r="CP49" s="86"/>
      <c r="CQ49" s="86"/>
      <c r="CR49" s="86"/>
      <c r="CS49" s="86"/>
      <c r="CT49" s="86"/>
      <c r="CU49" s="86"/>
      <c r="CV49" s="86"/>
      <c r="CW49" s="86"/>
      <c r="CX49" s="80"/>
      <c r="CY49" s="80"/>
      <c r="CZ49" s="80"/>
    </row>
    <row r="50" spans="1:104" ht="12.75">
      <c r="A50" s="2">
        <f>A49+1</f>
        <v>38</v>
      </c>
      <c r="B50" s="7">
        <v>44374.875</v>
      </c>
      <c r="C50" s="4" t="s">
        <v>167</v>
      </c>
      <c r="D50" s="45" t="str">
        <f>M17</f>
        <v>Dänemark</v>
      </c>
      <c r="E50" s="16" t="s">
        <v>21</v>
      </c>
      <c r="F50" s="42" t="str">
        <f>VLOOKUP(O50,$B$35:$C$38,2,TRUE)</f>
        <v>Deutschland</v>
      </c>
      <c r="G50" s="18"/>
      <c r="H50" s="111">
        <f ca="1" t="shared" si="15"/>
        <v>2</v>
      </c>
      <c r="I50" s="12" t="s">
        <v>22</v>
      </c>
      <c r="J50" s="111">
        <f ca="1" t="shared" si="16"/>
        <v>1</v>
      </c>
      <c r="K50" s="8" t="s">
        <v>23</v>
      </c>
      <c r="L50" s="1"/>
      <c r="M50" s="70" t="str">
        <f t="shared" si="17"/>
        <v>Dänemark</v>
      </c>
      <c r="N50" s="1" t="str">
        <f>N17</f>
        <v>1B</v>
      </c>
      <c r="O50" s="1" t="str">
        <f>IF(AE50="",CONCATENATE("3",AB50),CONCATENATE("3",AE50))</f>
        <v>3F</v>
      </c>
      <c r="P50" s="1" t="s">
        <v>43</v>
      </c>
      <c r="Q50" s="1"/>
      <c r="V50" s="94"/>
      <c r="W50" s="94"/>
      <c r="Y50" s="3" t="s">
        <v>132</v>
      </c>
      <c r="Z50" s="94"/>
      <c r="AA50" s="94" t="s">
        <v>124</v>
      </c>
      <c r="AB50" s="107" t="str">
        <f>IF(COUNTIF($CF$33:$CF$41,C$31)&gt;0,$CF$32,IF(COUNTIF($CG$33:$CG$41,C$31)&gt;0,$CG$32,IF(COUNTIF($CH$33:$CH$41,C$31)&gt;0,$CH$32,IF(COUNTIF($CI$33:$CI$41,C$31)&gt;0,$CI$32,CONCATENATE("??? ",C$31)))))</f>
        <v>F</v>
      </c>
      <c r="AC50" s="80"/>
      <c r="AD50" s="80"/>
      <c r="AE50" s="97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X50" s="80"/>
      <c r="AY50" s="80"/>
      <c r="AZ50" s="80"/>
      <c r="BA50" s="2">
        <f>BA49+1</f>
        <v>46</v>
      </c>
      <c r="BB50" s="7">
        <v>44379.75</v>
      </c>
      <c r="BC50" s="114" t="s">
        <v>135</v>
      </c>
      <c r="BD50" s="53" t="str">
        <f>M51</f>
        <v>Frankreich</v>
      </c>
      <c r="BE50" s="52" t="s">
        <v>21</v>
      </c>
      <c r="BF50" s="53" t="str">
        <f>M52</f>
        <v>Kroatien</v>
      </c>
      <c r="BG50" s="15"/>
      <c r="BH50" s="110">
        <f ca="1">IF($B$66="",1,IF(OR(BJ50&lt;1,INT(RAND()*10&lt;6)),BJ50+1,BJ50-1))</f>
        <v>4</v>
      </c>
      <c r="BI50" s="12" t="s">
        <v>22</v>
      </c>
      <c r="BJ50" s="110">
        <f ca="1">IF($B$66="",0,INT(RAND()*5)+INT(RAND()*3)*INT(RAND()*2))</f>
        <v>3</v>
      </c>
      <c r="BK50" s="8" t="s">
        <v>23</v>
      </c>
      <c r="BL50" s="1"/>
      <c r="BM50" s="54" t="str">
        <f>IF(BJ50="","",IF(BJ50=BH50,"falsch!!! K.Remis",IF(BH50&gt;BJ50,BD50,BF50)))</f>
        <v>Frankreich</v>
      </c>
      <c r="BN50" s="1" t="str">
        <f>P51</f>
        <v>AF3</v>
      </c>
      <c r="BO50" s="1" t="str">
        <f>P52</f>
        <v>AF4</v>
      </c>
      <c r="BP50" s="2" t="s">
        <v>54</v>
      </c>
      <c r="BQ50" s="1"/>
      <c r="BR50" s="1"/>
      <c r="BS50" s="94"/>
      <c r="BT50" s="94"/>
      <c r="BU50" s="94"/>
      <c r="BV50" s="94"/>
      <c r="BW50" s="94"/>
      <c r="BX50" s="94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6"/>
      <c r="CQ50" s="86"/>
      <c r="CR50" s="86"/>
      <c r="CS50" s="86"/>
      <c r="CT50" s="86"/>
      <c r="CU50" s="86"/>
      <c r="CV50" s="86"/>
      <c r="CW50" s="86"/>
      <c r="CX50" s="80"/>
      <c r="CY50" s="80"/>
      <c r="CZ50" s="80"/>
    </row>
    <row r="51" spans="1:104" ht="12.75">
      <c r="A51" s="2">
        <f aca="true" t="shared" si="18" ref="A51:A56">A50+1</f>
        <v>39</v>
      </c>
      <c r="B51" s="7">
        <v>44375.875</v>
      </c>
      <c r="C51" s="4" t="s">
        <v>141</v>
      </c>
      <c r="D51" s="49" t="str">
        <f>BM27</f>
        <v>Frankreich</v>
      </c>
      <c r="E51" s="16" t="s">
        <v>21</v>
      </c>
      <c r="F51" s="42" t="str">
        <f>VLOOKUP(O51,$B$35:$C$38,2,TRUE)</f>
        <v>Belgien</v>
      </c>
      <c r="G51" s="18"/>
      <c r="H51" s="111">
        <f ca="1" t="shared" si="15"/>
        <v>4</v>
      </c>
      <c r="I51" s="12" t="s">
        <v>22</v>
      </c>
      <c r="J51" s="111">
        <f ca="1" t="shared" si="16"/>
        <v>3</v>
      </c>
      <c r="K51" s="8" t="s">
        <v>23</v>
      </c>
      <c r="L51" s="1"/>
      <c r="M51" s="55" t="str">
        <f t="shared" si="17"/>
        <v>Frankreich</v>
      </c>
      <c r="N51" s="1" t="str">
        <f>BN27</f>
        <v>1F</v>
      </c>
      <c r="O51" s="1" t="str">
        <f>IF(AE51="",CONCATENATE("3",AB51),CONCATENATE("3",AE51))</f>
        <v>3B</v>
      </c>
      <c r="P51" s="1" t="s">
        <v>44</v>
      </c>
      <c r="Q51" s="1"/>
      <c r="V51" s="94"/>
      <c r="W51" s="94"/>
      <c r="Y51" s="3" t="s">
        <v>134</v>
      </c>
      <c r="Z51" s="94"/>
      <c r="AA51" s="94" t="s">
        <v>124</v>
      </c>
      <c r="AB51" s="107" t="str">
        <f>IF(COUNTIF($CQ$33:$CQ$41,C$31)&gt;0,$CQ$32,IF(COUNTIF($CR$33:$CR$41,C$31)&gt;0,$CR$32,IF(COUNTIF($CS$33:$CS$41,C$31)&gt;0,$CS$32,CONCATENATE("??? ",C$31))))</f>
        <v>B</v>
      </c>
      <c r="AC51" s="80"/>
      <c r="AD51" s="80"/>
      <c r="AE51" s="97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X51" s="80"/>
      <c r="AY51" s="80"/>
      <c r="AZ51" s="80"/>
      <c r="BA51" s="2">
        <f>BA50+1</f>
        <v>47</v>
      </c>
      <c r="BB51" s="7">
        <v>44380.75</v>
      </c>
      <c r="BC51" s="114" t="s">
        <v>137</v>
      </c>
      <c r="BD51" s="56" t="str">
        <f>M53</f>
        <v>N'Mazedonien</v>
      </c>
      <c r="BE51" s="52" t="s">
        <v>21</v>
      </c>
      <c r="BF51" s="56" t="str">
        <f>M54</f>
        <v>Russland</v>
      </c>
      <c r="BG51" s="15"/>
      <c r="BH51" s="110">
        <f ca="1">IF($B$66="",1,IF(OR(BJ51&lt;1,INT(RAND()*10&lt;6)),BJ51+1,BJ51-1))</f>
        <v>4</v>
      </c>
      <c r="BI51" s="12" t="s">
        <v>22</v>
      </c>
      <c r="BJ51" s="110">
        <f ca="1">IF($B$66="",0,INT(RAND()*5)+INT(RAND()*3)*INT(RAND()*2))</f>
        <v>3</v>
      </c>
      <c r="BK51" s="8" t="s">
        <v>23</v>
      </c>
      <c r="BL51" s="1"/>
      <c r="BM51" s="57" t="str">
        <f>IF(BJ51="","",IF(BJ51=BH51,"falsch!!! K.Remis",IF(BH51&gt;BJ51,BD51,BF51)))</f>
        <v>N'Mazedonien</v>
      </c>
      <c r="BN51" s="1" t="str">
        <f>P53</f>
        <v>AF5</v>
      </c>
      <c r="BO51" s="1" t="str">
        <f>P54</f>
        <v>AF6</v>
      </c>
      <c r="BP51" s="1" t="s">
        <v>51</v>
      </c>
      <c r="BQ51" s="1"/>
      <c r="BR51" s="1"/>
      <c r="BS51" s="94"/>
      <c r="BT51" s="94"/>
      <c r="BU51" s="94"/>
      <c r="BV51" s="94"/>
      <c r="BW51" s="94"/>
      <c r="BX51" s="94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6"/>
      <c r="CQ51" s="86"/>
      <c r="CR51" s="86"/>
      <c r="CS51" s="86"/>
      <c r="CT51" s="86"/>
      <c r="CU51" s="86"/>
      <c r="CV51" s="86"/>
      <c r="CW51" s="86"/>
      <c r="CX51" s="80"/>
      <c r="CY51" s="80"/>
      <c r="CZ51" s="80"/>
    </row>
    <row r="52" spans="1:104" ht="12.75">
      <c r="A52" s="2">
        <f t="shared" si="18"/>
        <v>40</v>
      </c>
      <c r="B52" s="7">
        <v>44375.75</v>
      </c>
      <c r="C52" s="4" t="s">
        <v>142</v>
      </c>
      <c r="D52" s="47" t="str">
        <f>BM8</f>
        <v>Kroatien</v>
      </c>
      <c r="E52" s="16" t="s">
        <v>21</v>
      </c>
      <c r="F52" s="48" t="str">
        <f>BM18</f>
        <v>Polen</v>
      </c>
      <c r="G52" s="18"/>
      <c r="H52" s="111">
        <f ca="1" t="shared" si="15"/>
        <v>4</v>
      </c>
      <c r="I52" s="12" t="s">
        <v>22</v>
      </c>
      <c r="J52" s="111">
        <f ca="1" t="shared" si="16"/>
        <v>3</v>
      </c>
      <c r="K52" s="8" t="s">
        <v>23</v>
      </c>
      <c r="L52" s="1"/>
      <c r="M52" s="55" t="str">
        <f t="shared" si="17"/>
        <v>Kroatien</v>
      </c>
      <c r="N52" s="1" t="str">
        <f>BN8</f>
        <v>2D</v>
      </c>
      <c r="O52" s="1" t="str">
        <f>BN18</f>
        <v>2E</v>
      </c>
      <c r="P52" s="1" t="s">
        <v>45</v>
      </c>
      <c r="Q52" s="1"/>
      <c r="V52" s="94"/>
      <c r="W52" s="94"/>
      <c r="Y52" s="3"/>
      <c r="Z52" s="94"/>
      <c r="AA52" s="94"/>
      <c r="AB52" s="107"/>
      <c r="AC52" s="80"/>
      <c r="AD52" s="80"/>
      <c r="AE52" s="97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X52" s="80"/>
      <c r="AY52" s="80"/>
      <c r="AZ52" s="80"/>
      <c r="BA52" s="2">
        <f>BA51+1</f>
        <v>48</v>
      </c>
      <c r="BB52" s="7">
        <v>44380.875</v>
      </c>
      <c r="BC52" s="114" t="s">
        <v>138</v>
      </c>
      <c r="BD52" s="58" t="str">
        <f>M55</f>
        <v>Ungarn</v>
      </c>
      <c r="BE52" s="16" t="s">
        <v>21</v>
      </c>
      <c r="BF52" s="58" t="str">
        <f>M56</f>
        <v>Schweden</v>
      </c>
      <c r="BG52" s="15"/>
      <c r="BH52" s="110">
        <f ca="1">IF($B$66="",1,IF(OR(BJ52&lt;1,INT(RAND()*10&lt;6)),BJ52+1,BJ52-1))</f>
        <v>0</v>
      </c>
      <c r="BI52" s="12" t="s">
        <v>22</v>
      </c>
      <c r="BJ52" s="110">
        <f ca="1">IF($B$66="",0,INT(RAND()*5)+INT(RAND()*3)*INT(RAND()*2))</f>
        <v>1</v>
      </c>
      <c r="BK52" s="8" t="s">
        <v>23</v>
      </c>
      <c r="BL52" s="1"/>
      <c r="BM52" s="59" t="str">
        <f>IF(BJ52="","",IF(BJ52=BH52,"falsch!!! K.Remis",IF(BH52&gt;BJ52,BD52,BF52)))</f>
        <v>Schweden</v>
      </c>
      <c r="BN52" s="1" t="str">
        <f>P55</f>
        <v>AF7</v>
      </c>
      <c r="BO52" s="1" t="str">
        <f>P56</f>
        <v>AF8</v>
      </c>
      <c r="BP52" s="1" t="s">
        <v>53</v>
      </c>
      <c r="BQ52" s="1"/>
      <c r="BR52" s="1"/>
      <c r="BS52" s="94"/>
      <c r="BT52" s="94"/>
      <c r="BU52" s="94"/>
      <c r="BV52" s="94"/>
      <c r="BW52" s="94"/>
      <c r="BX52" s="94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6"/>
      <c r="CQ52" s="86"/>
      <c r="CR52" s="86"/>
      <c r="CS52" s="86"/>
      <c r="CT52" s="86"/>
      <c r="CU52" s="86"/>
      <c r="CV52" s="86"/>
      <c r="CW52" s="86"/>
      <c r="CX52" s="80"/>
      <c r="CY52" s="80"/>
      <c r="CZ52" s="80"/>
    </row>
    <row r="53" spans="1:104" ht="12.75">
      <c r="A53" s="2">
        <f t="shared" si="18"/>
        <v>41</v>
      </c>
      <c r="B53" s="7">
        <v>44374.75</v>
      </c>
      <c r="C53" s="4" t="s">
        <v>143</v>
      </c>
      <c r="D53" s="46" t="str">
        <f>M27</f>
        <v>N'Mazedonien</v>
      </c>
      <c r="E53" s="16" t="s">
        <v>21</v>
      </c>
      <c r="F53" s="42" t="str">
        <f>VLOOKUP(O53,$B$35:$C$38,2,TRUE)</f>
        <v>Schottland</v>
      </c>
      <c r="G53" s="18"/>
      <c r="H53" s="111">
        <f ca="1" t="shared" si="15"/>
        <v>1</v>
      </c>
      <c r="I53" s="12" t="s">
        <v>22</v>
      </c>
      <c r="J53" s="111">
        <f ca="1" t="shared" si="16"/>
        <v>0</v>
      </c>
      <c r="K53" s="8" t="s">
        <v>23</v>
      </c>
      <c r="L53" s="1"/>
      <c r="M53" s="60" t="str">
        <f t="shared" si="17"/>
        <v>N'Mazedonien</v>
      </c>
      <c r="N53" s="1" t="str">
        <f>N27</f>
        <v>1C</v>
      </c>
      <c r="O53" s="1" t="str">
        <f>IF(AE53="",CONCATENATE("3",AB53),CONCATENATE("3",AE53))</f>
        <v>3D</v>
      </c>
      <c r="P53" s="1" t="s">
        <v>46</v>
      </c>
      <c r="Q53" s="1"/>
      <c r="V53" s="94"/>
      <c r="W53" s="94"/>
      <c r="Y53" s="3" t="s">
        <v>131</v>
      </c>
      <c r="Z53" s="94"/>
      <c r="AA53" s="94" t="s">
        <v>124</v>
      </c>
      <c r="AB53" s="107" t="str">
        <f>IF(COUNTIF($CJ$33:$CJ$41,C$31)&gt;0,$CJ$32,IF(COUNTIF($CK$33:$CK$41,C$31)&gt;0,$CK$32,IF(COUNTIF($CL$33:$CL$41,C$31)&gt;0,$CL$32,CONCATENATE("??? ",C$31))))</f>
        <v>D</v>
      </c>
      <c r="AC53" s="80"/>
      <c r="AD53" s="80"/>
      <c r="AE53" s="97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X53" s="80"/>
      <c r="AY53" s="80"/>
      <c r="AZ53" s="80"/>
      <c r="BD53" s="17"/>
      <c r="BE53" s="17"/>
      <c r="BF53" s="17"/>
      <c r="BG53" s="17"/>
      <c r="BQ53" s="1"/>
      <c r="BR53" s="1"/>
      <c r="BS53" s="94"/>
      <c r="BT53" s="94"/>
      <c r="BU53" s="94"/>
      <c r="BV53" s="94"/>
      <c r="BW53" s="94"/>
      <c r="BX53" s="94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6"/>
      <c r="CQ53" s="86"/>
      <c r="CR53" s="86"/>
      <c r="CS53" s="86"/>
      <c r="CT53" s="86"/>
      <c r="CU53" s="86"/>
      <c r="CV53" s="86"/>
      <c r="CW53" s="86"/>
      <c r="CX53" s="80"/>
      <c r="CY53" s="80"/>
      <c r="CZ53" s="80"/>
    </row>
    <row r="54" spans="1:104" ht="12.75">
      <c r="A54" s="2">
        <f t="shared" si="18"/>
        <v>42</v>
      </c>
      <c r="B54" s="7">
        <v>44373.75</v>
      </c>
      <c r="C54" s="4" t="s">
        <v>144</v>
      </c>
      <c r="D54" s="30" t="str">
        <f>M8</f>
        <v>Wales</v>
      </c>
      <c r="E54" s="16" t="s">
        <v>21</v>
      </c>
      <c r="F54" s="45" t="str">
        <f>M18</f>
        <v>Russland</v>
      </c>
      <c r="G54" s="18"/>
      <c r="H54" s="111">
        <f ca="1" t="shared" si="15"/>
        <v>1</v>
      </c>
      <c r="I54" s="12" t="s">
        <v>22</v>
      </c>
      <c r="J54" s="111">
        <f ca="1" t="shared" si="16"/>
        <v>2</v>
      </c>
      <c r="K54" s="8" t="s">
        <v>23</v>
      </c>
      <c r="L54" s="1"/>
      <c r="M54" s="60" t="str">
        <f t="shared" si="17"/>
        <v>Russland</v>
      </c>
      <c r="N54" s="1" t="str">
        <f>N8</f>
        <v>2A</v>
      </c>
      <c r="O54" s="1" t="str">
        <f>N18</f>
        <v>2B</v>
      </c>
      <c r="P54" s="1" t="s">
        <v>47</v>
      </c>
      <c r="Q54" s="1"/>
      <c r="V54" s="94"/>
      <c r="W54" s="94"/>
      <c r="Y54" s="3"/>
      <c r="Z54" s="94"/>
      <c r="AA54" s="94"/>
      <c r="AB54" s="107"/>
      <c r="AC54" s="80"/>
      <c r="AD54" s="80"/>
      <c r="AE54" s="97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X54" s="80"/>
      <c r="AY54" s="80"/>
      <c r="AZ54" s="80"/>
      <c r="BB54" s="61" t="s">
        <v>55</v>
      </c>
      <c r="BC54" s="24"/>
      <c r="BD54" s="15"/>
      <c r="BE54" s="15"/>
      <c r="BF54" s="15"/>
      <c r="BG54" s="18"/>
      <c r="BH54" s="22"/>
      <c r="BI54" s="21"/>
      <c r="BJ54" s="22"/>
      <c r="BK54" s="50"/>
      <c r="BL54" s="18"/>
      <c r="BM54" s="24"/>
      <c r="BN54" s="18"/>
      <c r="BO54" s="18"/>
      <c r="BP54" s="18"/>
      <c r="BQ54" s="1"/>
      <c r="BR54" s="1"/>
      <c r="BS54" s="94"/>
      <c r="BT54" s="94"/>
      <c r="BU54" s="94"/>
      <c r="BV54" s="94"/>
      <c r="BW54" s="94"/>
      <c r="BX54" s="94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6"/>
      <c r="CQ54" s="86"/>
      <c r="CR54" s="86"/>
      <c r="CS54" s="86"/>
      <c r="CT54" s="86"/>
      <c r="CU54" s="86"/>
      <c r="CV54" s="86"/>
      <c r="CW54" s="86"/>
      <c r="CX54" s="80"/>
      <c r="CY54" s="80"/>
      <c r="CZ54" s="80"/>
    </row>
    <row r="55" spans="1:104" ht="12.75">
      <c r="A55" s="2">
        <f t="shared" si="18"/>
        <v>43</v>
      </c>
      <c r="B55" s="7">
        <v>44376.75</v>
      </c>
      <c r="C55" s="4" t="s">
        <v>139</v>
      </c>
      <c r="D55" s="47" t="str">
        <f>BM7</f>
        <v>Tschechien</v>
      </c>
      <c r="E55" s="16" t="s">
        <v>21</v>
      </c>
      <c r="F55" s="49" t="str">
        <f>BM28</f>
        <v>Ungarn</v>
      </c>
      <c r="G55" s="18"/>
      <c r="H55" s="111">
        <f ca="1" t="shared" si="15"/>
        <v>3</v>
      </c>
      <c r="I55" s="12" t="s">
        <v>22</v>
      </c>
      <c r="J55" s="111">
        <f ca="1" t="shared" si="16"/>
        <v>4</v>
      </c>
      <c r="K55" s="8" t="s">
        <v>23</v>
      </c>
      <c r="L55" s="1"/>
      <c r="M55" s="62" t="str">
        <f t="shared" si="17"/>
        <v>Ungarn</v>
      </c>
      <c r="N55" s="1" t="str">
        <f>BN7</f>
        <v>1D</v>
      </c>
      <c r="O55" s="1" t="str">
        <f>BN28</f>
        <v>2F</v>
      </c>
      <c r="P55" s="1" t="s">
        <v>48</v>
      </c>
      <c r="Q55" s="1"/>
      <c r="V55" s="94"/>
      <c r="W55" s="94"/>
      <c r="Y55" s="3"/>
      <c r="Z55" s="94"/>
      <c r="AA55" s="94"/>
      <c r="AB55" s="107"/>
      <c r="AC55" s="80"/>
      <c r="AD55" s="80"/>
      <c r="AE55" s="97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X55" s="80"/>
      <c r="AY55" s="80"/>
      <c r="AZ55" s="80"/>
      <c r="BB55" s="3" t="s">
        <v>19</v>
      </c>
      <c r="BC55" s="3" t="s">
        <v>20</v>
      </c>
      <c r="BD55" s="15"/>
      <c r="BE55" s="15"/>
      <c r="BF55" s="15"/>
      <c r="BG55" s="18"/>
      <c r="BH55" s="22"/>
      <c r="BI55" s="12"/>
      <c r="BJ55" s="22"/>
      <c r="BK55" s="50"/>
      <c r="BL55" s="1"/>
      <c r="BM55" s="3"/>
      <c r="BN55" s="1"/>
      <c r="BO55" s="1"/>
      <c r="BP55" s="1"/>
      <c r="BQ55" s="1"/>
      <c r="BR55" s="1"/>
      <c r="BS55" s="94"/>
      <c r="BT55" s="94"/>
      <c r="BU55" s="94"/>
      <c r="BV55" s="94"/>
      <c r="BW55" s="94"/>
      <c r="BX55" s="94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6"/>
      <c r="CQ55" s="86"/>
      <c r="CR55" s="86"/>
      <c r="CS55" s="86"/>
      <c r="CT55" s="86"/>
      <c r="CU55" s="86"/>
      <c r="CV55" s="86"/>
      <c r="CW55" s="86"/>
      <c r="CX55" s="80"/>
      <c r="CY55" s="80"/>
      <c r="CZ55" s="80"/>
    </row>
    <row r="56" spans="1:104" ht="12.75">
      <c r="A56" s="2">
        <f t="shared" si="18"/>
        <v>44</v>
      </c>
      <c r="B56" s="7">
        <v>44376.875</v>
      </c>
      <c r="C56" s="4" t="s">
        <v>146</v>
      </c>
      <c r="D56" s="48" t="str">
        <f>BM17</f>
        <v>Schweden</v>
      </c>
      <c r="E56" s="16" t="s">
        <v>21</v>
      </c>
      <c r="F56" s="42" t="str">
        <f>VLOOKUP(O56,$B$35:$C$38,2,TRUE)</f>
        <v>Niederlande</v>
      </c>
      <c r="G56" s="18"/>
      <c r="H56" s="111">
        <f ca="1" t="shared" si="15"/>
        <v>1</v>
      </c>
      <c r="I56" s="12" t="s">
        <v>22</v>
      </c>
      <c r="J56" s="111">
        <f ca="1" t="shared" si="16"/>
        <v>0</v>
      </c>
      <c r="K56" s="8" t="s">
        <v>23</v>
      </c>
      <c r="L56" s="1"/>
      <c r="M56" s="62" t="str">
        <f t="shared" si="17"/>
        <v>Schweden</v>
      </c>
      <c r="N56" s="1" t="str">
        <f>BN17</f>
        <v>1E</v>
      </c>
      <c r="O56" s="1" t="str">
        <f>IF(AE56="",CONCATENATE("3",AB56),CONCATENATE("3",AE56))</f>
        <v>3C</v>
      </c>
      <c r="P56" s="1" t="s">
        <v>49</v>
      </c>
      <c r="Q56" s="1"/>
      <c r="V56" s="94"/>
      <c r="W56" s="94"/>
      <c r="Y56" s="3" t="s">
        <v>133</v>
      </c>
      <c r="Z56" s="94"/>
      <c r="AA56" s="94" t="s">
        <v>124</v>
      </c>
      <c r="AB56" s="107" t="str">
        <f>IF(COUNTIF($CM$33:$CM$41,C$31)&gt;0,$CM$32,IF(COUNTIF($CN$33:$CN$41,C$31)&gt;0,$CN$32,IF(COUNTIF($CO$33:$CO$41,C$31)&gt;0,$CO$32,IF(COUNTIF($CP$33:$CP$41,C$31)&gt;0,$CP$32,CONCATENATE("??? ",C$31)))))</f>
        <v>C</v>
      </c>
      <c r="AC56" s="80"/>
      <c r="AD56" s="80"/>
      <c r="AE56" s="97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X56" s="80"/>
      <c r="AY56" s="80"/>
      <c r="AZ56" s="80"/>
      <c r="BA56" s="2">
        <f>BA52+1</f>
        <v>49</v>
      </c>
      <c r="BB56" s="7">
        <v>44383.875</v>
      </c>
      <c r="BC56" s="4" t="s">
        <v>139</v>
      </c>
      <c r="BD56" s="20" t="str">
        <f>BM50</f>
        <v>Frankreich</v>
      </c>
      <c r="BE56" s="16" t="s">
        <v>21</v>
      </c>
      <c r="BF56" s="73" t="str">
        <f>BM49</f>
        <v>Dänemark</v>
      </c>
      <c r="BG56" s="18"/>
      <c r="BH56" s="110">
        <f ca="1">IF($B$66="",1,IF(OR(BJ56&lt;1,INT(RAND()*10&lt;6)),BJ56+1,BJ56-1))</f>
        <v>5</v>
      </c>
      <c r="BI56" s="12" t="s">
        <v>22</v>
      </c>
      <c r="BJ56" s="110">
        <f ca="1">IF($B$66="",0,INT(RAND()*5)+INT(RAND()*3)*INT(RAND()*2))</f>
        <v>4</v>
      </c>
      <c r="BK56" s="8" t="s">
        <v>23</v>
      </c>
      <c r="BL56" s="1"/>
      <c r="BM56" s="74" t="str">
        <f>IF(BJ56="","",IF(BJ56=BH56,"falsch!!! K.Remis",IF(BH56&gt;BJ56,BD56,BF56)))</f>
        <v>Frankreich</v>
      </c>
      <c r="BN56" s="1" t="str">
        <f>BP50</f>
        <v>VF2</v>
      </c>
      <c r="BO56" s="1" t="str">
        <f>BP49</f>
        <v>VF1</v>
      </c>
      <c r="BP56" s="1" t="s">
        <v>56</v>
      </c>
      <c r="BQ56" s="1"/>
      <c r="BR56" s="1"/>
      <c r="BS56" s="94"/>
      <c r="BT56" s="94"/>
      <c r="BU56" s="94"/>
      <c r="BV56" s="94"/>
      <c r="BW56" s="94"/>
      <c r="BX56" s="94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6"/>
      <c r="CQ56" s="86"/>
      <c r="CR56" s="86"/>
      <c r="CS56" s="86"/>
      <c r="CT56" s="86"/>
      <c r="CU56" s="86"/>
      <c r="CV56" s="86"/>
      <c r="CW56" s="86"/>
      <c r="CX56" s="80"/>
      <c r="CY56" s="80"/>
      <c r="CZ56" s="80"/>
    </row>
    <row r="57" spans="2:104" ht="12.75">
      <c r="B57" s="1"/>
      <c r="C57" s="3"/>
      <c r="D57" s="18"/>
      <c r="E57" s="15"/>
      <c r="F57" s="18"/>
      <c r="G57" s="18"/>
      <c r="H57" s="22"/>
      <c r="I57" s="12"/>
      <c r="J57" s="22"/>
      <c r="K57" s="50"/>
      <c r="L57" s="1"/>
      <c r="M57" s="3"/>
      <c r="N57" s="1"/>
      <c r="O57" s="1"/>
      <c r="P57" s="1"/>
      <c r="Q57" s="1"/>
      <c r="R57" s="1"/>
      <c r="S57" s="94"/>
      <c r="T57" s="94"/>
      <c r="U57" s="94"/>
      <c r="V57" s="94"/>
      <c r="W57" s="94"/>
      <c r="Y57" s="80"/>
      <c r="Z57" s="80"/>
      <c r="AA57" s="80"/>
      <c r="AB57" s="80"/>
      <c r="AC57" s="80"/>
      <c r="AD57" s="80"/>
      <c r="AE57" s="86" t="s">
        <v>125</v>
      </c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X57" s="80"/>
      <c r="AY57" s="80"/>
      <c r="AZ57" s="80"/>
      <c r="BA57" s="2">
        <f>BA56+1</f>
        <v>50</v>
      </c>
      <c r="BB57" s="7">
        <v>44384.875</v>
      </c>
      <c r="BC57" s="114" t="s">
        <v>139</v>
      </c>
      <c r="BD57" s="64" t="str">
        <f>BM52</f>
        <v>Schweden</v>
      </c>
      <c r="BE57" s="16" t="s">
        <v>21</v>
      </c>
      <c r="BF57" s="63" t="str">
        <f>BM51</f>
        <v>N'Mazedonien</v>
      </c>
      <c r="BG57" s="18"/>
      <c r="BH57" s="110">
        <f ca="1">IF($B$66="",1,IF(OR(BJ57&lt;1,INT(RAND()*10&lt;6)),BJ57+1,BJ57-1))</f>
        <v>7</v>
      </c>
      <c r="BI57" s="12" t="s">
        <v>22</v>
      </c>
      <c r="BJ57" s="110">
        <f ca="1">IF($B$66="",0,INT(RAND()*5)+INT(RAND()*3)*INT(RAND()*2))</f>
        <v>6</v>
      </c>
      <c r="BK57" s="8" t="s">
        <v>23</v>
      </c>
      <c r="BL57" s="1"/>
      <c r="BM57" s="74" t="str">
        <f>IF(BJ57="","",IF(BJ57=BH57,"falsch!!! K.Remis",IF(BH57&gt;BJ57,BD57,BF57)))</f>
        <v>Schweden</v>
      </c>
      <c r="BN57" s="1" t="str">
        <f>BP52</f>
        <v>VF4</v>
      </c>
      <c r="BO57" s="1" t="str">
        <f>BP51</f>
        <v>VF3</v>
      </c>
      <c r="BP57" s="1" t="s">
        <v>57</v>
      </c>
      <c r="BQ57" s="1"/>
      <c r="BR57" s="1"/>
      <c r="BS57" s="94"/>
      <c r="BT57" s="94"/>
      <c r="BU57" s="94"/>
      <c r="BV57" s="94"/>
      <c r="BW57" s="94"/>
      <c r="BX57" s="94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6"/>
      <c r="CQ57" s="86"/>
      <c r="CR57" s="86"/>
      <c r="CS57" s="86"/>
      <c r="CT57" s="86"/>
      <c r="CU57" s="86"/>
      <c r="CV57" s="86"/>
      <c r="CW57" s="86"/>
      <c r="CX57" s="80"/>
      <c r="CY57" s="80"/>
      <c r="CZ57" s="80"/>
    </row>
    <row r="58" spans="8:104" ht="12.75">
      <c r="H58" s="2"/>
      <c r="I58" s="2"/>
      <c r="J58" s="2"/>
      <c r="K58" s="2"/>
      <c r="M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B58" s="1"/>
      <c r="BC58" s="3"/>
      <c r="BD58" s="15"/>
      <c r="BE58" s="15"/>
      <c r="BF58" s="15"/>
      <c r="BG58" s="18"/>
      <c r="BH58" s="22"/>
      <c r="BI58" s="12"/>
      <c r="BJ58" s="22"/>
      <c r="BK58" s="50"/>
      <c r="BL58" s="1"/>
      <c r="BM58" s="65" t="str">
        <f>IF(BD56=BM56,BF56,BD56)</f>
        <v>Dänemark</v>
      </c>
      <c r="BN58" s="1"/>
      <c r="BO58" s="1"/>
      <c r="BP58" s="1" t="s">
        <v>58</v>
      </c>
      <c r="BQ58" s="1"/>
      <c r="BR58" s="1"/>
      <c r="BS58" s="94"/>
      <c r="BT58" s="94"/>
      <c r="BU58" s="94"/>
      <c r="BV58" s="94"/>
      <c r="BW58" s="94"/>
      <c r="BX58" s="94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6"/>
      <c r="CQ58" s="86"/>
      <c r="CR58" s="86"/>
      <c r="CS58" s="86"/>
      <c r="CT58" s="86"/>
      <c r="CU58" s="86"/>
      <c r="CV58" s="86"/>
      <c r="CW58" s="86"/>
      <c r="CX58" s="80"/>
      <c r="CY58" s="80"/>
      <c r="CZ58" s="80"/>
    </row>
    <row r="59" spans="2:104" ht="12.75">
      <c r="B59" s="66" t="s">
        <v>61</v>
      </c>
      <c r="C59" s="3"/>
      <c r="D59" s="11"/>
      <c r="E59" s="17"/>
      <c r="F59" s="11"/>
      <c r="G59" s="11"/>
      <c r="H59" s="26"/>
      <c r="J59" s="26"/>
      <c r="K59" s="50"/>
      <c r="M59" s="2"/>
      <c r="P59" s="1"/>
      <c r="AE59" s="95"/>
      <c r="AF59" s="100"/>
      <c r="BB59" s="66" t="s">
        <v>59</v>
      </c>
      <c r="BC59" s="3"/>
      <c r="BD59" s="11"/>
      <c r="BE59" s="17"/>
      <c r="BF59" s="11"/>
      <c r="BG59" s="11"/>
      <c r="BH59" s="26"/>
      <c r="BJ59" s="26"/>
      <c r="BK59" s="50"/>
      <c r="BM59" s="65" t="str">
        <f>IF(BD57=BM57,BF57,BD57)</f>
        <v>N'Mazedonien</v>
      </c>
      <c r="BP59" s="1" t="s">
        <v>60</v>
      </c>
      <c r="BS59" s="86"/>
      <c r="BT59" s="86"/>
      <c r="BU59" s="86"/>
      <c r="BV59" s="86"/>
      <c r="BW59" s="86"/>
      <c r="BX59" s="86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6"/>
      <c r="CQ59" s="86"/>
      <c r="CR59" s="86"/>
      <c r="CS59" s="86"/>
      <c r="CT59" s="86"/>
      <c r="CU59" s="86"/>
      <c r="CV59" s="86"/>
      <c r="CW59" s="86"/>
      <c r="CX59" s="80"/>
      <c r="CY59" s="80"/>
      <c r="CZ59" s="80"/>
    </row>
    <row r="60" spans="2:104" ht="12.75">
      <c r="B60" s="3" t="s">
        <v>19</v>
      </c>
      <c r="C60" s="3" t="s">
        <v>20</v>
      </c>
      <c r="D60" s="11"/>
      <c r="E60" s="17"/>
      <c r="F60" s="11"/>
      <c r="G60" s="11"/>
      <c r="H60" s="69"/>
      <c r="J60" s="69"/>
      <c r="K60" s="50"/>
      <c r="M60" s="2" t="s">
        <v>165</v>
      </c>
      <c r="P60" s="1"/>
      <c r="Q60" s="1"/>
      <c r="R60" s="1"/>
      <c r="S60" s="94"/>
      <c r="T60" s="94"/>
      <c r="U60" s="94"/>
      <c r="V60" s="94"/>
      <c r="W60" s="94"/>
      <c r="AE60" s="94"/>
      <c r="AF60" s="99"/>
      <c r="AG60" s="94"/>
      <c r="AH60" s="94"/>
      <c r="AO60" s="94"/>
      <c r="BB60" s="3" t="s">
        <v>19</v>
      </c>
      <c r="BC60" s="3" t="s">
        <v>20</v>
      </c>
      <c r="BD60" s="11"/>
      <c r="BE60" s="17"/>
      <c r="BF60" s="11"/>
      <c r="BG60" s="11"/>
      <c r="BH60" s="26"/>
      <c r="BJ60" s="69"/>
      <c r="BK60" s="50"/>
      <c r="BM60" s="2"/>
      <c r="BP60" s="1"/>
      <c r="BQ60" s="1"/>
      <c r="BR60" s="1"/>
      <c r="BS60" s="94"/>
      <c r="BT60" s="94"/>
      <c r="BU60" s="94"/>
      <c r="BV60" s="94"/>
      <c r="BW60" s="94"/>
      <c r="BX60" s="86"/>
      <c r="BZ60" s="86"/>
      <c r="CA60" s="86"/>
      <c r="CB60" s="86"/>
      <c r="CC60" s="86"/>
      <c r="CD60" s="86"/>
      <c r="CE60" s="94"/>
      <c r="CF60" s="99"/>
      <c r="CG60" s="94"/>
      <c r="CH60" s="94"/>
      <c r="CI60" s="86"/>
      <c r="CJ60" s="86"/>
      <c r="CK60" s="86"/>
      <c r="CL60" s="86"/>
      <c r="CM60" s="86"/>
      <c r="CN60" s="86"/>
      <c r="CO60" s="94"/>
      <c r="CP60" s="86"/>
      <c r="CQ60" s="86"/>
      <c r="CR60" s="86"/>
      <c r="CS60" s="86"/>
      <c r="CT60" s="86"/>
      <c r="CU60" s="86"/>
      <c r="CV60" s="86"/>
      <c r="CW60" s="86"/>
      <c r="CX60" s="80"/>
      <c r="CY60" s="80"/>
      <c r="CZ60" s="80"/>
    </row>
    <row r="61" spans="1:104" ht="12.75">
      <c r="A61" s="2">
        <f>BA61+1</f>
        <v>52</v>
      </c>
      <c r="B61" s="7">
        <v>44388.875</v>
      </c>
      <c r="C61" s="114" t="s">
        <v>139</v>
      </c>
      <c r="D61" s="40" t="str">
        <f>BM56</f>
        <v>Frankreich</v>
      </c>
      <c r="E61" s="24" t="s">
        <v>21</v>
      </c>
      <c r="F61" s="40" t="str">
        <f>BM57</f>
        <v>Schweden</v>
      </c>
      <c r="G61" s="18"/>
      <c r="H61" s="110">
        <f ca="1">IF($B$66="",1,IF(OR(J61&lt;1,INT(RAND()*10&lt;6)),J61+1,J61-1))</f>
        <v>2</v>
      </c>
      <c r="I61" s="12" t="s">
        <v>22</v>
      </c>
      <c r="J61" s="110">
        <f ca="1">IF($B$66="",0,INT(RAND()*5)+INT(RAND()*3)*INT(RAND()*2))</f>
        <v>3</v>
      </c>
      <c r="K61" s="8" t="s">
        <v>23</v>
      </c>
      <c r="L61" s="1"/>
      <c r="M61" s="67" t="str">
        <f>IF(J61="","",IF(J61=H61,"falsch!!! K.Remis",IF(H61&gt;J61,D61,F61)))</f>
        <v>Schweden</v>
      </c>
      <c r="N61" s="1" t="str">
        <f>BP56</f>
        <v>F1</v>
      </c>
      <c r="O61" s="1" t="str">
        <f>BP57</f>
        <v>F2</v>
      </c>
      <c r="Q61" s="1"/>
      <c r="R61" s="1"/>
      <c r="S61" s="94"/>
      <c r="T61" s="94"/>
      <c r="U61" s="94"/>
      <c r="V61" s="94"/>
      <c r="W61" s="94"/>
      <c r="AE61" s="94"/>
      <c r="AF61" s="99"/>
      <c r="AG61" s="94"/>
      <c r="AH61" s="94"/>
      <c r="AO61" s="94"/>
      <c r="BA61" s="2">
        <f>BA57+1</f>
        <v>51</v>
      </c>
      <c r="BB61" s="7">
        <v>44387.875</v>
      </c>
      <c r="BC61" s="114" t="s">
        <v>147</v>
      </c>
      <c r="BD61" s="25" t="str">
        <f>BM58</f>
        <v>Dänemark</v>
      </c>
      <c r="BE61" s="24" t="s">
        <v>21</v>
      </c>
      <c r="BF61" s="25" t="str">
        <f>BM59</f>
        <v>N'Mazedonien</v>
      </c>
      <c r="BG61" s="18"/>
      <c r="BH61" s="110">
        <f ca="1">IF($B$66="",1,IF(OR(BJ61&lt;1,INT(RAND()*10&lt;6)),BJ61+1,BJ61-1))</f>
        <v>6</v>
      </c>
      <c r="BI61" s="12" t="s">
        <v>22</v>
      </c>
      <c r="BJ61" s="110">
        <f ca="1">IF($B$66="",0,INT(RAND()*5)+INT(RAND()*3)*INT(RAND()*2))</f>
        <v>5</v>
      </c>
      <c r="BK61" s="8" t="s">
        <v>23</v>
      </c>
      <c r="BL61" s="1"/>
      <c r="BM61" s="3" t="str">
        <f>IF(BJ61="","",IF(BJ61=BH61,"falsch!!! K.Remis",IF(BH61&gt;BJ61,BD61,BF61)))</f>
        <v>Dänemark</v>
      </c>
      <c r="BN61" s="1" t="str">
        <f>BP58</f>
        <v>HF1</v>
      </c>
      <c r="BO61" s="1" t="str">
        <f>BP59</f>
        <v>HF2</v>
      </c>
      <c r="BQ61" s="1"/>
      <c r="BR61" s="1"/>
      <c r="BS61" s="94"/>
      <c r="BT61" s="94"/>
      <c r="BU61" s="94"/>
      <c r="BV61" s="94"/>
      <c r="BW61" s="94"/>
      <c r="BX61" s="86"/>
      <c r="BZ61" s="86"/>
      <c r="CA61" s="86"/>
      <c r="CB61" s="86"/>
      <c r="CC61" s="86"/>
      <c r="CD61" s="86"/>
      <c r="CE61" s="94"/>
      <c r="CF61" s="99"/>
      <c r="CG61" s="94"/>
      <c r="CH61" s="94"/>
      <c r="CI61" s="86"/>
      <c r="CJ61" s="86"/>
      <c r="CK61" s="86"/>
      <c r="CL61" s="86"/>
      <c r="CM61" s="86"/>
      <c r="CN61" s="86"/>
      <c r="CO61" s="94"/>
      <c r="CP61" s="86"/>
      <c r="CQ61" s="86"/>
      <c r="CR61" s="86"/>
      <c r="CS61" s="86"/>
      <c r="CT61" s="86"/>
      <c r="CU61" s="86"/>
      <c r="CV61" s="86"/>
      <c r="CW61" s="86"/>
      <c r="CX61" s="80"/>
      <c r="CY61" s="80"/>
      <c r="CZ61" s="80"/>
    </row>
    <row r="62" spans="8:104" ht="12.75">
      <c r="H62" s="2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D62" s="11"/>
      <c r="BE62" s="17"/>
      <c r="BF62" s="11"/>
      <c r="BG62" s="11"/>
      <c r="BH62" s="26"/>
      <c r="BJ62" s="26"/>
      <c r="BK62" s="50"/>
      <c r="BM62" s="2"/>
      <c r="BQ62" s="1"/>
      <c r="BR62" s="1"/>
      <c r="BS62" s="94"/>
      <c r="BT62" s="94"/>
      <c r="BU62" s="94"/>
      <c r="BV62" s="94"/>
      <c r="BW62" s="94"/>
      <c r="BX62" s="86"/>
      <c r="BZ62" s="86"/>
      <c r="CA62" s="86"/>
      <c r="CB62" s="86"/>
      <c r="CC62" s="86"/>
      <c r="CD62" s="86"/>
      <c r="CE62" s="94"/>
      <c r="CF62" s="99"/>
      <c r="CG62" s="94"/>
      <c r="CH62" s="94"/>
      <c r="CI62" s="86"/>
      <c r="CJ62" s="86"/>
      <c r="CK62" s="86"/>
      <c r="CL62" s="86"/>
      <c r="CM62" s="86"/>
      <c r="CN62" s="86"/>
      <c r="CO62" s="94"/>
      <c r="CP62" s="86"/>
      <c r="CQ62" s="86"/>
      <c r="CR62" s="86"/>
      <c r="CS62" s="86"/>
      <c r="CT62" s="86"/>
      <c r="CU62" s="86"/>
      <c r="CV62" s="86"/>
      <c r="CW62" s="86"/>
      <c r="CX62" s="80"/>
      <c r="CY62" s="80"/>
      <c r="CZ62" s="80"/>
    </row>
    <row r="63" spans="8:93" ht="12.75">
      <c r="H63" s="2"/>
      <c r="I63" s="2"/>
      <c r="J63" s="2"/>
      <c r="K63" s="2"/>
      <c r="M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 s="80"/>
      <c r="CH63" s="80"/>
      <c r="CI63" s="80"/>
      <c r="CJ63" s="80"/>
      <c r="CK63" s="80"/>
      <c r="CL63" s="80"/>
      <c r="CM63" s="80"/>
      <c r="CN63" s="80"/>
      <c r="CO63" s="80"/>
    </row>
    <row r="64" spans="8:93" ht="13.5" thickBot="1">
      <c r="H64" s="2"/>
      <c r="I64" s="2"/>
      <c r="J64" s="2"/>
      <c r="K64" s="2"/>
      <c r="M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2:82" ht="14.25" thickBot="1" thickTop="1">
      <c r="B65" s="76" t="s">
        <v>23</v>
      </c>
      <c r="C65" s="1" t="s">
        <v>63</v>
      </c>
      <c r="D65" s="3"/>
      <c r="E65" s="3"/>
      <c r="F65" s="3"/>
      <c r="G65" s="75"/>
      <c r="H65" s="79"/>
      <c r="AD65" s="95"/>
      <c r="BB65"/>
      <c r="BC65"/>
      <c r="BD65"/>
      <c r="BE65"/>
      <c r="BF65"/>
      <c r="BG65"/>
      <c r="BH65"/>
      <c r="BI65"/>
      <c r="BJ65"/>
      <c r="BK65"/>
      <c r="CD65" s="3"/>
    </row>
    <row r="66" spans="2:83" ht="14.25" thickBot="1" thickTop="1">
      <c r="B66" s="115" t="s">
        <v>70</v>
      </c>
      <c r="C66" s="2" t="s">
        <v>71</v>
      </c>
      <c r="E66" s="3"/>
      <c r="F66" s="3"/>
      <c r="AD66" s="95"/>
      <c r="AE66" s="86"/>
      <c r="BB66"/>
      <c r="BC66"/>
      <c r="BD66"/>
      <c r="BE66"/>
      <c r="BF66"/>
      <c r="BG66"/>
      <c r="BH66"/>
      <c r="BI66"/>
      <c r="BJ66"/>
      <c r="BK66"/>
      <c r="CD66" s="3"/>
      <c r="CE66" s="2"/>
    </row>
    <row r="67" spans="2:83" ht="14.25" thickBot="1" thickTop="1">
      <c r="B67" s="76">
        <f ca="1">IF($B$66="",1,INT(RAND()*5)+INT(RAND()*3)*INT(RAND()*2))</f>
        <v>4</v>
      </c>
      <c r="C67" s="2" t="s">
        <v>62</v>
      </c>
      <c r="E67" s="3"/>
      <c r="F67" s="3"/>
      <c r="AD67" s="95"/>
      <c r="AE67" s="86"/>
      <c r="BB67"/>
      <c r="BC67"/>
      <c r="BD67"/>
      <c r="BE67"/>
      <c r="BF67"/>
      <c r="BG67"/>
      <c r="BH67"/>
      <c r="BI67"/>
      <c r="BJ67"/>
      <c r="BK67"/>
      <c r="CD67" s="3"/>
      <c r="CE67" s="2"/>
    </row>
    <row r="68" ht="13.5" thickTop="1"/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 s="83"/>
      <c r="D74" s="80"/>
      <c r="E74" s="80"/>
      <c r="F74" s="80"/>
      <c r="G74" s="80"/>
      <c r="H74" s="80"/>
      <c r="I74" s="83"/>
      <c r="J74" s="83"/>
      <c r="K74" s="80"/>
      <c r="L74" s="80"/>
      <c r="M74" s="83"/>
      <c r="N74" s="83"/>
      <c r="O74" s="80"/>
      <c r="P74" s="80"/>
      <c r="Q74" s="83"/>
    </row>
    <row r="75" spans="1:17" ht="12.75">
      <c r="A75"/>
      <c r="B75"/>
      <c r="C75" s="80"/>
      <c r="D75" s="80"/>
      <c r="E75" s="80"/>
      <c r="F75" s="80"/>
      <c r="G75" s="80"/>
      <c r="H75" s="80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2.75">
      <c r="A77"/>
      <c r="B77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2.75">
      <c r="A78"/>
      <c r="B78"/>
      <c r="C78" s="83"/>
      <c r="D78" s="80"/>
      <c r="E78" s="80"/>
      <c r="F78" s="80"/>
      <c r="G78" s="80"/>
      <c r="H78" s="80"/>
      <c r="I78" s="83"/>
      <c r="J78" s="83"/>
      <c r="K78" s="80"/>
      <c r="L78" s="80"/>
      <c r="M78" s="83"/>
      <c r="N78" s="83"/>
      <c r="O78" s="80"/>
      <c r="P78" s="80"/>
      <c r="Q78" s="83"/>
    </row>
    <row r="79" spans="1:17" ht="12.75">
      <c r="A79"/>
      <c r="B79"/>
      <c r="C79" s="80"/>
      <c r="D79" s="80"/>
      <c r="E79" s="80"/>
      <c r="F79" s="80"/>
      <c r="G79" s="80"/>
      <c r="H79" s="80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1:17" ht="12.75">
      <c r="A81"/>
      <c r="B8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3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.75">
      <c r="A87"/>
      <c r="B87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.75">
      <c r="A88"/>
      <c r="B8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84"/>
      <c r="AJ88"/>
      <c r="AK88"/>
      <c r="AL88"/>
    </row>
    <row r="89" spans="1:38" ht="12.75">
      <c r="A89"/>
      <c r="B8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 s="84"/>
      <c r="AJ89"/>
      <c r="AK89"/>
      <c r="AL89"/>
    </row>
    <row r="90" spans="1:38" ht="12.75">
      <c r="A90"/>
      <c r="B9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/>
      <c r="S90"/>
      <c r="T90"/>
      <c r="U90"/>
      <c r="V90"/>
      <c r="W90"/>
      <c r="X90"/>
      <c r="Y90"/>
      <c r="Z90"/>
      <c r="AA90" s="84"/>
      <c r="AB90"/>
      <c r="AC90"/>
      <c r="AD90"/>
      <c r="AE90" s="84"/>
      <c r="AF90"/>
      <c r="AG90" s="84"/>
      <c r="AH90"/>
      <c r="AI90"/>
      <c r="AJ90" s="84"/>
      <c r="AK90"/>
      <c r="AL90"/>
    </row>
    <row r="91" spans="1:38" ht="12.75">
      <c r="A91"/>
      <c r="B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/>
      <c r="S91"/>
      <c r="T91"/>
      <c r="U91"/>
      <c r="V91"/>
      <c r="W91"/>
      <c r="X91"/>
      <c r="Y91"/>
      <c r="Z91"/>
      <c r="AA91" s="84"/>
      <c r="AB91" s="84"/>
      <c r="AC91" s="84"/>
      <c r="AD91"/>
      <c r="AE91" s="84"/>
      <c r="AF91"/>
      <c r="AG91" s="84"/>
      <c r="AH91"/>
      <c r="AI91" s="84"/>
      <c r="AJ91" s="84"/>
      <c r="AK91"/>
      <c r="AL91"/>
    </row>
    <row r="92" spans="1:38" ht="12.75">
      <c r="A92"/>
      <c r="B92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/>
      <c r="S92"/>
      <c r="T92"/>
      <c r="U92"/>
      <c r="V92"/>
      <c r="W92"/>
      <c r="X92"/>
      <c r="Y92"/>
      <c r="Z92"/>
      <c r="AA92" s="84"/>
      <c r="AB92" s="84"/>
      <c r="AC92" s="84"/>
      <c r="AD92"/>
      <c r="AE92"/>
      <c r="AF92"/>
      <c r="AG92" s="84"/>
      <c r="AH92"/>
      <c r="AI92" s="84"/>
      <c r="AJ92" s="84"/>
      <c r="AK92"/>
      <c r="AL92"/>
    </row>
    <row r="93" spans="1:38" ht="12.75">
      <c r="A93"/>
      <c r="B93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/>
      <c r="S93"/>
      <c r="T93"/>
      <c r="U93"/>
      <c r="V93"/>
      <c r="W93"/>
      <c r="X93"/>
      <c r="Y93"/>
      <c r="Z93"/>
      <c r="AA93" s="84"/>
      <c r="AB93" s="84"/>
      <c r="AC93" s="84"/>
      <c r="AD93"/>
      <c r="AE93"/>
      <c r="AF93"/>
      <c r="AG93" s="84"/>
      <c r="AH93"/>
      <c r="AI93" s="84"/>
      <c r="AJ93"/>
      <c r="AK93"/>
      <c r="AL93"/>
    </row>
    <row r="94" spans="1:38" ht="12.75">
      <c r="A94"/>
      <c r="B94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/>
      <c r="S94"/>
      <c r="T94"/>
      <c r="U94"/>
      <c r="V94"/>
      <c r="W94"/>
      <c r="X94"/>
      <c r="Y94"/>
      <c r="Z94"/>
      <c r="AA94" s="84"/>
      <c r="AB94"/>
      <c r="AC94"/>
      <c r="AD94"/>
      <c r="AE94"/>
      <c r="AF94"/>
      <c r="AG94"/>
      <c r="AH94"/>
      <c r="AI94" s="84"/>
      <c r="AJ94"/>
      <c r="AK94"/>
      <c r="AL94"/>
    </row>
    <row r="95" spans="1:3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84"/>
      <c r="AB95"/>
      <c r="AC95"/>
      <c r="AD95"/>
      <c r="AE95"/>
      <c r="AF95"/>
      <c r="AG95"/>
      <c r="AH95"/>
      <c r="AI95"/>
      <c r="AJ95"/>
      <c r="AK95"/>
      <c r="AL95"/>
    </row>
    <row r="96" spans="1:3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84"/>
      <c r="AB96"/>
      <c r="AC96"/>
      <c r="AD96"/>
      <c r="AE96"/>
      <c r="AF96"/>
      <c r="AG96"/>
      <c r="AH96"/>
      <c r="AI96"/>
      <c r="AJ96"/>
      <c r="AK96"/>
      <c r="AL96"/>
    </row>
    <row r="97" spans="1:3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84"/>
      <c r="AB97"/>
      <c r="AC97"/>
      <c r="AD97"/>
      <c r="AE97"/>
      <c r="AF97"/>
      <c r="AG97"/>
      <c r="AH97"/>
      <c r="AI97"/>
      <c r="AJ97"/>
      <c r="AK97"/>
      <c r="AL97"/>
    </row>
    <row r="98" spans="1:3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84"/>
      <c r="AB98"/>
      <c r="AC98"/>
      <c r="AD98"/>
      <c r="AE98"/>
      <c r="AF98"/>
      <c r="AG98"/>
      <c r="AH98"/>
      <c r="AI98"/>
      <c r="AJ98"/>
      <c r="AK98"/>
      <c r="AL98"/>
    </row>
    <row r="99" spans="1:3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84"/>
      <c r="AB99"/>
      <c r="AC99"/>
      <c r="AD99"/>
      <c r="AE99"/>
      <c r="AF99"/>
      <c r="AG99"/>
      <c r="AH99"/>
      <c r="AI99"/>
      <c r="AJ99"/>
      <c r="AK99"/>
      <c r="AL99"/>
    </row>
    <row r="100" spans="1:3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bernd</cp:lastModifiedBy>
  <cp:lastPrinted>2006-05-21T10:46:31Z</cp:lastPrinted>
  <dcterms:created xsi:type="dcterms:W3CDTF">2000-06-07T05:43:06Z</dcterms:created>
  <dcterms:modified xsi:type="dcterms:W3CDTF">2021-04-27T10:59:04Z</dcterms:modified>
  <cp:category/>
  <cp:version/>
  <cp:contentType/>
  <cp:contentStatus/>
</cp:coreProperties>
</file>