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96" windowWidth="15330" windowHeight="15990" tabRatio="597" activeTab="0"/>
  </bookViews>
  <sheets>
    <sheet name="WM2014" sheetId="1" r:id="rId1"/>
  </sheets>
  <definedNames/>
  <calcPr fullCalcOnLoad="1"/>
</workbook>
</file>

<file path=xl/sharedStrings.xml><?xml version="1.0" encoding="utf-8"?>
<sst xmlns="http://schemas.openxmlformats.org/spreadsheetml/2006/main" count="580" uniqueCount="129">
  <si>
    <t>Vorrunde</t>
  </si>
  <si>
    <t>Gruppe A</t>
  </si>
  <si>
    <t xml:space="preserve"> </t>
  </si>
  <si>
    <t>Tabelle</t>
  </si>
  <si>
    <t>P</t>
  </si>
  <si>
    <t>T+</t>
  </si>
  <si>
    <t>T-</t>
  </si>
  <si>
    <t>T+/-</t>
  </si>
  <si>
    <t>G</t>
  </si>
  <si>
    <t>Berechnungen</t>
  </si>
  <si>
    <t>L0</t>
  </si>
  <si>
    <t>DV</t>
  </si>
  <si>
    <t>S1</t>
  </si>
  <si>
    <t>L1</t>
  </si>
  <si>
    <t>DV-TD</t>
  </si>
  <si>
    <t>S2</t>
  </si>
  <si>
    <t>DV-Tore</t>
  </si>
  <si>
    <t>S3</t>
  </si>
  <si>
    <t>L4</t>
  </si>
  <si>
    <t>Punkte</t>
  </si>
  <si>
    <t>OK</t>
  </si>
  <si>
    <t>Gruppe E</t>
  </si>
  <si>
    <t>Datum/Zeit</t>
  </si>
  <si>
    <t>Spielort</t>
  </si>
  <si>
    <t>Sao Paulo</t>
  </si>
  <si>
    <t>-</t>
  </si>
  <si>
    <t>:</t>
  </si>
  <si>
    <t>ok</t>
  </si>
  <si>
    <t>Brasilia</t>
  </si>
  <si>
    <t>Natal</t>
  </si>
  <si>
    <t>Porto Allegre</t>
  </si>
  <si>
    <t>Fortaleza</t>
  </si>
  <si>
    <t>Salvador</t>
  </si>
  <si>
    <t>Manaus</t>
  </si>
  <si>
    <t>Curitiba</t>
  </si>
  <si>
    <t>1A</t>
  </si>
  <si>
    <t>L0=AD hebelt Berechnung aus (top level Losen)</t>
  </si>
  <si>
    <t>1E</t>
  </si>
  <si>
    <t>Recife</t>
  </si>
  <si>
    <t>2A</t>
  </si>
  <si>
    <t>L1=AJ hebelt Direktvergleich (S1) aus</t>
  </si>
  <si>
    <t>Rio de Janeiro</t>
  </si>
  <si>
    <t>2E</t>
  </si>
  <si>
    <t>L4=AU Losen UEFA-Koeffizient, Fairplay oder Münzwurf</t>
  </si>
  <si>
    <t>Gruppe B</t>
  </si>
  <si>
    <t>Gruppe F</t>
  </si>
  <si>
    <t>Cuiaba</t>
  </si>
  <si>
    <t>Belo Horizonte</t>
  </si>
  <si>
    <t>1B</t>
  </si>
  <si>
    <t>1F</t>
  </si>
  <si>
    <t>2B</t>
  </si>
  <si>
    <t>2F</t>
  </si>
  <si>
    <t>Gruppe C</t>
  </si>
  <si>
    <t>Gruppe G</t>
  </si>
  <si>
    <t>1C</t>
  </si>
  <si>
    <t>1G</t>
  </si>
  <si>
    <t>2C</t>
  </si>
  <si>
    <t>2G</t>
  </si>
  <si>
    <t>Gruppe D</t>
  </si>
  <si>
    <t>Gruppe H</t>
  </si>
  <si>
    <t>1D</t>
  </si>
  <si>
    <t>1H</t>
  </si>
  <si>
    <t>2D</t>
  </si>
  <si>
    <t>2H</t>
  </si>
  <si>
    <t>Achtelfinale</t>
  </si>
  <si>
    <t>Viertelfinale</t>
  </si>
  <si>
    <t>AF1</t>
  </si>
  <si>
    <t>VF3</t>
  </si>
  <si>
    <t>AF2</t>
  </si>
  <si>
    <t>VF1</t>
  </si>
  <si>
    <t>AF3</t>
  </si>
  <si>
    <t>VF4</t>
  </si>
  <si>
    <t>AF4</t>
  </si>
  <si>
    <t>VF2</t>
  </si>
  <si>
    <t>AF5</t>
  </si>
  <si>
    <t>AF6</t>
  </si>
  <si>
    <t>Halbfinale</t>
  </si>
  <si>
    <t>AF7</t>
  </si>
  <si>
    <t>F1</t>
  </si>
  <si>
    <t>AF8</t>
  </si>
  <si>
    <t>F2</t>
  </si>
  <si>
    <t>HF1</t>
  </si>
  <si>
    <t>HF2</t>
  </si>
  <si>
    <t>Finale</t>
  </si>
  <si>
    <t>Weltmeister</t>
  </si>
  <si>
    <t>Um Platz 3</t>
  </si>
  <si>
    <t>Zufallsformel</t>
  </si>
  <si>
    <t>Topf1</t>
  </si>
  <si>
    <t>M</t>
  </si>
  <si>
    <t>M-real</t>
  </si>
  <si>
    <t>Brasilien</t>
  </si>
  <si>
    <t>Argentinien</t>
  </si>
  <si>
    <t>Kolumbien</t>
  </si>
  <si>
    <t>Uruguay</t>
  </si>
  <si>
    <t>Spanien</t>
  </si>
  <si>
    <t>Deutschland</t>
  </si>
  <si>
    <t>Schweiz</t>
  </si>
  <si>
    <t>Belgien</t>
  </si>
  <si>
    <t>Topf2</t>
  </si>
  <si>
    <t>Algerien</t>
  </si>
  <si>
    <t>Elfenbeinküste</t>
  </si>
  <si>
    <t>Ghana</t>
  </si>
  <si>
    <t>Kamerun</t>
  </si>
  <si>
    <t>Nigeria</t>
  </si>
  <si>
    <t>Chile</t>
  </si>
  <si>
    <t>Ecuador</t>
  </si>
  <si>
    <t>Frankreich</t>
  </si>
  <si>
    <t>Topf3</t>
  </si>
  <si>
    <t>Australien</t>
  </si>
  <si>
    <t>Japan</t>
  </si>
  <si>
    <t>Iran</t>
  </si>
  <si>
    <t>Südkorea</t>
  </si>
  <si>
    <t>Costa Rica</t>
  </si>
  <si>
    <t>Honduras</t>
  </si>
  <si>
    <t>Mexico</t>
  </si>
  <si>
    <t>USA</t>
  </si>
  <si>
    <t>Topf4</t>
  </si>
  <si>
    <t>Bosnien-Herzg.</t>
  </si>
  <si>
    <t>England</t>
  </si>
  <si>
    <t>Griechenland</t>
  </si>
  <si>
    <t>Kroatien</t>
  </si>
  <si>
    <t>Italien</t>
  </si>
  <si>
    <t>Niederlande</t>
  </si>
  <si>
    <t>Portugal</t>
  </si>
  <si>
    <t>Russland</t>
  </si>
  <si>
    <t>SP</t>
  </si>
  <si>
    <t>ja</t>
  </si>
  <si>
    <t>Ergebnis Zufall</t>
  </si>
  <si>
    <t>Losen Zufall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</si>
</sst>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E+00"/>
    <numFmt numFmtId="176" formatCode="0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" fillId="3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4" borderId="0" xfId="0" applyFont="1" applyFill="1" applyAlignment="1" applyProtection="1">
      <alignment horizontal="left"/>
      <protection/>
    </xf>
    <xf numFmtId="0" fontId="1" fillId="5" borderId="0" xfId="0" applyFont="1" applyFill="1" applyAlignment="1" applyProtection="1">
      <alignment horizontal="left"/>
      <protection/>
    </xf>
    <xf numFmtId="0" fontId="1" fillId="6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7" borderId="0" xfId="0" applyFont="1" applyFill="1" applyAlignment="1" applyProtection="1">
      <alignment horizontal="center"/>
      <protection/>
    </xf>
    <xf numFmtId="0" fontId="1" fillId="7" borderId="0" xfId="0" applyFont="1" applyFill="1" applyAlignment="1" applyProtection="1">
      <alignment horizontal="left"/>
      <protection/>
    </xf>
    <xf numFmtId="0" fontId="1" fillId="8" borderId="0" xfId="0" applyFont="1" applyFill="1" applyAlignment="1" applyProtection="1">
      <alignment horizontal="left"/>
      <protection/>
    </xf>
    <xf numFmtId="0" fontId="1" fillId="9" borderId="0" xfId="0" applyFont="1" applyFill="1" applyAlignment="1" applyProtection="1">
      <alignment horizontal="left"/>
      <protection/>
    </xf>
    <xf numFmtId="0" fontId="1" fillId="10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11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0" fontId="0" fillId="11" borderId="0" xfId="0" applyFont="1" applyFill="1" applyAlignment="1" applyProtection="1">
      <alignment horizontal="left"/>
      <protection/>
    </xf>
    <xf numFmtId="0" fontId="5" fillId="11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4" fillId="11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/>
    </xf>
    <xf numFmtId="0" fontId="6" fillId="11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7" fillId="11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0" fontId="0" fillId="3" borderId="0" xfId="0" applyFill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1" fillId="12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1" fillId="0" borderId="2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9" fillId="11" borderId="0" xfId="0" applyFont="1" applyFill="1" applyAlignment="1" applyProtection="1">
      <alignment horizontal="left"/>
      <protection/>
    </xf>
    <xf numFmtId="0" fontId="8" fillId="11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 applyProtection="1">
      <alignment horizontal="left"/>
      <protection/>
    </xf>
    <xf numFmtId="0" fontId="0" fillId="9" borderId="0" xfId="0" applyFont="1" applyFill="1" applyAlignment="1" applyProtection="1">
      <alignment horizontal="left"/>
      <protection/>
    </xf>
    <xf numFmtId="0" fontId="1" fillId="10" borderId="0" xfId="0" applyFont="1" applyFill="1" applyAlignment="1" applyProtection="1">
      <alignment/>
      <protection/>
    </xf>
    <xf numFmtId="0" fontId="1" fillId="10" borderId="0" xfId="0" applyFont="1" applyFill="1" applyAlignment="1" applyProtection="1">
      <alignment horizontal="center"/>
      <protection/>
    </xf>
    <xf numFmtId="0" fontId="1" fillId="12" borderId="0" xfId="0" applyFont="1" applyFill="1" applyAlignment="1" applyProtection="1">
      <alignment horizontal="center"/>
      <protection/>
    </xf>
    <xf numFmtId="0" fontId="1" fillId="1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8" borderId="0" xfId="0" applyFont="1" applyFill="1" applyAlignment="1" applyProtection="1">
      <alignment horizontal="center"/>
      <protection/>
    </xf>
    <xf numFmtId="0" fontId="1" fillId="8" borderId="0" xfId="0" applyFont="1" applyFill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 horizontal="center"/>
      <protection locked="0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23"/>
  <sheetViews>
    <sheetView tabSelected="1" workbookViewId="0" topLeftCell="A1">
      <selection activeCell="H1" sqref="H1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5" customWidth="1"/>
    <col min="9" max="9" width="1.57421875" style="15" customWidth="1"/>
    <col min="10" max="10" width="3.57421875" style="15" customWidth="1"/>
    <col min="11" max="11" width="3.00390625" style="9" customWidth="1"/>
    <col min="12" max="12" width="2.00390625" style="2" customWidth="1"/>
    <col min="13" max="13" width="14.28125" style="11" customWidth="1"/>
    <col min="14" max="17" width="4.28125" style="2" customWidth="1"/>
    <col min="18" max="18" width="3.8515625" style="2" customWidth="1"/>
    <col min="19" max="22" width="2.00390625" style="77" hidden="1" customWidth="1"/>
    <col min="23" max="23" width="1.7109375" style="77" hidden="1" customWidth="1"/>
    <col min="24" max="24" width="3.00390625" style="77" hidden="1" customWidth="1"/>
    <col min="25" max="25" width="14.28125" style="77" hidden="1" customWidth="1"/>
    <col min="26" max="26" width="2.28125" style="2" hidden="1" customWidth="1"/>
    <col min="27" max="27" width="3.28125" style="2" hidden="1" customWidth="1"/>
    <col min="28" max="28" width="3.00390625" style="2" hidden="1" customWidth="1"/>
    <col min="29" max="29" width="4.421875" style="2" hidden="1" customWidth="1"/>
    <col min="30" max="30" width="19.28125" style="2" hidden="1" customWidth="1"/>
    <col min="31" max="31" width="3.140625" style="10" hidden="1" customWidth="1"/>
    <col min="32" max="32" width="3.57421875" style="2" hidden="1" customWidth="1"/>
    <col min="33" max="36" width="2.8515625" style="2" hidden="1" customWidth="1"/>
    <col min="37" max="37" width="3.140625" style="2" hidden="1" customWidth="1"/>
    <col min="38" max="38" width="6.421875" style="2" hidden="1" customWidth="1"/>
    <col min="39" max="42" width="2.8515625" style="2" hidden="1" customWidth="1"/>
    <col min="43" max="43" width="7.7109375" style="2" hidden="1" customWidth="1"/>
    <col min="44" max="47" width="3.00390625" style="2" hidden="1" customWidth="1"/>
    <col min="48" max="48" width="3.140625" style="2" hidden="1" customWidth="1"/>
    <col min="49" max="49" width="11.421875" style="2" hidden="1" customWidth="1"/>
    <col min="50" max="51" width="11.421875" style="1" hidden="1" customWidth="1"/>
    <col min="52" max="52" width="11.421875" style="2" hidden="1" customWidth="1"/>
    <col min="53" max="53" width="3.57421875" style="2" customWidth="1"/>
    <col min="54" max="54" width="15.28125" style="2" customWidth="1"/>
    <col min="55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5" customWidth="1"/>
    <col min="61" max="61" width="1.57421875" style="15" customWidth="1"/>
    <col min="62" max="62" width="3.57421875" style="15" customWidth="1"/>
    <col min="63" max="63" width="3.00390625" style="9" customWidth="1"/>
    <col min="64" max="64" width="2.00390625" style="2" customWidth="1"/>
    <col min="65" max="65" width="14.28125" style="11" customWidth="1"/>
    <col min="66" max="69" width="4.28125" style="2" customWidth="1"/>
    <col min="70" max="70" width="3.8515625" style="2" customWidth="1"/>
    <col min="71" max="74" width="2.00390625" style="77" hidden="1" customWidth="1"/>
    <col min="75" max="75" width="1.7109375" style="77" hidden="1" customWidth="1"/>
    <col min="76" max="76" width="3.00390625" style="77" hidden="1" customWidth="1"/>
    <col min="77" max="77" width="14.28125" style="77" hidden="1" customWidth="1"/>
    <col min="78" max="78" width="2.28125" style="2" hidden="1" customWidth="1"/>
    <col min="79" max="79" width="3.28125" style="2" hidden="1" customWidth="1"/>
    <col min="80" max="80" width="3.00390625" style="2" hidden="1" customWidth="1"/>
    <col min="81" max="81" width="4.421875" style="2" hidden="1" customWidth="1"/>
    <col min="82" max="82" width="19.28125" style="2" hidden="1" customWidth="1"/>
    <col min="83" max="83" width="3.140625" style="10" hidden="1" customWidth="1"/>
    <col min="84" max="84" width="3.57421875" style="2" hidden="1" customWidth="1"/>
    <col min="85" max="88" width="2.8515625" style="2" hidden="1" customWidth="1"/>
    <col min="89" max="89" width="3.140625" style="2" hidden="1" customWidth="1"/>
    <col min="90" max="90" width="6.421875" style="2" hidden="1" customWidth="1"/>
    <col min="91" max="94" width="2.8515625" style="2" hidden="1" customWidth="1"/>
    <col min="95" max="95" width="7.7109375" style="2" hidden="1" customWidth="1"/>
    <col min="96" max="99" width="3.00390625" style="2" hidden="1" customWidth="1"/>
    <col min="100" max="100" width="3.140625" style="2" hidden="1" customWidth="1"/>
    <col min="101" max="104" width="0" style="2" hidden="1" customWidth="1"/>
    <col min="105" max="16384" width="11.421875" style="2" customWidth="1"/>
  </cols>
  <sheetData>
    <row r="1" spans="1:101" s="12" customFormat="1" ht="14.25" thickBot="1" thickTop="1">
      <c r="A1" s="12" t="s">
        <v>125</v>
      </c>
      <c r="B1" s="39" t="s">
        <v>0</v>
      </c>
      <c r="C1" s="36" t="s">
        <v>1</v>
      </c>
      <c r="D1" s="75" t="s">
        <v>2</v>
      </c>
      <c r="E1" s="76"/>
      <c r="F1" s="75"/>
      <c r="G1" s="110"/>
      <c r="H1" s="111"/>
      <c r="I1" s="24"/>
      <c r="J1" s="25"/>
      <c r="K1" s="26"/>
      <c r="L1" s="22"/>
      <c r="M1" s="48" t="s">
        <v>3</v>
      </c>
      <c r="N1" s="22" t="s">
        <v>4</v>
      </c>
      <c r="O1" s="22" t="s">
        <v>5</v>
      </c>
      <c r="P1" s="22" t="s">
        <v>6</v>
      </c>
      <c r="Q1" s="22" t="s">
        <v>7</v>
      </c>
      <c r="R1" s="22"/>
      <c r="S1" s="77"/>
      <c r="T1" s="77"/>
      <c r="U1" s="77"/>
      <c r="V1" s="77"/>
      <c r="W1" s="75"/>
      <c r="X1" s="75" t="s">
        <v>8</v>
      </c>
      <c r="Y1" s="78" t="s">
        <v>9</v>
      </c>
      <c r="Z1" s="22" t="s">
        <v>4</v>
      </c>
      <c r="AA1" s="22" t="s">
        <v>5</v>
      </c>
      <c r="AB1" s="22" t="s">
        <v>6</v>
      </c>
      <c r="AC1" s="22" t="s">
        <v>7</v>
      </c>
      <c r="AD1" s="22"/>
      <c r="AE1" s="26" t="s">
        <v>10</v>
      </c>
      <c r="AF1" s="20" t="s">
        <v>11</v>
      </c>
      <c r="AG1" s="20"/>
      <c r="AH1" s="20"/>
      <c r="AI1" s="20"/>
      <c r="AJ1" s="20" t="s">
        <v>12</v>
      </c>
      <c r="AK1" s="27" t="s">
        <v>13</v>
      </c>
      <c r="AL1" s="20" t="s">
        <v>14</v>
      </c>
      <c r="AM1" s="20"/>
      <c r="AN1" s="20"/>
      <c r="AO1" s="20"/>
      <c r="AP1" s="20" t="s">
        <v>15</v>
      </c>
      <c r="AQ1" s="20" t="s">
        <v>16</v>
      </c>
      <c r="AR1" s="20"/>
      <c r="AS1" s="20"/>
      <c r="AT1" s="20"/>
      <c r="AU1" s="21" t="s">
        <v>17</v>
      </c>
      <c r="AV1" s="27" t="s">
        <v>18</v>
      </c>
      <c r="AW1" s="30"/>
      <c r="AX1" s="22" t="s">
        <v>19</v>
      </c>
      <c r="AY1" s="22" t="s">
        <v>20</v>
      </c>
      <c r="BA1" s="12" t="s">
        <v>125</v>
      </c>
      <c r="BB1" s="104" t="s">
        <v>0</v>
      </c>
      <c r="BC1" s="23" t="s">
        <v>21</v>
      </c>
      <c r="BD1" s="75"/>
      <c r="BE1" s="76"/>
      <c r="BF1" s="75"/>
      <c r="BG1" s="75"/>
      <c r="BH1" s="25"/>
      <c r="BI1" s="24"/>
      <c r="BJ1" s="25"/>
      <c r="BK1" s="26"/>
      <c r="BL1" s="22"/>
      <c r="BM1" s="48" t="s">
        <v>3</v>
      </c>
      <c r="BN1" s="22" t="s">
        <v>4</v>
      </c>
      <c r="BO1" s="22" t="s">
        <v>5</v>
      </c>
      <c r="BP1" s="22" t="s">
        <v>6</v>
      </c>
      <c r="BQ1" s="22" t="s">
        <v>7</v>
      </c>
      <c r="BR1" s="22"/>
      <c r="BS1" s="77"/>
      <c r="BT1" s="77"/>
      <c r="BU1" s="77"/>
      <c r="BV1" s="77"/>
      <c r="BW1" s="75"/>
      <c r="BX1" s="75" t="s">
        <v>8</v>
      </c>
      <c r="BY1" s="78" t="s">
        <v>9</v>
      </c>
      <c r="BZ1" s="22" t="s">
        <v>4</v>
      </c>
      <c r="CA1" s="22" t="s">
        <v>5</v>
      </c>
      <c r="CB1" s="22" t="s">
        <v>6</v>
      </c>
      <c r="CC1" s="22" t="s">
        <v>7</v>
      </c>
      <c r="CD1" s="22"/>
      <c r="CE1" s="26" t="s">
        <v>10</v>
      </c>
      <c r="CF1" s="20" t="s">
        <v>11</v>
      </c>
      <c r="CG1" s="20"/>
      <c r="CH1" s="20"/>
      <c r="CI1" s="20"/>
      <c r="CJ1" s="20" t="s">
        <v>12</v>
      </c>
      <c r="CK1" s="27" t="s">
        <v>13</v>
      </c>
      <c r="CL1" s="20" t="s">
        <v>14</v>
      </c>
      <c r="CM1" s="20"/>
      <c r="CN1" s="20"/>
      <c r="CO1" s="20"/>
      <c r="CP1" s="20" t="s">
        <v>15</v>
      </c>
      <c r="CQ1" s="20" t="s">
        <v>16</v>
      </c>
      <c r="CR1" s="20"/>
      <c r="CS1" s="20"/>
      <c r="CT1" s="20"/>
      <c r="CU1" s="21" t="s">
        <v>17</v>
      </c>
      <c r="CV1" s="27" t="s">
        <v>18</v>
      </c>
      <c r="CW1" s="30"/>
    </row>
    <row r="2" spans="2:101" ht="13.5" thickTop="1">
      <c r="B2" s="3" t="s">
        <v>22</v>
      </c>
      <c r="C2" s="3" t="s">
        <v>23</v>
      </c>
      <c r="D2" s="77"/>
      <c r="E2" s="77"/>
      <c r="F2" s="77"/>
      <c r="G2" s="77"/>
      <c r="L2" s="1"/>
      <c r="M2" s="11" t="str">
        <f>VLOOKUP(1,$X$2:$AC$5,2,FALSE)</f>
        <v>Brasilien</v>
      </c>
      <c r="N2" s="2">
        <f>VLOOKUP(1,$X$2:$AC$5,3,FALSE)</f>
        <v>7</v>
      </c>
      <c r="O2" s="2">
        <f>VLOOKUP(1,$X$2:$AC$5,4,FALSE)</f>
        <v>13</v>
      </c>
      <c r="P2" s="2">
        <f>VLOOKUP(1,$X$2:$AC$5,5,FALSE)</f>
        <v>9</v>
      </c>
      <c r="Q2" s="2">
        <f>VLOOKUP(1,$X$2:$AC$5,6,FALSE)</f>
        <v>4</v>
      </c>
      <c r="S2" s="83"/>
      <c r="T2" s="84">
        <f>IF(H3="",0,IF(K3=$B$57,IF(H3&gt;J3,3,IF(H3=J3,1,0)),0))</f>
        <v>1</v>
      </c>
      <c r="U2" s="84">
        <f>IF(H5="",0,IF(K5=$B$57,IF(H5&gt;J5,3,IF(H5=J5,1,0)),0))</f>
        <v>3</v>
      </c>
      <c r="V2" s="84">
        <f>IF(J7="",0,IF(K8=$B$57,IF(H7&lt;J7,3,IF(H7=J7,1,0)),0))</f>
        <v>3</v>
      </c>
      <c r="W2" s="85"/>
      <c r="X2" s="85">
        <f>RANK(AD2,$AD$2:$AD$5)</f>
        <v>1</v>
      </c>
      <c r="Y2" s="86" t="str">
        <f>B65</f>
        <v>Brasilien</v>
      </c>
      <c r="Z2" s="1">
        <f>SUM(S2:V2)</f>
        <v>7</v>
      </c>
      <c r="AA2" s="1">
        <f>SUM(S6:V6)</f>
        <v>13</v>
      </c>
      <c r="AB2" s="1">
        <f>SUM(S6:S9)</f>
        <v>9</v>
      </c>
      <c r="AC2" s="1">
        <f>AA2-AB2</f>
        <v>4</v>
      </c>
      <c r="AD2" s="31">
        <f>IF(P$8="",AE2*10000000000000000+Z2*100000000000000+AC2*1000000000000+AA2*10000000000+AK2*100000000+AJ2*1000000+AP2*10000+AU2*100+AV2,AE2*10000000000000000+Z2*100000000000000+AK2*1000000000000+AJ2*10000000000+AP2*100000000+AU2*1000000+AC2*10000+AA2*100+AV2)</f>
        <v>704130000000004</v>
      </c>
      <c r="AE2" s="5"/>
      <c r="AF2" s="32"/>
      <c r="AG2" s="32">
        <f>IF($Z2=$Z3,$T2-$S3,0)</f>
        <v>0</v>
      </c>
      <c r="AH2" s="32">
        <f>IF($Z2=$Z4,$U2-$S4,0)</f>
        <v>0</v>
      </c>
      <c r="AI2" s="32">
        <f>IF($Z2=$Z5,$V2-$S5,0)</f>
        <v>0</v>
      </c>
      <c r="AJ2" s="32">
        <f>SUM(AF2:AI2)</f>
        <v>0</v>
      </c>
      <c r="AK2" s="5"/>
      <c r="AL2" s="32"/>
      <c r="AM2" s="32">
        <f>IF($Z2=$Z3,$T6-$S7,0)</f>
        <v>0</v>
      </c>
      <c r="AN2" s="32">
        <f>IF($Z2=$Z4,$U6-$S8,0)</f>
        <v>0</v>
      </c>
      <c r="AO2" s="32">
        <f>IF($Z2=$Z5,$V6-$S9,0)</f>
        <v>0</v>
      </c>
      <c r="AP2" s="32">
        <f>SUM(AL2:AO2)</f>
        <v>0</v>
      </c>
      <c r="AQ2" s="32"/>
      <c r="AR2" s="32">
        <f>IF($Z2=$Z3,$T6,0)</f>
        <v>0</v>
      </c>
      <c r="AS2" s="32">
        <f>IF($Z2=$Z4,$U6,0)</f>
        <v>0</v>
      </c>
      <c r="AT2" s="32">
        <f>IF($Z2=$Z5,$V6,0)</f>
        <v>0</v>
      </c>
      <c r="AU2" s="32">
        <f>SUM(AQ2:AT2)</f>
        <v>0</v>
      </c>
      <c r="AV2" s="5">
        <v>4</v>
      </c>
      <c r="AW2" s="31"/>
      <c r="BB2" s="3" t="s">
        <v>22</v>
      </c>
      <c r="BC2" s="3" t="s">
        <v>23</v>
      </c>
      <c r="BD2" s="77"/>
      <c r="BE2" s="77"/>
      <c r="BF2" s="77"/>
      <c r="BG2" s="77"/>
      <c r="BL2" s="1"/>
      <c r="BM2" s="11" t="str">
        <f>VLOOKUP(1,$BX$2:$CC$5,2,FALSE)</f>
        <v>Südkorea</v>
      </c>
      <c r="BN2" s="2">
        <f>VLOOKUP(1,$BX$2:$CC$5,3,FALSE)</f>
        <v>5</v>
      </c>
      <c r="BO2" s="2">
        <f>VLOOKUP(1,$BX$2:$CC$5,4,FALSE)</f>
        <v>8</v>
      </c>
      <c r="BP2" s="2">
        <f>VLOOKUP(1,$BX$2:$CC$5,5,FALSE)</f>
        <v>7</v>
      </c>
      <c r="BQ2" s="2">
        <f>VLOOKUP(1,$BX$2:$CC$5,6,FALSE)</f>
        <v>1</v>
      </c>
      <c r="BS2" s="83"/>
      <c r="BT2" s="84">
        <f>IF(BH3="",0,IF(BK3=$B$57,IF(BH3&gt;BJ3,3,IF(BH3=BJ3,1,0)),0))</f>
        <v>3</v>
      </c>
      <c r="BU2" s="84">
        <f>IF(BH5="",0,IF(BK5=$B$57,IF(BH5&gt;BJ5,3,IF(BH5=BJ5,1,0)),0))</f>
        <v>0</v>
      </c>
      <c r="BV2" s="84">
        <f>IF(BJ7="",0,IF(BK8=$B$57,IF(BH7&lt;BJ7,3,IF(BH7=BJ7,1,0)),0))</f>
        <v>0</v>
      </c>
      <c r="BW2" s="85"/>
      <c r="BX2" s="85">
        <f>RANK(CD2,$CD$2:$CD$5)</f>
        <v>4</v>
      </c>
      <c r="BY2" s="86" t="str">
        <f>B69</f>
        <v>Belgien</v>
      </c>
      <c r="BZ2" s="1">
        <f>SUM(BS2:BV2)</f>
        <v>3</v>
      </c>
      <c r="CA2" s="1">
        <f>SUM(BS6:BV6)</f>
        <v>6</v>
      </c>
      <c r="CB2" s="1">
        <f>SUM(BS6:BS9)</f>
        <v>5</v>
      </c>
      <c r="CC2" s="1">
        <f>CA2-CB2</f>
        <v>1</v>
      </c>
      <c r="CD2" s="31">
        <f>IF(BP$8="",CE2*10000000000000000+BZ2*100000000000000+CC2*1000000000000+CA2*10000000000+CK2*100000000+CJ2*1000000+CP2*10000+CU2*100+CV2,CE2*10000000000000000+BZ2*100000000000000+CK2*1000000000000+CJ2*10000000000+CP2*100000000+CU2*1000000+CC2*10000+CA2*100+CV2)</f>
        <v>301060000000004</v>
      </c>
      <c r="CE2" s="5"/>
      <c r="CF2" s="32"/>
      <c r="CG2" s="32">
        <f>IF($BZ2=$BZ3,$BT2-$BS3,0)</f>
        <v>0</v>
      </c>
      <c r="CH2" s="32">
        <f>IF($BZ2=$BZ4,$BU2-$BS4,0)</f>
        <v>0</v>
      </c>
      <c r="CI2" s="32">
        <f>IF($BZ2=$BZ5,$BV2-$BS5,0)</f>
        <v>0</v>
      </c>
      <c r="CJ2" s="32">
        <f>SUM(CF2:CI2)</f>
        <v>0</v>
      </c>
      <c r="CK2" s="5"/>
      <c r="CL2" s="32"/>
      <c r="CM2" s="32">
        <f>IF($BZ2=$BZ3,$BT6-$BS7,0)</f>
        <v>0</v>
      </c>
      <c r="CN2" s="32">
        <f>IF($BZ2=$BZ4,$BU6-$BS8,0)</f>
        <v>0</v>
      </c>
      <c r="CO2" s="32">
        <f>IF($BZ2=$BZ5,$BV6-$BS9,0)</f>
        <v>0</v>
      </c>
      <c r="CP2" s="32">
        <f>SUM(CL2:CO2)</f>
        <v>0</v>
      </c>
      <c r="CQ2" s="32"/>
      <c r="CR2" s="32">
        <f>IF($BZ2=$BZ3,$BT6,0)</f>
        <v>0</v>
      </c>
      <c r="CS2" s="32">
        <f>IF($BZ2=$BZ4,$BU6,0)</f>
        <v>0</v>
      </c>
      <c r="CT2" s="32">
        <f>IF($BZ2=$BZ5,$BV6,0)</f>
        <v>0</v>
      </c>
      <c r="CU2" s="32">
        <f>SUM(CQ2:CT2)</f>
        <v>0</v>
      </c>
      <c r="CV2" s="5">
        <v>4</v>
      </c>
      <c r="CW2" s="31"/>
    </row>
    <row r="3" spans="1:101" ht="12.75">
      <c r="A3" s="2">
        <v>1</v>
      </c>
      <c r="B3" s="7">
        <v>41802.916666666664</v>
      </c>
      <c r="C3" s="4" t="s">
        <v>24</v>
      </c>
      <c r="D3" s="78" t="str">
        <f>Y2</f>
        <v>Brasilien</v>
      </c>
      <c r="E3" s="58" t="s">
        <v>25</v>
      </c>
      <c r="F3" s="78" t="str">
        <f>Y3</f>
        <v>Kamerun</v>
      </c>
      <c r="G3" s="75"/>
      <c r="H3" s="79">
        <f ca="1">IF($B$58="",1,INT(RAND()*5)+INT(RAND()*3)*INT(RAND()*2))</f>
        <v>4</v>
      </c>
      <c r="I3" s="13" t="s">
        <v>26</v>
      </c>
      <c r="J3" s="79">
        <f ca="1">IF($B$58="",0,INT(RAND()*5)+INT(RAND()*3)*INT(RAND()*2))</f>
        <v>4</v>
      </c>
      <c r="K3" s="9" t="s">
        <v>27</v>
      </c>
      <c r="L3" s="1"/>
      <c r="M3" s="11" t="str">
        <f>VLOOKUP(2,$X$2:$AC$5,2,FALSE)</f>
        <v>Mexico</v>
      </c>
      <c r="N3" s="2">
        <f>VLOOKUP(2,$X$2:$AC$5,3,FALSE)</f>
        <v>6</v>
      </c>
      <c r="O3" s="2">
        <f>VLOOKUP(2,$X$2:$AC$5,4,FALSE)</f>
        <v>13</v>
      </c>
      <c r="P3" s="2">
        <f>VLOOKUP(2,$X$2:$AC$5,5,FALSE)</f>
        <v>12</v>
      </c>
      <c r="Q3" s="2">
        <f>VLOOKUP(2,$X$2:$AC$5,6,FALSE)</f>
        <v>1</v>
      </c>
      <c r="S3" s="84">
        <f>IF(J3="",0,IF(K3=$B$57,IF(H3&lt;J3,3,IF(H3=J3,1,0)),0))</f>
        <v>1</v>
      </c>
      <c r="T3" s="83"/>
      <c r="U3" s="84">
        <f>IF(H8="",0,IF(K7=$B$57,IF(H8&gt;J8,3,IF(H8=J8,1,0)),0))</f>
        <v>0</v>
      </c>
      <c r="V3" s="84">
        <f>IF(J6="",0,IF(K6=$B$57,IF(J6&gt;H6,3,IF(J6=H6,1,0)),0))</f>
        <v>3</v>
      </c>
      <c r="W3" s="85"/>
      <c r="X3" s="85">
        <f>RANK(AD3,$AD$2:$AD$5)</f>
        <v>3</v>
      </c>
      <c r="Y3" s="86" t="str">
        <f>B75</f>
        <v>Kamerun</v>
      </c>
      <c r="Z3" s="1">
        <f>SUM(S3:V3)</f>
        <v>4</v>
      </c>
      <c r="AA3" s="1">
        <f>SUM(S7:V7)</f>
        <v>13</v>
      </c>
      <c r="AB3" s="1">
        <f>SUM(T6:T9)</f>
        <v>11</v>
      </c>
      <c r="AC3" s="1">
        <f>AA3-AB3</f>
        <v>2</v>
      </c>
      <c r="AD3" s="31">
        <f>IF(P$8="",AE3*10000000000000000+Z3*100000000000000+AC3*1000000000000+AA3*10000000000+AK3*100000000+AJ3*1000000+AP3*10000+AU3*100+AV3,AE3*10000000000000000+Z3*100000000000000+AK3*1000000000000+AJ3*10000000000+AP3*100000000+AU3*1000000+AC3*10000+AA3*100+AV3)</f>
        <v>402130000000003</v>
      </c>
      <c r="AE3" s="5"/>
      <c r="AF3" s="32">
        <f>IF($Z3=$Z2,$S3-$T2,0)</f>
        <v>0</v>
      </c>
      <c r="AG3" s="32"/>
      <c r="AH3" s="32">
        <f>IF($Z3=$Z4,$U3-$T4,0)</f>
        <v>0</v>
      </c>
      <c r="AI3" s="32">
        <f>IF($Z3=$Z5,$V3-$T5,0)</f>
        <v>0</v>
      </c>
      <c r="AJ3" s="32">
        <f>SUM(AF3:AI3)</f>
        <v>0</v>
      </c>
      <c r="AK3" s="5"/>
      <c r="AL3" s="32">
        <f>IF($Z3=$Z2,$S7-$T6,0)</f>
        <v>0</v>
      </c>
      <c r="AM3" s="32"/>
      <c r="AN3" s="32">
        <f>IF($Z3=$Z4,$U7-$T8,0)</f>
        <v>0</v>
      </c>
      <c r="AO3" s="32">
        <f>IF($Z3=$Z5,$V7-$T9,0)</f>
        <v>0</v>
      </c>
      <c r="AP3" s="32">
        <f>SUM(AL3:AO3)</f>
        <v>0</v>
      </c>
      <c r="AQ3" s="32">
        <f>IF($Z3=$Z2,$S7,0)</f>
        <v>0</v>
      </c>
      <c r="AR3" s="32"/>
      <c r="AS3" s="32">
        <f>IF($Z3=$Z4,$U7,0)</f>
        <v>0</v>
      </c>
      <c r="AT3" s="32">
        <f>IF($Z3=$Z5,$V7,0)</f>
        <v>0</v>
      </c>
      <c r="AU3" s="32">
        <f>SUM(AQ3:AT3)</f>
        <v>0</v>
      </c>
      <c r="AV3" s="5">
        <v>3</v>
      </c>
      <c r="AW3" s="31"/>
      <c r="BA3" s="2">
        <f>A33+2</f>
        <v>9</v>
      </c>
      <c r="BB3" s="7">
        <v>41805.75</v>
      </c>
      <c r="BC3" s="4" t="s">
        <v>28</v>
      </c>
      <c r="BD3" s="78" t="str">
        <f>BY2</f>
        <v>Belgien</v>
      </c>
      <c r="BE3" s="58" t="s">
        <v>25</v>
      </c>
      <c r="BF3" s="78" t="str">
        <f>BY3</f>
        <v>Elfenbeinküste</v>
      </c>
      <c r="BG3" s="75"/>
      <c r="BH3" s="79">
        <f ca="1">IF($B$58="",1,INT(RAND()*5)+INT(RAND()*3)*INT(RAND()*2))</f>
        <v>3</v>
      </c>
      <c r="BI3" s="13" t="s">
        <v>26</v>
      </c>
      <c r="BJ3" s="79">
        <f ca="1">IF($B$58="",0,INT(RAND()*5)+INT(RAND()*3)*INT(RAND()*2))</f>
        <v>0</v>
      </c>
      <c r="BK3" s="9" t="s">
        <v>27</v>
      </c>
      <c r="BL3" s="1"/>
      <c r="BM3" s="11" t="str">
        <f>VLOOKUP(2,$BX$2:$CC$5,2,FALSE)</f>
        <v>Elfenbeinküste</v>
      </c>
      <c r="BN3" s="2">
        <f>VLOOKUP(2,$BX$2:$CC$5,3,FALSE)</f>
        <v>4</v>
      </c>
      <c r="BO3" s="2">
        <f>VLOOKUP(2,$BX$2:$CC$5,4,FALSE)</f>
        <v>7</v>
      </c>
      <c r="BP3" s="2">
        <f>VLOOKUP(2,$BX$2:$CC$5,5,FALSE)</f>
        <v>7</v>
      </c>
      <c r="BQ3" s="2">
        <f>VLOOKUP(2,$BX$2:$CC$5,6,FALSE)</f>
        <v>0</v>
      </c>
      <c r="BS3" s="84">
        <f>IF(BJ3="",0,IF(BK3=$B$57,IF(BH3&lt;BJ3,3,IF(BH3=BJ3,1,0)),0))</f>
        <v>0</v>
      </c>
      <c r="BT3" s="83"/>
      <c r="BU3" s="84">
        <f>IF(BH8="",0,IF(BK7=$B$57,IF(BH8&gt;BJ8,3,IF(BH8=BJ8,1,0)),0))</f>
        <v>1</v>
      </c>
      <c r="BV3" s="84">
        <f>IF(BJ6="",0,IF(BK6=$B$57,IF(BJ6&gt;BH6,3,IF(BJ6=BH6,1,0)),0))</f>
        <v>3</v>
      </c>
      <c r="BW3" s="85"/>
      <c r="BX3" s="85">
        <f>RANK(CD3,$CD$2:$CD$5)</f>
        <v>2</v>
      </c>
      <c r="BY3" s="86" t="str">
        <f>B79</f>
        <v>Elfenbeinküste</v>
      </c>
      <c r="BZ3" s="1">
        <f>SUM(BS3:BV3)</f>
        <v>4</v>
      </c>
      <c r="CA3" s="1">
        <f>SUM(BS7:BV7)</f>
        <v>7</v>
      </c>
      <c r="CB3" s="1">
        <f>SUM(BT6:BT9)</f>
        <v>7</v>
      </c>
      <c r="CC3" s="1">
        <f>CA3-CB3</f>
        <v>0</v>
      </c>
      <c r="CD3" s="31">
        <f>IF(BP$8="",CE3*10000000000000000+BZ3*100000000000000+CC3*1000000000000+CA3*10000000000+CK3*100000000+CJ3*1000000+CP3*10000+CU3*100+CV3,CE3*10000000000000000+BZ3*100000000000000+CK3*1000000000000+CJ3*10000000000+CP3*100000000+CU3*1000000+CC3*10000+CA3*100+CV3)</f>
        <v>400070003030403</v>
      </c>
      <c r="CE3" s="5"/>
      <c r="CF3" s="32">
        <f>IF($BZ3=$BZ2,$BS3-$BT2,0)</f>
        <v>0</v>
      </c>
      <c r="CG3" s="32"/>
      <c r="CH3" s="32">
        <f>IF($BZ3=$BZ4,$BU3-$BT4,0)</f>
        <v>0</v>
      </c>
      <c r="CI3" s="32">
        <f>IF($BZ3=$BZ5,$BV3-$BT5,0)</f>
        <v>3</v>
      </c>
      <c r="CJ3" s="32">
        <f>SUM(CF3:CI3)</f>
        <v>3</v>
      </c>
      <c r="CK3" s="5"/>
      <c r="CL3" s="32">
        <f>IF($BZ3=$BZ2,$BS7-$BT6,0)</f>
        <v>0</v>
      </c>
      <c r="CM3" s="32"/>
      <c r="CN3" s="32">
        <f>IF($BZ3=$BZ4,$BU7-$BT8,0)</f>
        <v>0</v>
      </c>
      <c r="CO3" s="32">
        <f>IF($BZ3=$BZ5,$BV7-$BT9,0)</f>
        <v>3</v>
      </c>
      <c r="CP3" s="32">
        <f>SUM(CL3:CO3)</f>
        <v>3</v>
      </c>
      <c r="CQ3" s="32">
        <f>IF($BZ3=$BZ2,$BS7,0)</f>
        <v>0</v>
      </c>
      <c r="CR3" s="32"/>
      <c r="CS3" s="32">
        <f>IF($BZ3=$BZ4,$BU7,0)</f>
        <v>0</v>
      </c>
      <c r="CT3" s="32">
        <f>IF($BZ3=$BZ5,$BV7,0)</f>
        <v>4</v>
      </c>
      <c r="CU3" s="32">
        <f>SUM(CQ3:CT3)</f>
        <v>4</v>
      </c>
      <c r="CV3" s="5">
        <v>3</v>
      </c>
      <c r="CW3" s="31"/>
    </row>
    <row r="4" spans="1:101" ht="12.75">
      <c r="A4" s="2">
        <f>A3+1</f>
        <v>2</v>
      </c>
      <c r="B4" s="7">
        <v>41803.75</v>
      </c>
      <c r="C4" s="4" t="s">
        <v>29</v>
      </c>
      <c r="D4" s="78" t="str">
        <f>Y4</f>
        <v>Mexico</v>
      </c>
      <c r="E4" s="58" t="s">
        <v>25</v>
      </c>
      <c r="F4" s="78" t="str">
        <f>Y5</f>
        <v>Russland</v>
      </c>
      <c r="G4" s="75"/>
      <c r="H4" s="80">
        <f ca="1">IF($B$58="",1,INT(RAND()*5)+INT(RAND()*3)*INT(RAND()*2))</f>
        <v>4</v>
      </c>
      <c r="I4" s="13" t="s">
        <v>26</v>
      </c>
      <c r="J4" s="79">
        <f ca="1">IF($B$58="",0,INT(RAND()*5)+INT(RAND()*3)*INT(RAND()*2))</f>
        <v>3</v>
      </c>
      <c r="K4" s="9" t="s">
        <v>27</v>
      </c>
      <c r="L4" s="1"/>
      <c r="M4" s="11" t="str">
        <f>VLOOKUP(3,$X$2:$AC$5,2,FALSE)</f>
        <v>Kamerun</v>
      </c>
      <c r="N4" s="2">
        <f>VLOOKUP(3,$X$2:$AC$5,3,FALSE)</f>
        <v>4</v>
      </c>
      <c r="O4" s="2">
        <f>VLOOKUP(3,$X$2:$AC$5,4,FALSE)</f>
        <v>13</v>
      </c>
      <c r="P4" s="2">
        <f>VLOOKUP(3,$X$2:$AC$5,5,FALSE)</f>
        <v>11</v>
      </c>
      <c r="Q4" s="2">
        <f>VLOOKUP(3,$X$2:$AC$5,6,FALSE)</f>
        <v>2</v>
      </c>
      <c r="S4" s="84">
        <f>IF(J5="",0,IF(K5=$B$57,IF(H5&lt;J5,3,IF(H5=J5,1,0)),0))</f>
        <v>0</v>
      </c>
      <c r="T4" s="84">
        <f>IF(J8="",0,IF(K7=$B$57,IF(H8&lt;J8,3,IF(H8=J8,1,0)),0))</f>
        <v>3</v>
      </c>
      <c r="U4" s="83"/>
      <c r="V4" s="84">
        <f>IF(H4="",0,IF(K4=$B$57,IF(H4&gt;J4,3,IF(H4=J4,1,0)),0))</f>
        <v>3</v>
      </c>
      <c r="W4" s="85"/>
      <c r="X4" s="85">
        <f>RANK(AD4,$AD$2:$AD$5)</f>
        <v>2</v>
      </c>
      <c r="Y4" s="86" t="str">
        <f>B85</f>
        <v>Mexico</v>
      </c>
      <c r="Z4" s="1">
        <f>SUM(S4:V4)</f>
        <v>6</v>
      </c>
      <c r="AA4" s="1">
        <f>SUM(S8:V8)</f>
        <v>13</v>
      </c>
      <c r="AB4" s="1">
        <f>SUM(U6:U9)</f>
        <v>12</v>
      </c>
      <c r="AC4" s="1">
        <f>AA4-AB4</f>
        <v>1</v>
      </c>
      <c r="AD4" s="31">
        <f>IF(P$8="",AE4*10000000000000000+Z4*100000000000000+AC4*1000000000000+AA4*10000000000+AK4*100000000+AJ4*1000000+AP4*10000+AU4*100+AV4,AE4*10000000000000000+Z4*100000000000000+AK4*1000000000000+AJ4*10000000000+AP4*100000000+AU4*1000000+AC4*10000+AA4*100+AV4)</f>
        <v>601130000000002</v>
      </c>
      <c r="AE4" s="5"/>
      <c r="AF4" s="32">
        <f>IF($Z4=$Z2,$S4-$U2,0)</f>
        <v>0</v>
      </c>
      <c r="AG4" s="32">
        <f>IF($Z4=$Z3,$T4-$U3,0)</f>
        <v>0</v>
      </c>
      <c r="AH4" s="32"/>
      <c r="AI4" s="32">
        <f>IF($Z4=$Z5,$V4-$U5,0)</f>
        <v>0</v>
      </c>
      <c r="AJ4" s="32">
        <f>SUM(AF4:AI4)</f>
        <v>0</v>
      </c>
      <c r="AK4" s="5"/>
      <c r="AL4" s="32">
        <f>IF($Z4=$Z2,$S8-$U6,0)</f>
        <v>0</v>
      </c>
      <c r="AM4" s="32">
        <f>IF($Z4=$Z3,$T8-$U7,0)</f>
        <v>0</v>
      </c>
      <c r="AN4" s="32"/>
      <c r="AO4" s="32">
        <f>IF($Z4=$Z5,$V8-$U9,0)</f>
        <v>0</v>
      </c>
      <c r="AP4" s="32">
        <f>SUM(AL4:AO4)</f>
        <v>0</v>
      </c>
      <c r="AQ4" s="32">
        <f>IF($Z4=$Z2,$S8,0)</f>
        <v>0</v>
      </c>
      <c r="AR4" s="32">
        <f>IF($Z4=$Z3,$T8,0)</f>
        <v>0</v>
      </c>
      <c r="AS4" s="32"/>
      <c r="AT4" s="32">
        <f>IF($Z4=$Z5,$V8,0)</f>
        <v>0</v>
      </c>
      <c r="AU4" s="32">
        <f>SUM(AQ4:AT4)</f>
        <v>0</v>
      </c>
      <c r="AV4" s="5">
        <v>2</v>
      </c>
      <c r="AW4" s="31"/>
      <c r="BA4" s="2">
        <f>BA3+1</f>
        <v>10</v>
      </c>
      <c r="BB4" s="7">
        <v>41805.875</v>
      </c>
      <c r="BC4" s="4" t="s">
        <v>30</v>
      </c>
      <c r="BD4" s="78" t="str">
        <f>BY4</f>
        <v>Südkorea</v>
      </c>
      <c r="BE4" s="58" t="s">
        <v>25</v>
      </c>
      <c r="BF4" s="78" t="str">
        <f>BY5</f>
        <v>Griechenland</v>
      </c>
      <c r="BG4" s="75"/>
      <c r="BH4" s="80">
        <f ca="1">IF($B$58="",1,INT(RAND()*5)+INT(RAND()*3)*INT(RAND()*2))</f>
        <v>1</v>
      </c>
      <c r="BI4" s="13" t="s">
        <v>26</v>
      </c>
      <c r="BJ4" s="79">
        <f ca="1">IF($B$58="",0,INT(RAND()*5)+INT(RAND()*3)*INT(RAND()*2))</f>
        <v>1</v>
      </c>
      <c r="BK4" s="9" t="s">
        <v>27</v>
      </c>
      <c r="BL4" s="1"/>
      <c r="BM4" s="11" t="str">
        <f>VLOOKUP(3,$BX$2:$CC$5,2,FALSE)</f>
        <v>Griechenland</v>
      </c>
      <c r="BN4" s="2">
        <f>VLOOKUP(3,$BX$2:$CC$5,3,FALSE)</f>
        <v>4</v>
      </c>
      <c r="BO4" s="2">
        <f>VLOOKUP(3,$BX$2:$CC$5,4,FALSE)</f>
        <v>3</v>
      </c>
      <c r="BP4" s="2">
        <f>VLOOKUP(3,$BX$2:$CC$5,5,FALSE)</f>
        <v>5</v>
      </c>
      <c r="BQ4" s="2">
        <f>VLOOKUP(3,$BX$2:$CC$5,6,FALSE)</f>
        <v>-2</v>
      </c>
      <c r="BS4" s="84">
        <f>IF(BJ5="",0,IF(BK5=$B$57,IF(BH5&lt;BJ5,3,IF(BH5=BJ5,1,0)),0))</f>
        <v>3</v>
      </c>
      <c r="BT4" s="84">
        <f>IF(BJ8="",0,IF(BK7=$B$57,IF(BH8&lt;BJ8,3,IF(BH8=BJ8,1,0)),0))</f>
        <v>1</v>
      </c>
      <c r="BU4" s="83"/>
      <c r="BV4" s="84">
        <f>IF(BH4="",0,IF(BK4=$B$57,IF(BH4&gt;BJ4,3,IF(BH4=BJ4,1,0)),0))</f>
        <v>1</v>
      </c>
      <c r="BW4" s="85"/>
      <c r="BX4" s="85">
        <f>RANK(CD4,$CD$2:$CD$5)</f>
        <v>1</v>
      </c>
      <c r="BY4" s="86" t="str">
        <f>B89</f>
        <v>Südkorea</v>
      </c>
      <c r="BZ4" s="1">
        <f>SUM(BS4:BV4)</f>
        <v>5</v>
      </c>
      <c r="CA4" s="1">
        <f>SUM(BS8:BV8)</f>
        <v>8</v>
      </c>
      <c r="CB4" s="1">
        <f>SUM(BU6:BU9)</f>
        <v>7</v>
      </c>
      <c r="CC4" s="1">
        <f>CA4-CB4</f>
        <v>1</v>
      </c>
      <c r="CD4" s="31">
        <f>IF(BP$8="",CE4*10000000000000000+BZ4*100000000000000+CC4*1000000000000+CA4*10000000000+CK4*100000000+CJ4*1000000+CP4*10000+CU4*100+CV4,CE4*10000000000000000+BZ4*100000000000000+CK4*1000000000000+CJ4*10000000000+CP4*100000000+CU4*1000000+CC4*10000+CA4*100+CV4)</f>
        <v>501080000000002</v>
      </c>
      <c r="CE4" s="5"/>
      <c r="CF4" s="32">
        <f>IF($BZ4=$BZ2,$BS4-$BU2,0)</f>
        <v>0</v>
      </c>
      <c r="CG4" s="32">
        <f>IF($BZ4=$BZ3,$BT4-$BU3,0)</f>
        <v>0</v>
      </c>
      <c r="CH4" s="32"/>
      <c r="CI4" s="32">
        <f>IF($BZ4=$BZ5,$BV4-$BU5,0)</f>
        <v>0</v>
      </c>
      <c r="CJ4" s="32">
        <f>SUM(CF4:CI4)</f>
        <v>0</v>
      </c>
      <c r="CK4" s="5"/>
      <c r="CL4" s="32">
        <f>IF($BZ4=$BZ2,$BS8-$BU6,0)</f>
        <v>0</v>
      </c>
      <c r="CM4" s="32">
        <f>IF($BZ4=$BZ3,$BT8-$BU7,0)</f>
        <v>0</v>
      </c>
      <c r="CN4" s="32"/>
      <c r="CO4" s="32">
        <f>IF($BZ4=$BZ5,$BV8-$BU9,0)</f>
        <v>0</v>
      </c>
      <c r="CP4" s="32">
        <f>SUM(CL4:CO4)</f>
        <v>0</v>
      </c>
      <c r="CQ4" s="32">
        <f>IF($BZ4=$BZ2,$BS8,0)</f>
        <v>0</v>
      </c>
      <c r="CR4" s="32">
        <f>IF($BZ4=$BZ3,$BT8,0)</f>
        <v>0</v>
      </c>
      <c r="CS4" s="32"/>
      <c r="CT4" s="32">
        <f>IF($BZ4=$BZ5,$BV8,0)</f>
        <v>0</v>
      </c>
      <c r="CU4" s="32">
        <f>SUM(CQ4:CT4)</f>
        <v>0</v>
      </c>
      <c r="CV4" s="5">
        <v>2</v>
      </c>
      <c r="CW4" s="31"/>
    </row>
    <row r="5" spans="1:101" ht="12.75">
      <c r="A5" s="2">
        <f>A3+16</f>
        <v>17</v>
      </c>
      <c r="B5" s="7">
        <v>41807.875</v>
      </c>
      <c r="C5" s="4" t="s">
        <v>31</v>
      </c>
      <c r="D5" s="78" t="str">
        <f>Y2</f>
        <v>Brasilien</v>
      </c>
      <c r="E5" s="58" t="s">
        <v>25</v>
      </c>
      <c r="F5" s="78" t="str">
        <f>Y4</f>
        <v>Mexico</v>
      </c>
      <c r="G5" s="75"/>
      <c r="H5" s="80">
        <f ca="1">IF($B$58="",1,INT(RAND()*5)+INT(RAND()*3)*INT(RAND()*2))</f>
        <v>5</v>
      </c>
      <c r="I5" s="13" t="s">
        <v>26</v>
      </c>
      <c r="J5" s="79">
        <f ca="1">IF($B$58="",0,INT(RAND()*5)+INT(RAND()*3)*INT(RAND()*2))</f>
        <v>3</v>
      </c>
      <c r="K5" s="9" t="s">
        <v>27</v>
      </c>
      <c r="L5" s="1"/>
      <c r="M5" s="11" t="str">
        <f>VLOOKUP(4,$X$2:$AC$5,2,FALSE)</f>
        <v>Russland</v>
      </c>
      <c r="N5" s="2">
        <f>VLOOKUP(4,$X$2:$AC$5,3,FALSE)</f>
        <v>0</v>
      </c>
      <c r="O5" s="2">
        <f>VLOOKUP(4,$X$2:$AC$5,4,FALSE)</f>
        <v>6</v>
      </c>
      <c r="P5" s="2">
        <f>VLOOKUP(4,$X$2:$AC$5,5,FALSE)</f>
        <v>13</v>
      </c>
      <c r="Q5" s="2">
        <f>VLOOKUP(4,$X$2:$AC$5,6,FALSE)</f>
        <v>-7</v>
      </c>
      <c r="S5" s="84">
        <f>IF(H7="",0,IF(K8=$B$57,IF(H7&gt;J7,3,IF(H7=J7,1,0)),0))</f>
        <v>0</v>
      </c>
      <c r="T5" s="84">
        <f>IF(H6="",0,IF(K6=$B$57,IF(J6&lt;H6,3,IF(J6=H6,1,0)),0))</f>
        <v>0</v>
      </c>
      <c r="U5" s="84">
        <f>IF(J4="",0,IF(K4=$B$57,IF(H4&lt;J4,3,IF(H4=J4,1,0)),0))</f>
        <v>0</v>
      </c>
      <c r="V5" s="83"/>
      <c r="W5" s="85"/>
      <c r="X5" s="85">
        <f>RANK(AD5,$AD$2:$AD$5)</f>
        <v>4</v>
      </c>
      <c r="Y5" s="86" t="str">
        <f>B95</f>
        <v>Russland</v>
      </c>
      <c r="Z5" s="1">
        <f>SUM(S5:V5)</f>
        <v>0</v>
      </c>
      <c r="AA5" s="1">
        <f>SUM(S9:V9)</f>
        <v>6</v>
      </c>
      <c r="AB5" s="1">
        <f>SUM(V6:V9)</f>
        <v>13</v>
      </c>
      <c r="AC5" s="1">
        <f>AA5-AB5</f>
        <v>-7</v>
      </c>
      <c r="AD5" s="31">
        <f>IF(P$8="",AE5*10000000000000000+Z5*100000000000000+AC5*1000000000000+AA5*10000000000+AK5*100000000+AJ5*1000000+AP5*10000+AU5*100+AV5,AE5*10000000000000000+Z5*100000000000000+AK5*1000000000000+AJ5*10000000000+AP5*100000000+AU5*1000000+AC5*10000+AA5*100+AV5)</f>
        <v>-6939999999999</v>
      </c>
      <c r="AE5" s="5"/>
      <c r="AF5" s="32">
        <f>IF($Z5=$Z2,$S5-$V2,0)</f>
        <v>0</v>
      </c>
      <c r="AG5" s="32">
        <f>IF($Z5=$Z3,$T5-$V3,0)</f>
        <v>0</v>
      </c>
      <c r="AH5" s="32">
        <f>IF($Z5=$Z4,$U5-$V4,0)</f>
        <v>0</v>
      </c>
      <c r="AI5" s="32"/>
      <c r="AJ5" s="32">
        <f>SUM(AF5:AI5)</f>
        <v>0</v>
      </c>
      <c r="AK5" s="5"/>
      <c r="AL5" s="32">
        <f>IF($Z5=$Z2,$S9-$V6,0)</f>
        <v>0</v>
      </c>
      <c r="AM5" s="32">
        <f>IF($Z5=$Z3,$T9-$V7,0)</f>
        <v>0</v>
      </c>
      <c r="AN5" s="32">
        <f>IF($Z5=$Z4,$U9-$V8,0)</f>
        <v>0</v>
      </c>
      <c r="AO5" s="32"/>
      <c r="AP5" s="32">
        <f>SUM(AL5:AO5)</f>
        <v>0</v>
      </c>
      <c r="AQ5" s="32">
        <f>IF($Z5=$Z2,$S9,0)</f>
        <v>0</v>
      </c>
      <c r="AR5" s="32">
        <f>IF($Z5=$Z3,$T9,0)</f>
        <v>0</v>
      </c>
      <c r="AS5" s="32">
        <f>IF($Z5=$Z4,$U9,0)</f>
        <v>0</v>
      </c>
      <c r="AT5" s="32"/>
      <c r="AU5" s="32">
        <f>SUM(AQ5:AT5)</f>
        <v>0</v>
      </c>
      <c r="AV5" s="5">
        <v>1</v>
      </c>
      <c r="AW5" s="31"/>
      <c r="BA5" s="2">
        <f>BA3+16</f>
        <v>25</v>
      </c>
      <c r="BB5" s="7">
        <v>41810.875</v>
      </c>
      <c r="BC5" s="4" t="s">
        <v>32</v>
      </c>
      <c r="BD5" s="78" t="str">
        <f>BY2</f>
        <v>Belgien</v>
      </c>
      <c r="BE5" s="58" t="s">
        <v>25</v>
      </c>
      <c r="BF5" s="78" t="str">
        <f>BY4</f>
        <v>Südkorea</v>
      </c>
      <c r="BG5" s="75"/>
      <c r="BH5" s="80">
        <f ca="1">IF($B$58="",1,INT(RAND()*5)+INT(RAND()*3)*INT(RAND()*2))</f>
        <v>3</v>
      </c>
      <c r="BI5" s="13" t="s">
        <v>26</v>
      </c>
      <c r="BJ5" s="79">
        <f ca="1">IF($B$58="",0,INT(RAND()*5)+INT(RAND()*3)*INT(RAND()*2))</f>
        <v>4</v>
      </c>
      <c r="BK5" s="9" t="s">
        <v>27</v>
      </c>
      <c r="BL5" s="1"/>
      <c r="BM5" s="11" t="str">
        <f>VLOOKUP(4,$BX$2:CC$5,2,FALSE)</f>
        <v>Belgien</v>
      </c>
      <c r="BN5" s="2">
        <f>VLOOKUP(4,$BX$2:$CC$5,3,FALSE)</f>
        <v>3</v>
      </c>
      <c r="BO5" s="2">
        <f>VLOOKUP(4,$BX$2:$CC$5,4,FALSE)</f>
        <v>6</v>
      </c>
      <c r="BP5" s="2">
        <f>VLOOKUP(4,$BX$2:$CC$5,5,FALSE)</f>
        <v>5</v>
      </c>
      <c r="BQ5" s="2">
        <f>VLOOKUP(4,$BX$2:$CC$5,6,FALSE)</f>
        <v>1</v>
      </c>
      <c r="BS5" s="84">
        <f>IF(BH7="",0,IF(BK8=$B$57,IF(BH7&gt;BJ7,3,IF(BH7=BJ7,1,0)),0))</f>
        <v>3</v>
      </c>
      <c r="BT5" s="84">
        <f>IF(BH6="",0,IF(BK6=$B$57,IF(BJ6&lt;BH6,3,IF(BJ6=BH6,1,0)),0))</f>
        <v>0</v>
      </c>
      <c r="BU5" s="84">
        <f>IF(BJ4="",0,IF(BK4=$B$57,IF(BH4&lt;BJ4,3,IF(BH4=BJ4,1,0)),0))</f>
        <v>1</v>
      </c>
      <c r="BV5" s="83"/>
      <c r="BW5" s="85"/>
      <c r="BX5" s="85">
        <f>RANK(CD5,$CD$2:$CD$5)</f>
        <v>3</v>
      </c>
      <c r="BY5" s="86" t="str">
        <f>B99</f>
        <v>Griechenland</v>
      </c>
      <c r="BZ5" s="1">
        <f>SUM(BS5:BV5)</f>
        <v>4</v>
      </c>
      <c r="CA5" s="1">
        <f>SUM(BS9:BV9)</f>
        <v>3</v>
      </c>
      <c r="CB5" s="1">
        <f>SUM(BV6:BV9)</f>
        <v>5</v>
      </c>
      <c r="CC5" s="1">
        <f>CA5-CB5</f>
        <v>-2</v>
      </c>
      <c r="CD5" s="31">
        <f>IF(BP$8="",CE5*10000000000000000+BZ5*100000000000000+CC5*1000000000000+CA5*10000000000+CK5*100000000+CJ5*1000000+CP5*10000+CU5*100+CV5,CE5*10000000000000000+BZ5*100000000000000+CK5*1000000000000+CJ5*10000000000+CP5*100000000+CU5*1000000+CC5*10000+CA5*100+CV5)</f>
        <v>398029996970101</v>
      </c>
      <c r="CE5" s="5"/>
      <c r="CF5" s="32">
        <f>IF($BZ5=$BZ2,$BS5-$BV2,0)</f>
        <v>0</v>
      </c>
      <c r="CG5" s="32">
        <f>IF($BZ5=$BZ3,$BT5-$BV3,0)</f>
        <v>-3</v>
      </c>
      <c r="CH5" s="32">
        <f>IF($BZ5=$BZ4,$BU5-$BV4,0)</f>
        <v>0</v>
      </c>
      <c r="CI5" s="32"/>
      <c r="CJ5" s="32">
        <f>SUM(CF5:CI5)</f>
        <v>-3</v>
      </c>
      <c r="CK5" s="5"/>
      <c r="CL5" s="32">
        <f>IF($BZ5=$BZ2,$BS9-$BV6,0)</f>
        <v>0</v>
      </c>
      <c r="CM5" s="32">
        <f>IF($BZ5=$BZ3,$BT9-$BV7,0)</f>
        <v>-3</v>
      </c>
      <c r="CN5" s="32">
        <f>IF($BZ5=$BZ4,$BU9-$BV8,0)</f>
        <v>0</v>
      </c>
      <c r="CO5" s="32"/>
      <c r="CP5" s="32">
        <f>SUM(CL5:CO5)</f>
        <v>-3</v>
      </c>
      <c r="CQ5" s="32">
        <f>IF($BZ5=$BZ2,$BS9,0)</f>
        <v>0</v>
      </c>
      <c r="CR5" s="32">
        <f>IF($BZ5=$BZ3,$BT9,0)</f>
        <v>1</v>
      </c>
      <c r="CS5" s="32">
        <f>IF($BZ5=$BZ4,$BU9,0)</f>
        <v>0</v>
      </c>
      <c r="CT5" s="32"/>
      <c r="CU5" s="32">
        <f>SUM(CQ5:CT5)</f>
        <v>1</v>
      </c>
      <c r="CV5" s="5">
        <v>1</v>
      </c>
      <c r="CW5" s="31"/>
    </row>
    <row r="6" spans="1:101" ht="12.75">
      <c r="A6" s="2">
        <f>A5+1</f>
        <v>18</v>
      </c>
      <c r="B6" s="7">
        <v>41808.875</v>
      </c>
      <c r="C6" s="4" t="s">
        <v>33</v>
      </c>
      <c r="D6" s="78" t="str">
        <f>Y5</f>
        <v>Russland</v>
      </c>
      <c r="E6" s="58" t="s">
        <v>25</v>
      </c>
      <c r="F6" s="78" t="str">
        <f>Y3</f>
        <v>Kamerun</v>
      </c>
      <c r="G6" s="77"/>
      <c r="H6" s="79">
        <f ca="1">IF($B$58="",1,INT(RAND()*5)+INT(RAND()*3)*INT(RAND()*2))</f>
        <v>1</v>
      </c>
      <c r="I6" s="15" t="s">
        <v>26</v>
      </c>
      <c r="J6" s="79">
        <f ca="1">IF($B$58="",0,INT(RAND()*5)+INT(RAND()*3)*INT(RAND()*2))</f>
        <v>5</v>
      </c>
      <c r="K6" s="9" t="s">
        <v>27</v>
      </c>
      <c r="L6" s="1"/>
      <c r="N6" s="1"/>
      <c r="O6" s="1"/>
      <c r="P6" s="1"/>
      <c r="S6" s="83"/>
      <c r="T6" s="84">
        <f>IF(K3=$B$57,H3,0)</f>
        <v>4</v>
      </c>
      <c r="U6" s="84">
        <f>IF(K5=$B$57,H5,0)</f>
        <v>5</v>
      </c>
      <c r="V6" s="84">
        <f>IF(K8=$B$57,J7,0)</f>
        <v>4</v>
      </c>
      <c r="W6" s="85"/>
      <c r="X6" s="85"/>
      <c r="Y6" s="85"/>
      <c r="Z6" s="1"/>
      <c r="AA6" s="1"/>
      <c r="AB6" s="1"/>
      <c r="AC6" s="1"/>
      <c r="AD6" s="6"/>
      <c r="AE6" s="9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V6" s="32"/>
      <c r="AW6" s="31"/>
      <c r="BA6" s="2">
        <f>BA5+1</f>
        <v>26</v>
      </c>
      <c r="BB6" s="7">
        <v>41811</v>
      </c>
      <c r="BC6" s="4" t="s">
        <v>34</v>
      </c>
      <c r="BD6" s="78" t="str">
        <f>BY5</f>
        <v>Griechenland</v>
      </c>
      <c r="BE6" s="58" t="s">
        <v>25</v>
      </c>
      <c r="BF6" s="78" t="str">
        <f>BY3</f>
        <v>Elfenbeinküste</v>
      </c>
      <c r="BG6" s="77"/>
      <c r="BH6" s="79">
        <f ca="1">IF($B$58="",1,INT(RAND()*5)+INT(RAND()*3)*INT(RAND()*2))</f>
        <v>1</v>
      </c>
      <c r="BI6" s="15" t="s">
        <v>26</v>
      </c>
      <c r="BJ6" s="79">
        <f ca="1">IF($B$58="",0,INT(RAND()*5)+INT(RAND()*3)*INT(RAND()*2))</f>
        <v>4</v>
      </c>
      <c r="BK6" s="9" t="s">
        <v>27</v>
      </c>
      <c r="BL6" s="1"/>
      <c r="BN6" s="1"/>
      <c r="BO6" s="1"/>
      <c r="BP6" s="1"/>
      <c r="BS6" s="83"/>
      <c r="BT6" s="84">
        <f>IF(BK3=$B$57,BH3,0)</f>
        <v>3</v>
      </c>
      <c r="BU6" s="84">
        <f>IF(BK5=$B$57,BH5,0)</f>
        <v>3</v>
      </c>
      <c r="BV6" s="84">
        <f>IF(BK8=$B$57,BJ7,0)</f>
        <v>0</v>
      </c>
      <c r="BW6" s="85"/>
      <c r="BX6" s="85"/>
      <c r="BY6" s="85"/>
      <c r="BZ6" s="1"/>
      <c r="CA6" s="1"/>
      <c r="CB6" s="1"/>
      <c r="CC6" s="1"/>
      <c r="CD6" s="6"/>
      <c r="CE6" s="9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V6" s="32"/>
      <c r="CW6" s="31"/>
    </row>
    <row r="7" spans="1:101" ht="12.75">
      <c r="A7" s="2">
        <f>A5+16</f>
        <v>33</v>
      </c>
      <c r="B7" s="7">
        <v>41813.916666666664</v>
      </c>
      <c r="C7" s="4" t="s">
        <v>28</v>
      </c>
      <c r="D7" s="78" t="str">
        <f>Y5</f>
        <v>Russland</v>
      </c>
      <c r="E7" s="58" t="s">
        <v>25</v>
      </c>
      <c r="F7" s="78" t="str">
        <f>Y2</f>
        <v>Brasilien</v>
      </c>
      <c r="G7" s="77"/>
      <c r="H7" s="79">
        <f ca="1">IF($B$58="",1,INT(RAND()*5)+INT(RAND()*3)*INT(RAND()*2))</f>
        <v>2</v>
      </c>
      <c r="I7" s="13" t="s">
        <v>26</v>
      </c>
      <c r="J7" s="79">
        <f ca="1">IF($B$58="",0,INT(RAND()*5)+INT(RAND()*3)*INT(RAND()*2))</f>
        <v>4</v>
      </c>
      <c r="K7" s="9" t="s">
        <v>27</v>
      </c>
      <c r="M7" s="49" t="str">
        <f>IF(N2&gt;0,M2,"")</f>
        <v>Brasilien</v>
      </c>
      <c r="N7" s="2" t="s">
        <v>35</v>
      </c>
      <c r="P7" s="40"/>
      <c r="S7" s="84">
        <f>IF(K3=$B$57,J3,0)</f>
        <v>4</v>
      </c>
      <c r="T7" s="83"/>
      <c r="U7" s="84">
        <f>IF(K7=$B$57,H8,0)</f>
        <v>4</v>
      </c>
      <c r="V7" s="84">
        <f>IF(K6=$B$57,J6,0)</f>
        <v>5</v>
      </c>
      <c r="AD7" s="2" t="s">
        <v>36</v>
      </c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V7" s="33"/>
      <c r="AW7" s="31"/>
      <c r="BA7" s="2">
        <f>BA5+16</f>
        <v>41</v>
      </c>
      <c r="BB7" s="7">
        <v>41815.916666666664</v>
      </c>
      <c r="BC7" s="4" t="s">
        <v>33</v>
      </c>
      <c r="BD7" s="78" t="str">
        <f>BY5</f>
        <v>Griechenland</v>
      </c>
      <c r="BE7" s="58" t="s">
        <v>25</v>
      </c>
      <c r="BF7" s="78" t="str">
        <f>BY2</f>
        <v>Belgien</v>
      </c>
      <c r="BG7" s="77"/>
      <c r="BH7" s="79">
        <f ca="1">IF($B$58="",1,INT(RAND()*5)+INT(RAND()*3)*INT(RAND()*2))</f>
        <v>1</v>
      </c>
      <c r="BI7" s="13" t="s">
        <v>26</v>
      </c>
      <c r="BJ7" s="79">
        <f ca="1">IF($B$58="",0,INT(RAND()*5)+INT(RAND()*3)*INT(RAND()*2))</f>
        <v>0</v>
      </c>
      <c r="BK7" s="9" t="s">
        <v>27</v>
      </c>
      <c r="BM7" s="105" t="str">
        <f>IF(BN2&gt;0,BM2,"")</f>
        <v>Südkorea</v>
      </c>
      <c r="BN7" s="2" t="s">
        <v>37</v>
      </c>
      <c r="BP7" s="40"/>
      <c r="BS7" s="84">
        <f>IF(BK3=$B$57,BJ3,0)</f>
        <v>0</v>
      </c>
      <c r="BT7" s="83"/>
      <c r="BU7" s="84">
        <f>IF(BK7=$B$57,BH8,0)</f>
        <v>3</v>
      </c>
      <c r="BV7" s="84">
        <f>IF(BK6=$B$57,BJ6,0)</f>
        <v>4</v>
      </c>
      <c r="CD7" s="2" t="s">
        <v>36</v>
      </c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V7" s="33"/>
      <c r="CW7" s="31"/>
    </row>
    <row r="8" spans="1:101" ht="12.75">
      <c r="A8" s="2">
        <f>A7+1</f>
        <v>34</v>
      </c>
      <c r="B8" s="7">
        <v>41813.916666666664</v>
      </c>
      <c r="C8" s="4" t="s">
        <v>38</v>
      </c>
      <c r="D8" s="78" t="str">
        <f>Y3</f>
        <v>Kamerun</v>
      </c>
      <c r="E8" s="58" t="s">
        <v>25</v>
      </c>
      <c r="F8" s="78" t="str">
        <f>Y4</f>
        <v>Mexico</v>
      </c>
      <c r="G8" s="77"/>
      <c r="H8" s="80">
        <f ca="1">IF($B$58="",1,INT(RAND()*5)+INT(RAND()*3)*INT(RAND()*2))</f>
        <v>4</v>
      </c>
      <c r="I8" s="13" t="s">
        <v>26</v>
      </c>
      <c r="J8" s="80">
        <f ca="1">IF($B$58="",0,INT(RAND()*5)+INT(RAND()*3)*INT(RAND()*2))</f>
        <v>6</v>
      </c>
      <c r="K8" s="9" t="s">
        <v>27</v>
      </c>
      <c r="M8" s="49" t="str">
        <f>IF(N3&gt;0,M3,"")</f>
        <v>Mexico</v>
      </c>
      <c r="N8" s="2" t="s">
        <v>39</v>
      </c>
      <c r="O8" s="41"/>
      <c r="P8" s="42"/>
      <c r="S8" s="84">
        <f>IF(K5=$B$57,J5,0)</f>
        <v>3</v>
      </c>
      <c r="T8" s="84">
        <f>IF(K7=$B$57,J8,0)</f>
        <v>6</v>
      </c>
      <c r="U8" s="83"/>
      <c r="V8" s="84">
        <f>IF(K4=$B$57,H4,0)</f>
        <v>4</v>
      </c>
      <c r="AD8" s="2" t="s">
        <v>40</v>
      </c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V8" s="33"/>
      <c r="AW8" s="31"/>
      <c r="BA8" s="2">
        <f>BA7+1</f>
        <v>42</v>
      </c>
      <c r="BB8" s="7">
        <v>41815.916666666664</v>
      </c>
      <c r="BC8" s="4" t="s">
        <v>41</v>
      </c>
      <c r="BD8" s="78" t="str">
        <f>BY3</f>
        <v>Elfenbeinküste</v>
      </c>
      <c r="BE8" s="58" t="s">
        <v>25</v>
      </c>
      <c r="BF8" s="78" t="str">
        <f>BY4</f>
        <v>Südkorea</v>
      </c>
      <c r="BG8" s="77"/>
      <c r="BH8" s="80">
        <f ca="1">IF($B$58="",1,INT(RAND()*5)+INT(RAND()*3)*INT(RAND()*2))</f>
        <v>3</v>
      </c>
      <c r="BI8" s="13" t="s">
        <v>26</v>
      </c>
      <c r="BJ8" s="79">
        <f ca="1">IF($B$58="",0,INT(RAND()*5)+INT(RAND()*3)*INT(RAND()*2))</f>
        <v>3</v>
      </c>
      <c r="BK8" s="9" t="s">
        <v>27</v>
      </c>
      <c r="BM8" s="105" t="str">
        <f>IF(BN3&gt;0,BM3,"")</f>
        <v>Elfenbeinküste</v>
      </c>
      <c r="BN8" s="2" t="s">
        <v>42</v>
      </c>
      <c r="BO8" s="41"/>
      <c r="BP8" s="42"/>
      <c r="BS8" s="84">
        <f>IF(BK5=$B$57,BJ5,0)</f>
        <v>4</v>
      </c>
      <c r="BT8" s="84">
        <f>IF(BK7=$B$57,BJ8,0)</f>
        <v>3</v>
      </c>
      <c r="BU8" s="83"/>
      <c r="BV8" s="84">
        <f>IF(BK4=$B$57,BH4,0)</f>
        <v>1</v>
      </c>
      <c r="CD8" s="2" t="s">
        <v>40</v>
      </c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V8" s="33"/>
      <c r="CW8" s="31"/>
    </row>
    <row r="9" spans="4:101" ht="12.75">
      <c r="D9" s="77"/>
      <c r="E9" s="77"/>
      <c r="F9" s="77"/>
      <c r="G9" s="77"/>
      <c r="S9" s="84">
        <f>IF(K8=$B$57,H7,0)</f>
        <v>2</v>
      </c>
      <c r="T9" s="84">
        <f>IF(K6=$B$57,H6,0)</f>
        <v>1</v>
      </c>
      <c r="U9" s="84">
        <f>IF(K4=$B$57,J4,0)</f>
        <v>3</v>
      </c>
      <c r="V9" s="83"/>
      <c r="AD9" s="2" t="s">
        <v>43</v>
      </c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V9" s="33"/>
      <c r="AW9" s="31"/>
      <c r="BB9" s="2" t="s">
        <v>2</v>
      </c>
      <c r="BD9" s="77"/>
      <c r="BE9" s="77"/>
      <c r="BF9" s="77"/>
      <c r="BG9" s="77"/>
      <c r="BS9" s="84">
        <f>IF(BK8=$B$57,BH7,0)</f>
        <v>1</v>
      </c>
      <c r="BT9" s="84">
        <f>IF(BK6=$B$57,BH6,0)</f>
        <v>1</v>
      </c>
      <c r="BU9" s="84">
        <f>IF(BK4=$B$57,BJ4,0)</f>
        <v>1</v>
      </c>
      <c r="BV9" s="83"/>
      <c r="CD9" s="2" t="s">
        <v>43</v>
      </c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V9" s="33"/>
      <c r="CW9" s="31"/>
    </row>
    <row r="10" spans="4:101" ht="6" customHeight="1">
      <c r="D10" s="77"/>
      <c r="E10" s="81"/>
      <c r="F10" s="82"/>
      <c r="G10" s="82"/>
      <c r="H10" s="77"/>
      <c r="I10" s="77"/>
      <c r="J10" s="77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V10" s="33"/>
      <c r="AW10" s="31"/>
      <c r="BD10" s="77"/>
      <c r="BE10" s="81"/>
      <c r="BF10" s="82"/>
      <c r="BG10" s="82"/>
      <c r="BH10" s="77"/>
      <c r="BI10" s="77"/>
      <c r="BJ10" s="77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V10" s="33"/>
      <c r="CW10" s="31"/>
    </row>
    <row r="11" spans="2:101" s="12" customFormat="1" ht="12.75">
      <c r="B11" s="43" t="s">
        <v>0</v>
      </c>
      <c r="C11" s="44" t="s">
        <v>44</v>
      </c>
      <c r="D11" s="75" t="s">
        <v>2</v>
      </c>
      <c r="E11" s="76"/>
      <c r="F11" s="75"/>
      <c r="G11" s="75"/>
      <c r="H11" s="25"/>
      <c r="I11" s="24"/>
      <c r="J11" s="25"/>
      <c r="K11" s="26"/>
      <c r="L11" s="22"/>
      <c r="M11" s="48" t="s">
        <v>3</v>
      </c>
      <c r="N11" s="22" t="s">
        <v>4</v>
      </c>
      <c r="O11" s="22" t="s">
        <v>5</v>
      </c>
      <c r="P11" s="22" t="s">
        <v>6</v>
      </c>
      <c r="Q11" s="22" t="s">
        <v>7</v>
      </c>
      <c r="R11" s="22"/>
      <c r="S11" s="77"/>
      <c r="T11" s="77"/>
      <c r="U11" s="77"/>
      <c r="V11" s="77"/>
      <c r="W11" s="75"/>
      <c r="X11" s="75" t="s">
        <v>8</v>
      </c>
      <c r="Y11" s="78" t="s">
        <v>9</v>
      </c>
      <c r="Z11" s="22" t="s">
        <v>4</v>
      </c>
      <c r="AA11" s="22" t="s">
        <v>5</v>
      </c>
      <c r="AB11" s="22" t="s">
        <v>6</v>
      </c>
      <c r="AC11" s="22" t="s">
        <v>7</v>
      </c>
      <c r="AD11" s="22"/>
      <c r="AE11" s="26" t="s">
        <v>10</v>
      </c>
      <c r="AF11" s="20" t="s">
        <v>11</v>
      </c>
      <c r="AG11" s="20"/>
      <c r="AH11" s="20"/>
      <c r="AI11" s="20"/>
      <c r="AJ11" s="20" t="s">
        <v>12</v>
      </c>
      <c r="AK11" s="27" t="s">
        <v>13</v>
      </c>
      <c r="AL11" s="20" t="s">
        <v>14</v>
      </c>
      <c r="AM11" s="20"/>
      <c r="AN11" s="20"/>
      <c r="AO11" s="20"/>
      <c r="AP11" s="20" t="s">
        <v>15</v>
      </c>
      <c r="AQ11" s="20" t="s">
        <v>16</v>
      </c>
      <c r="AR11" s="20"/>
      <c r="AS11" s="20"/>
      <c r="AT11" s="20"/>
      <c r="AU11" s="21" t="s">
        <v>17</v>
      </c>
      <c r="AV11" s="27" t="s">
        <v>18</v>
      </c>
      <c r="AW11" s="30"/>
      <c r="AX11" s="22"/>
      <c r="AY11" s="22"/>
      <c r="BB11" s="106" t="s">
        <v>0</v>
      </c>
      <c r="BC11" s="45" t="s">
        <v>45</v>
      </c>
      <c r="BD11" s="75"/>
      <c r="BE11" s="76"/>
      <c r="BF11" s="75"/>
      <c r="BG11" s="75"/>
      <c r="BH11" s="25"/>
      <c r="BI11" s="24"/>
      <c r="BJ11" s="25"/>
      <c r="BK11" s="26"/>
      <c r="BL11" s="22"/>
      <c r="BM11" s="48" t="s">
        <v>3</v>
      </c>
      <c r="BN11" s="22" t="s">
        <v>4</v>
      </c>
      <c r="BO11" s="22" t="s">
        <v>5</v>
      </c>
      <c r="BP11" s="22" t="s">
        <v>6</v>
      </c>
      <c r="BQ11" s="22" t="s">
        <v>7</v>
      </c>
      <c r="BR11" s="22"/>
      <c r="BS11" s="77"/>
      <c r="BT11" s="77"/>
      <c r="BU11" s="77"/>
      <c r="BV11" s="77"/>
      <c r="BW11" s="75"/>
      <c r="BX11" s="75" t="s">
        <v>8</v>
      </c>
      <c r="BY11" s="78" t="s">
        <v>9</v>
      </c>
      <c r="BZ11" s="22" t="s">
        <v>4</v>
      </c>
      <c r="CA11" s="22" t="s">
        <v>5</v>
      </c>
      <c r="CB11" s="22" t="s">
        <v>6</v>
      </c>
      <c r="CC11" s="22" t="s">
        <v>7</v>
      </c>
      <c r="CD11" s="22"/>
      <c r="CE11" s="26" t="s">
        <v>10</v>
      </c>
      <c r="CF11" s="20" t="s">
        <v>11</v>
      </c>
      <c r="CG11" s="20"/>
      <c r="CH11" s="20"/>
      <c r="CI11" s="20"/>
      <c r="CJ11" s="20" t="s">
        <v>12</v>
      </c>
      <c r="CK11" s="27" t="s">
        <v>13</v>
      </c>
      <c r="CL11" s="20" t="s">
        <v>14</v>
      </c>
      <c r="CM11" s="20"/>
      <c r="CN11" s="20"/>
      <c r="CO11" s="20"/>
      <c r="CP11" s="20" t="s">
        <v>15</v>
      </c>
      <c r="CQ11" s="20" t="s">
        <v>16</v>
      </c>
      <c r="CR11" s="20"/>
      <c r="CS11" s="20"/>
      <c r="CT11" s="20"/>
      <c r="CU11" s="21" t="s">
        <v>17</v>
      </c>
      <c r="CV11" s="27" t="s">
        <v>18</v>
      </c>
      <c r="CW11" s="30"/>
    </row>
    <row r="12" spans="2:101" ht="12.75">
      <c r="B12" s="3" t="s">
        <v>22</v>
      </c>
      <c r="C12" s="3" t="s">
        <v>23</v>
      </c>
      <c r="D12" s="77"/>
      <c r="E12" s="77"/>
      <c r="F12" s="77"/>
      <c r="G12" s="77"/>
      <c r="L12" s="1"/>
      <c r="M12" s="11" t="str">
        <f>VLOOKUP(1,$X$12:$AC$15,2,FALSE)</f>
        <v>Chile</v>
      </c>
      <c r="N12" s="2">
        <f>VLOOKUP(1,$X$12:$AC$15,3,FALSE)</f>
        <v>7</v>
      </c>
      <c r="O12" s="2">
        <f>VLOOKUP(1,$X$12:$AC$15,4,FALSE)</f>
        <v>9</v>
      </c>
      <c r="P12" s="2">
        <f>VLOOKUP(1,$X$12:$AC$15,5,FALSE)</f>
        <v>5</v>
      </c>
      <c r="Q12" s="2">
        <f>VLOOKUP(1,$X$12:$AC$15,6,FALSE)</f>
        <v>4</v>
      </c>
      <c r="S12" s="83"/>
      <c r="T12" s="84">
        <f>IF(H13="",0,IF(K13=$B$57,IF(H13&gt;J13,3,IF(H13=J13,1,0)),0))</f>
        <v>0</v>
      </c>
      <c r="U12" s="84">
        <f>IF(H15="",0,IF(K15=$B$57,IF(H15&gt;J15,3,IF(H15=J15,1,0)),0))</f>
        <v>0</v>
      </c>
      <c r="V12" s="84">
        <f>IF(J17="",0,IF(K18=$B$57,IF(H17&lt;J17,3,IF(H17=J17,1,0)),0))</f>
        <v>0</v>
      </c>
      <c r="W12" s="85"/>
      <c r="X12" s="85">
        <f>RANK(AD12,$AD$12:$AD$15)</f>
        <v>4</v>
      </c>
      <c r="Y12" s="86" t="str">
        <f>B66</f>
        <v>Uruguay</v>
      </c>
      <c r="Z12" s="1">
        <f>SUM(S12:V12)</f>
        <v>0</v>
      </c>
      <c r="AA12" s="1">
        <f>SUM(S16:V16)</f>
        <v>3</v>
      </c>
      <c r="AB12" s="1">
        <f>SUM(S16:S19)</f>
        <v>12</v>
      </c>
      <c r="AC12" s="1">
        <f>AA12-AB12</f>
        <v>-9</v>
      </c>
      <c r="AD12" s="31">
        <f>IF(P$18="",AE12*10000000000000000+Z12*100000000000000+AC12*1000000000000+AA12*10000000000+AK12*100000000+AJ12*1000000+AP12*10000+AU12*100+AV12,AE12*10000000000000000+Z12*100000000000000+AK12*1000000000000+AJ12*10000000000+AP12*100000000+AU12*1000000+AC12*10000+AA12*100+AV12)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-8969999999996</v>
      </c>
      <c r="AE12" s="5"/>
      <c r="AF12" s="32"/>
      <c r="AG12" s="32">
        <f>IF($Z12=$Z13,$T12-$S13,0)</f>
        <v>0</v>
      </c>
      <c r="AH12" s="32">
        <f>IF($Z12=$Z14,$U12-$S14,0)</f>
        <v>0</v>
      </c>
      <c r="AI12" s="32">
        <f>IF($Z12=$Z15,$V12-$S15,0)</f>
        <v>0</v>
      </c>
      <c r="AJ12" s="32">
        <f>SUM(AF12:AI12)</f>
        <v>0</v>
      </c>
      <c r="AK12" s="5"/>
      <c r="AL12" s="32"/>
      <c r="AM12" s="32">
        <f>IF($Z12=$Z13,$T16-$S17,0)</f>
        <v>0</v>
      </c>
      <c r="AN12" s="32">
        <f>IF($Z12=$Z14,$U16-$S18,0)</f>
        <v>0</v>
      </c>
      <c r="AO12" s="32">
        <f>IF($Z12=$Z15,$V16-$S19,0)</f>
        <v>0</v>
      </c>
      <c r="AP12" s="32">
        <f>SUM(AL12:AO12)</f>
        <v>0</v>
      </c>
      <c r="AQ12" s="32"/>
      <c r="AR12" s="32">
        <f>IF($Z12=$Z13,$T16,0)</f>
        <v>0</v>
      </c>
      <c r="AS12" s="32">
        <f>IF($Z12=$Z14,$U16,0)</f>
        <v>0</v>
      </c>
      <c r="AT12" s="32">
        <f>IF($Z12=$Z15,$V16,0)</f>
        <v>0</v>
      </c>
      <c r="AU12" s="32">
        <f>SUM(AQ12:AT12)</f>
        <v>0</v>
      </c>
      <c r="AV12" s="5">
        <v>4</v>
      </c>
      <c r="AW12" s="31"/>
      <c r="BB12" s="3" t="s">
        <v>22</v>
      </c>
      <c r="BC12" s="3" t="s">
        <v>23</v>
      </c>
      <c r="BD12" s="77"/>
      <c r="BE12" s="77"/>
      <c r="BF12" s="77"/>
      <c r="BG12" s="77"/>
      <c r="BL12" s="1"/>
      <c r="BM12" s="11" t="str">
        <f>VLOOKUP(1,$BX$12:$CC$15,2,FALSE)</f>
        <v>Ghana</v>
      </c>
      <c r="BN12" s="2">
        <f>VLOOKUP(1,$BX$12:$CC$15,3,FALSE)</f>
        <v>6</v>
      </c>
      <c r="BO12" s="2">
        <f>VLOOKUP(1,$BX$12:$CC$15,4,FALSE)</f>
        <v>10</v>
      </c>
      <c r="BP12" s="2">
        <f>VLOOKUP(1,$BX$12:$CC$15,5,FALSE)</f>
        <v>6</v>
      </c>
      <c r="BQ12" s="2">
        <f>VLOOKUP(1,$BX$12:$CC$15,6,FALSE)</f>
        <v>4</v>
      </c>
      <c r="BS12" s="83"/>
      <c r="BT12" s="84">
        <f>IF(BH13="",0,IF(BK13=$B$57,IF(BH13&gt;BJ13,3,IF(BH13=BJ13,1,0)),0))</f>
        <v>0</v>
      </c>
      <c r="BU12" s="84">
        <f>IF(BH15="",0,IF(BK15=$B$57,IF(BH15&gt;BJ15,3,IF(BH15=BJ15,1,0)),0))</f>
        <v>0</v>
      </c>
      <c r="BV12" s="84">
        <f>IF(BJ17="",0,IF(BK18=$B$57,IF(BH17&lt;BJ17,3,IF(BH17=BJ17,1,0)),0))</f>
        <v>1</v>
      </c>
      <c r="BW12" s="85"/>
      <c r="BX12" s="85">
        <f>RANK(CD12,$CD$12:$CD$15)</f>
        <v>4</v>
      </c>
      <c r="BY12" s="86" t="str">
        <f>B70</f>
        <v>Deutschland</v>
      </c>
      <c r="BZ12" s="1">
        <f>SUM(BS12:BV12)</f>
        <v>1</v>
      </c>
      <c r="CA12" s="1">
        <f>SUM(BS16:BV16)</f>
        <v>7</v>
      </c>
      <c r="CB12" s="1">
        <f>SUM(BS16:BS19)</f>
        <v>9</v>
      </c>
      <c r="CC12" s="1">
        <f>CA12-CB12</f>
        <v>-2</v>
      </c>
      <c r="CD12" s="31">
        <f>IF(BP$18="",CE12*10000000000000000+BZ12*100000000000000+CC12*1000000000000+CA12*10000000000+CK12*100000000+CJ12*1000000+CP12*10000+CU12*100+CV12,CE12*10000000000000000+BZ12*100000000000000+CK12*1000000000000+CJ12*10000000000+CP12*100000000+CU12*1000000+CC12*10000+CA12*100+CV12)</f>
        <v>98070000000004</v>
      </c>
      <c r="CE12" s="5"/>
      <c r="CF12" s="32"/>
      <c r="CG12" s="32">
        <f>IF($BZ12=$BZ13,$BT12-$BS13,0)</f>
        <v>0</v>
      </c>
      <c r="CH12" s="32">
        <f>IF($BZ12=$BZ14,$BU12-$BS14,0)</f>
        <v>0</v>
      </c>
      <c r="CI12" s="32">
        <f>IF($BZ12=$BZ15,$BV12-$BS15,0)</f>
        <v>0</v>
      </c>
      <c r="CJ12" s="32">
        <f>SUM(CF12:CI12)</f>
        <v>0</v>
      </c>
      <c r="CK12" s="5"/>
      <c r="CL12" s="32"/>
      <c r="CM12" s="32">
        <f>IF($BZ12=$BZ13,$BT16-$BS17,0)</f>
        <v>0</v>
      </c>
      <c r="CN12" s="32">
        <f>IF($BZ12=$BZ14,$BU16-$BS18,0)</f>
        <v>0</v>
      </c>
      <c r="CO12" s="32">
        <f>IF($BZ12=$BZ15,$BV16-$BS19,0)</f>
        <v>0</v>
      </c>
      <c r="CP12" s="32">
        <f>SUM(CL12:CO12)</f>
        <v>0</v>
      </c>
      <c r="CQ12" s="32"/>
      <c r="CR12" s="32">
        <f>IF($BZ12=$BZ13,$BT16,0)</f>
        <v>0</v>
      </c>
      <c r="CS12" s="32">
        <f>IF($BZ12=$BZ14,$BU16,0)</f>
        <v>0</v>
      </c>
      <c r="CT12" s="32">
        <f>IF($BZ12=$BZ15,$BV16,0)</f>
        <v>0</v>
      </c>
      <c r="CU12" s="32">
        <f>SUM(CQ12:CT12)</f>
        <v>0</v>
      </c>
      <c r="CV12" s="5">
        <v>4</v>
      </c>
      <c r="CW12" s="31"/>
    </row>
    <row r="13" spans="1:101" ht="12.75">
      <c r="A13" s="2">
        <f>A3+2</f>
        <v>3</v>
      </c>
      <c r="B13" s="7">
        <v>41803.875</v>
      </c>
      <c r="C13" s="4" t="s">
        <v>32</v>
      </c>
      <c r="D13" s="78" t="str">
        <f>Y12</f>
        <v>Uruguay</v>
      </c>
      <c r="E13" s="58" t="s">
        <v>25</v>
      </c>
      <c r="F13" s="78" t="str">
        <f>Y13</f>
        <v>Chile</v>
      </c>
      <c r="G13" s="75"/>
      <c r="H13" s="79">
        <f ca="1">IF($B$58="",1,INT(RAND()*5)+INT(RAND()*3)*INT(RAND()*2))</f>
        <v>1</v>
      </c>
      <c r="I13" s="13" t="s">
        <v>26</v>
      </c>
      <c r="J13" s="79">
        <f ca="1">IF($B$58="",0,INT(RAND()*5)+INT(RAND()*3)*INT(RAND()*2))</f>
        <v>3</v>
      </c>
      <c r="K13" s="9" t="s">
        <v>27</v>
      </c>
      <c r="L13" s="1"/>
      <c r="M13" s="11" t="str">
        <f>VLOOKUP(2,$X$12:$AC$15,2,FALSE)</f>
        <v>Japan</v>
      </c>
      <c r="N13" s="2">
        <f>VLOOKUP(2,$X$12:$AC$15,3,FALSE)</f>
        <v>7</v>
      </c>
      <c r="O13" s="2">
        <f>VLOOKUP(2,$X$12:$AC$15,4,FALSE)</f>
        <v>11</v>
      </c>
      <c r="P13" s="2">
        <f>VLOOKUP(2,$X$12:$AC$15,5,FALSE)</f>
        <v>8</v>
      </c>
      <c r="Q13" s="2">
        <f>VLOOKUP(2,$X$12:$AC$15,6,FALSE)</f>
        <v>3</v>
      </c>
      <c r="S13" s="84">
        <f>IF(J13="",0,IF(K13=$B$57,IF(H13&lt;J13,3,IF(H13=J13,1,0)),0))</f>
        <v>3</v>
      </c>
      <c r="T13" s="83"/>
      <c r="U13" s="84">
        <f>IF(H18="",0,IF(K17=$B$57,IF(H18&gt;J18,3,IF(H18=J18,1,0)),0))</f>
        <v>1</v>
      </c>
      <c r="V13" s="84">
        <f>IF(J16="",0,IF(K16=$B$57,IF(J16&gt;H16,3,IF(J16=H16,1,0)),0))</f>
        <v>3</v>
      </c>
      <c r="W13" s="85"/>
      <c r="X13" s="85">
        <f>RANK(AD13,$AD$12:$AD$15)</f>
        <v>1</v>
      </c>
      <c r="Y13" s="86" t="str">
        <f>B76</f>
        <v>Chile</v>
      </c>
      <c r="Z13" s="1">
        <f>SUM(S13:V13)</f>
        <v>7</v>
      </c>
      <c r="AA13" s="1">
        <f>SUM(S17:V17)</f>
        <v>9</v>
      </c>
      <c r="AB13" s="1">
        <f>SUM(T16:T19)</f>
        <v>5</v>
      </c>
      <c r="AC13" s="1">
        <f>AA13-AB13</f>
        <v>4</v>
      </c>
      <c r="AD13" s="31">
        <f>IF(P$18="",AE13*10000000000000000+Z13*100000000000000+AC13*1000000000000+AA13*10000000000+AK13*100000000+AJ13*1000000+AP13*10000+AU13*100+AV13,AE13*10000000000000000+Z13*100000000000000+AK13*1000000000000+AJ13*10000000000+AP13*100000000+AU13*1000000+AC13*10000+AA13*100+AV13)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704090000000403</v>
      </c>
      <c r="AE13" s="5"/>
      <c r="AF13" s="32">
        <f>IF($Z13=$Z12,$S13-$T12,0)</f>
        <v>0</v>
      </c>
      <c r="AG13" s="32"/>
      <c r="AH13" s="32">
        <f>IF($Z13=$Z14,$U13-$T14,0)</f>
        <v>0</v>
      </c>
      <c r="AI13" s="32">
        <f>IF($Z13=$Z15,$V13-$T15,0)</f>
        <v>0</v>
      </c>
      <c r="AJ13" s="32">
        <f>SUM(AF13:AI13)</f>
        <v>0</v>
      </c>
      <c r="AK13" s="5"/>
      <c r="AL13" s="32">
        <f>IF($Z13=$Z12,$S17-$T16,0)</f>
        <v>0</v>
      </c>
      <c r="AM13" s="32"/>
      <c r="AN13" s="32">
        <f>IF($Z13=$Z14,$U17-$T18,0)</f>
        <v>0</v>
      </c>
      <c r="AO13" s="32">
        <f>IF($Z13=$Z15,$V17-$T19,0)</f>
        <v>0</v>
      </c>
      <c r="AP13" s="32">
        <f>SUM(AL13:AO13)</f>
        <v>0</v>
      </c>
      <c r="AQ13" s="32">
        <f>IF($Z13=$Z12,$S17,0)</f>
        <v>0</v>
      </c>
      <c r="AR13" s="32"/>
      <c r="AS13" s="32">
        <f>IF($Z13=$Z14,$U17,0)</f>
        <v>4</v>
      </c>
      <c r="AT13" s="32">
        <f>IF($Z13=$Z15,$V17,0)</f>
        <v>0</v>
      </c>
      <c r="AU13" s="32">
        <f>SUM(AQ13:AT13)</f>
        <v>4</v>
      </c>
      <c r="AV13" s="5">
        <v>3</v>
      </c>
      <c r="AW13" s="31"/>
      <c r="BA13" s="2">
        <f>BA3+2</f>
        <v>11</v>
      </c>
      <c r="BB13" s="7">
        <v>41806</v>
      </c>
      <c r="BC13" s="4" t="s">
        <v>41</v>
      </c>
      <c r="BD13" s="78" t="str">
        <f>BY12</f>
        <v>Deutschland</v>
      </c>
      <c r="BE13" s="58" t="s">
        <v>25</v>
      </c>
      <c r="BF13" s="78" t="str">
        <f>BY13</f>
        <v>Ghana</v>
      </c>
      <c r="BG13" s="75"/>
      <c r="BH13" s="79">
        <f ca="1">IF($B$58="",1,INT(RAND()*5)+INT(RAND()*3)*INT(RAND()*2))</f>
        <v>3</v>
      </c>
      <c r="BI13" s="13" t="s">
        <v>26</v>
      </c>
      <c r="BJ13" s="79">
        <f ca="1">IF($B$58="",0,INT(RAND()*5)+INT(RAND()*3)*INT(RAND()*2))</f>
        <v>4</v>
      </c>
      <c r="BK13" s="9" t="s">
        <v>27</v>
      </c>
      <c r="BL13" s="1"/>
      <c r="BM13" s="11" t="str">
        <f>VLOOKUP(2,$BX$12:$CC$15,2,FALSE)</f>
        <v>Australien</v>
      </c>
      <c r="BN13" s="2">
        <f>VLOOKUP(2,$BX$12:$CC$15,3,FALSE)</f>
        <v>6</v>
      </c>
      <c r="BO13" s="2">
        <f>VLOOKUP(2,$BX$12:$CC$15,4,FALSE)</f>
        <v>8</v>
      </c>
      <c r="BP13" s="2">
        <f>VLOOKUP(2,$BX$12:$CC$15,5,FALSE)</f>
        <v>9</v>
      </c>
      <c r="BQ13" s="2">
        <f>VLOOKUP(2,$BX$12:$CC$15,6,FALSE)</f>
        <v>-1</v>
      </c>
      <c r="BS13" s="84">
        <f>IF(BJ13="",0,IF(BK13=$B$57,IF(BH13&lt;BJ13,3,IF(BH13=BJ13,1,0)),0))</f>
        <v>3</v>
      </c>
      <c r="BT13" s="83"/>
      <c r="BU13" s="84">
        <f>IF(BH18="",0,IF(BK17=$B$57,IF(BH18&gt;BJ18,3,IF(BH18=BJ18,1,0)),0))</f>
        <v>3</v>
      </c>
      <c r="BV13" s="84">
        <f>IF(BJ16="",0,IF(BK16=$B$57,IF(BJ16&gt;BH16,3,IF(BJ16=BH16,1,0)),0))</f>
        <v>0</v>
      </c>
      <c r="BW13" s="85"/>
      <c r="BX13" s="85">
        <f>RANK(CD13,$CD$12:$CD$15)</f>
        <v>1</v>
      </c>
      <c r="BY13" s="86" t="str">
        <f>B80</f>
        <v>Ghana</v>
      </c>
      <c r="BZ13" s="1">
        <f>SUM(BS13:BV13)</f>
        <v>6</v>
      </c>
      <c r="CA13" s="1">
        <f>SUM(BS17:BV17)</f>
        <v>10</v>
      </c>
      <c r="CB13" s="1">
        <f>SUM(BT16:BT19)</f>
        <v>6</v>
      </c>
      <c r="CC13" s="1">
        <f>CA13-CB13</f>
        <v>4</v>
      </c>
      <c r="CD13" s="31">
        <f>IF(BP$18="",CE13*10000000000000000+BZ13*100000000000000+CC13*1000000000000+CA13*10000000000+CK13*100000000+CJ13*1000000+CP13*10000+CU13*100+CV13,CE13*10000000000000000+BZ13*100000000000000+CK13*1000000000000+CJ13*10000000000+CP13*100000000+CU13*1000000+CC13*10000+CA13*100+CV13)</f>
        <v>604100003040503</v>
      </c>
      <c r="CE13" s="5"/>
      <c r="CF13" s="32">
        <f>IF($BZ13=$BZ12,$BS13-$BT12,0)</f>
        <v>0</v>
      </c>
      <c r="CG13" s="32"/>
      <c r="CH13" s="32">
        <f>IF($BZ13=$BZ14,$BU13-$BT14,0)</f>
        <v>3</v>
      </c>
      <c r="CI13" s="32">
        <f>IF($BZ13=$BZ15,$BV13-$BT15,0)</f>
        <v>0</v>
      </c>
      <c r="CJ13" s="32">
        <f>SUM(CF13:CI13)</f>
        <v>3</v>
      </c>
      <c r="CK13" s="5"/>
      <c r="CL13" s="32">
        <f>IF($BZ13=$BZ12,$BS17-$BT16,0)</f>
        <v>0</v>
      </c>
      <c r="CM13" s="32"/>
      <c r="CN13" s="32">
        <f>IF($BZ13=$BZ14,$BU17-$BT18,0)</f>
        <v>4</v>
      </c>
      <c r="CO13" s="32">
        <f>IF($BZ13=$BZ15,$BV17-$BT19,0)</f>
        <v>0</v>
      </c>
      <c r="CP13" s="32">
        <f>SUM(CL13:CO13)</f>
        <v>4</v>
      </c>
      <c r="CQ13" s="32">
        <f>IF($BZ13=$BZ12,$BS17,0)</f>
        <v>0</v>
      </c>
      <c r="CR13" s="32"/>
      <c r="CS13" s="32">
        <f>IF($BZ13=$BZ14,$BU17,0)</f>
        <v>5</v>
      </c>
      <c r="CT13" s="32">
        <f>IF($BZ13=$BZ15,$BV17,0)</f>
        <v>0</v>
      </c>
      <c r="CU13" s="32">
        <f>SUM(CQ13:CT13)</f>
        <v>5</v>
      </c>
      <c r="CV13" s="5">
        <v>3</v>
      </c>
      <c r="CW13" s="31"/>
    </row>
    <row r="14" spans="1:101" ht="12.75">
      <c r="A14" s="2">
        <f>A13+1</f>
        <v>4</v>
      </c>
      <c r="B14" s="7">
        <v>41804</v>
      </c>
      <c r="C14" s="4" t="s">
        <v>46</v>
      </c>
      <c r="D14" s="78" t="str">
        <f>Y14</f>
        <v>Japan</v>
      </c>
      <c r="E14" s="58" t="s">
        <v>25</v>
      </c>
      <c r="F14" s="78" t="str">
        <f>Y15</f>
        <v>Niederlande</v>
      </c>
      <c r="G14" s="75"/>
      <c r="H14" s="80">
        <f ca="1">IF($B$58="",1,INT(RAND()*5)+INT(RAND()*3)*INT(RAND()*2))</f>
        <v>3</v>
      </c>
      <c r="I14" s="13" t="s">
        <v>26</v>
      </c>
      <c r="J14" s="79">
        <f ca="1">IF($B$58="",0,INT(RAND()*5)+INT(RAND()*3)*INT(RAND()*2))</f>
        <v>2</v>
      </c>
      <c r="K14" s="9" t="s">
        <v>27</v>
      </c>
      <c r="L14" s="1"/>
      <c r="M14" s="11" t="str">
        <f>VLOOKUP(3,$X$12:$AC$15,2,FALSE)</f>
        <v>Niederlande</v>
      </c>
      <c r="N14" s="2">
        <f>VLOOKUP(3,$X$12:$AC$15,3,FALSE)</f>
        <v>3</v>
      </c>
      <c r="O14" s="2">
        <f>VLOOKUP(3,$X$12:$AC$15,4,FALSE)</f>
        <v>7</v>
      </c>
      <c r="P14" s="2">
        <f>VLOOKUP(3,$X$12:$AC$15,5,FALSE)</f>
        <v>5</v>
      </c>
      <c r="Q14" s="2">
        <f>VLOOKUP(3,$X$12:$AC$15,6,FALSE)</f>
        <v>2</v>
      </c>
      <c r="S14" s="84">
        <f>IF(J15="",0,IF(K15=$B$57,IF(H15&lt;J15,3,IF(H15=J15,1,0)),0))</f>
        <v>3</v>
      </c>
      <c r="T14" s="84">
        <f>IF(J18="",0,IF(K17=$B$57,IF(H18&lt;J18,3,IF(H18=J18,1,0)),0))</f>
        <v>1</v>
      </c>
      <c r="U14" s="83"/>
      <c r="V14" s="84">
        <f>IF(H14="",0,IF(K14=$B$57,IF(H14&gt;J14,3,IF(H14=J14,1,0)),0))</f>
        <v>3</v>
      </c>
      <c r="W14" s="85"/>
      <c r="X14" s="85">
        <f>RANK(AD14,$AD$12:$AD$15)</f>
        <v>2</v>
      </c>
      <c r="Y14" s="86" t="str">
        <f>B86</f>
        <v>Japan</v>
      </c>
      <c r="Z14" s="1">
        <f>SUM(S14:V14)</f>
        <v>7</v>
      </c>
      <c r="AA14" s="1">
        <f>SUM(S18:V18)</f>
        <v>11</v>
      </c>
      <c r="AB14" s="1">
        <f>SUM(U16:U19)</f>
        <v>8</v>
      </c>
      <c r="AC14" s="1">
        <f>AA14-AB14</f>
        <v>3</v>
      </c>
      <c r="AD14" s="31">
        <f>IF(P$18="",AE14*10000000000000000+Z14*100000000000000+AC14*1000000000000+AA14*10000000000+AK14*100000000+AJ14*1000000+AP14*10000+AU14*100+AV14,AE14*10000000000000000+Z14*100000000000000+AK14*1000000000000+AJ14*10000000000+AP14*100000000+AU14*1000000+AC14*10000+AA14*100+AV14)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703110000000402</v>
      </c>
      <c r="AE14" s="5"/>
      <c r="AF14" s="32">
        <f>IF($Z14=$Z12,$S14-$U12,0)</f>
        <v>0</v>
      </c>
      <c r="AG14" s="32">
        <f>IF($Z14=$Z13,$T14-$U13,0)</f>
        <v>0</v>
      </c>
      <c r="AH14" s="32"/>
      <c r="AI14" s="32">
        <f>IF($Z14=$Z15,$V14-$U15,0)</f>
        <v>0</v>
      </c>
      <c r="AJ14" s="32">
        <f>SUM(AF14:AI14)</f>
        <v>0</v>
      </c>
      <c r="AK14" s="5"/>
      <c r="AL14" s="32">
        <f>IF($Z14=$Z12,$S18-$U16,0)</f>
        <v>0</v>
      </c>
      <c r="AM14" s="32">
        <f>IF($Z14=$Z13,$T18-$U17,0)</f>
        <v>0</v>
      </c>
      <c r="AN14" s="32"/>
      <c r="AO14" s="32">
        <f>IF($Z14=$Z15,$V18-$U19,0)</f>
        <v>0</v>
      </c>
      <c r="AP14" s="32">
        <f>SUM(AL14:AO14)</f>
        <v>0</v>
      </c>
      <c r="AQ14" s="32">
        <f>IF($Z14=$Z12,$S18,0)</f>
        <v>0</v>
      </c>
      <c r="AR14" s="32">
        <f>IF($Z14=$Z13,$T18,0)</f>
        <v>4</v>
      </c>
      <c r="AS14" s="32"/>
      <c r="AT14" s="32">
        <f>IF($Z14=$Z15,$V18,0)</f>
        <v>0</v>
      </c>
      <c r="AU14" s="32">
        <f>SUM(AQ14:AT14)</f>
        <v>4</v>
      </c>
      <c r="AV14" s="5">
        <v>2</v>
      </c>
      <c r="AW14" s="31"/>
      <c r="BA14" s="2">
        <f>BA13+1</f>
        <v>12</v>
      </c>
      <c r="BB14" s="7">
        <v>41806.875</v>
      </c>
      <c r="BC14" s="4" t="s">
        <v>34</v>
      </c>
      <c r="BD14" s="78" t="str">
        <f>BY14</f>
        <v>Australien</v>
      </c>
      <c r="BE14" s="58" t="s">
        <v>25</v>
      </c>
      <c r="BF14" s="78" t="str">
        <f>BY15</f>
        <v>Frankreich</v>
      </c>
      <c r="BG14" s="75"/>
      <c r="BH14" s="80">
        <f ca="1">IF($B$58="",1,INT(RAND()*5)+INT(RAND()*3)*INT(RAND()*2))</f>
        <v>3</v>
      </c>
      <c r="BI14" s="13" t="s">
        <v>26</v>
      </c>
      <c r="BJ14" s="79">
        <f ca="1">IF($B$58="",0,INT(RAND()*5)+INT(RAND()*3)*INT(RAND()*2))</f>
        <v>1</v>
      </c>
      <c r="BK14" s="9" t="s">
        <v>27</v>
      </c>
      <c r="BL14" s="1"/>
      <c r="BM14" s="11" t="str">
        <f>VLOOKUP(3,$BX$12:$CC$15,2,FALSE)</f>
        <v>Frankreich</v>
      </c>
      <c r="BN14" s="2">
        <f>VLOOKUP(3,$BX$12:$CC$15,3,FALSE)</f>
        <v>4</v>
      </c>
      <c r="BO14" s="2">
        <f>VLOOKUP(3,$BX$12:$CC$15,4,FALSE)</f>
        <v>4</v>
      </c>
      <c r="BP14" s="2">
        <f>VLOOKUP(3,$BX$12:$CC$15,5,FALSE)</f>
        <v>5</v>
      </c>
      <c r="BQ14" s="2">
        <f>VLOOKUP(3,$BX$12:$CC$15,6,FALSE)</f>
        <v>-1</v>
      </c>
      <c r="BS14" s="84">
        <f>IF(BJ15="",0,IF(BK15=$B$57,IF(BH15&lt;BJ15,3,IF(BH15=BJ15,1,0)),0))</f>
        <v>3</v>
      </c>
      <c r="BT14" s="84">
        <f>IF(BJ18="",0,IF(BK17=$B$57,IF(BH18&lt;BJ18,3,IF(BH18=BJ18,1,0)),0))</f>
        <v>0</v>
      </c>
      <c r="BU14" s="83"/>
      <c r="BV14" s="84">
        <f>IF(BH14="",0,IF(BK14=$B$57,IF(BH14&gt;BJ14,3,IF(BH14=BJ14,1,0)),0))</f>
        <v>3</v>
      </c>
      <c r="BW14" s="85"/>
      <c r="BX14" s="85">
        <f>RANK(CD14,$CD$12:$CD$15)</f>
        <v>2</v>
      </c>
      <c r="BY14" s="86" t="str">
        <f>B90</f>
        <v>Australien</v>
      </c>
      <c r="BZ14" s="1">
        <f>SUM(BS14:BV14)</f>
        <v>6</v>
      </c>
      <c r="CA14" s="1">
        <f>SUM(BS18:BV18)</f>
        <v>8</v>
      </c>
      <c r="CB14" s="1">
        <f>SUM(BU16:BU19)</f>
        <v>9</v>
      </c>
      <c r="CC14" s="1">
        <f>CA14-CB14</f>
        <v>-1</v>
      </c>
      <c r="CD14" s="31">
        <f>IF(BP$18="",CE14*10000000000000000+BZ14*100000000000000+CC14*1000000000000+CA14*10000000000+CK14*100000000+CJ14*1000000+CP14*10000+CU14*100+CV14,CE14*10000000000000000+BZ14*100000000000000+CK14*1000000000000+CJ14*10000000000+CP14*100000000+CU14*1000000+CC14*10000+CA14*100+CV14)</f>
        <v>599079996960102</v>
      </c>
      <c r="CE14" s="5"/>
      <c r="CF14" s="32">
        <f>IF($BZ14=$BZ12,$BS14-$BU12,0)</f>
        <v>0</v>
      </c>
      <c r="CG14" s="32">
        <f>IF($BZ14=$BZ13,$BT14-$BU13,0)</f>
        <v>-3</v>
      </c>
      <c r="CH14" s="32"/>
      <c r="CI14" s="32">
        <f>IF($BZ14=$BZ15,$BV14-$BU15,0)</f>
        <v>0</v>
      </c>
      <c r="CJ14" s="32">
        <f>SUM(CF14:CI14)</f>
        <v>-3</v>
      </c>
      <c r="CK14" s="5"/>
      <c r="CL14" s="32">
        <f>IF($BZ14=$BZ12,$BS18-$BU16,0)</f>
        <v>0</v>
      </c>
      <c r="CM14" s="32">
        <f>IF($BZ14=$BZ13,$BT18-$BU17,0)</f>
        <v>-4</v>
      </c>
      <c r="CN14" s="32"/>
      <c r="CO14" s="32">
        <f>IF($BZ14=$BZ15,$BV18-$BU19,0)</f>
        <v>0</v>
      </c>
      <c r="CP14" s="32">
        <f>SUM(CL14:CO14)</f>
        <v>-4</v>
      </c>
      <c r="CQ14" s="32">
        <f>IF($BZ14=$BZ12,$BS18,0)</f>
        <v>0</v>
      </c>
      <c r="CR14" s="32">
        <f>IF($BZ14=$BZ13,$BT18,0)</f>
        <v>1</v>
      </c>
      <c r="CS14" s="32"/>
      <c r="CT14" s="32">
        <f>IF($BZ14=$BZ15,$BV18,0)</f>
        <v>0</v>
      </c>
      <c r="CU14" s="32">
        <f>SUM(CQ14:CT14)</f>
        <v>1</v>
      </c>
      <c r="CV14" s="5">
        <v>2</v>
      </c>
      <c r="CW14" s="31"/>
    </row>
    <row r="15" spans="1:101" ht="12.75">
      <c r="A15" s="2">
        <f>A13+16</f>
        <v>19</v>
      </c>
      <c r="B15" s="7">
        <v>41809</v>
      </c>
      <c r="C15" s="4" t="s">
        <v>41</v>
      </c>
      <c r="D15" s="78" t="str">
        <f>Y12</f>
        <v>Uruguay</v>
      </c>
      <c r="E15" s="58" t="s">
        <v>25</v>
      </c>
      <c r="F15" s="78" t="str">
        <f>Y14</f>
        <v>Japan</v>
      </c>
      <c r="G15" s="75"/>
      <c r="H15" s="80">
        <f ca="1">IF($B$58="",1,INT(RAND()*5)+INT(RAND()*3)*INT(RAND()*2))</f>
        <v>2</v>
      </c>
      <c r="I15" s="13" t="s">
        <v>26</v>
      </c>
      <c r="J15" s="79">
        <f ca="1">IF($B$58="",0,INT(RAND()*5)+INT(RAND()*3)*INT(RAND()*2))</f>
        <v>4</v>
      </c>
      <c r="K15" s="9" t="s">
        <v>27</v>
      </c>
      <c r="L15" s="1"/>
      <c r="M15" s="11" t="str">
        <f>VLOOKUP(4,$X$12:$AC$15,2,FALSE)</f>
        <v>Uruguay</v>
      </c>
      <c r="N15" s="2">
        <f>VLOOKUP(4,$X$12:$AC$15,3,FALSE)</f>
        <v>0</v>
      </c>
      <c r="O15" s="2">
        <f>VLOOKUP(4,$X$12:$AC$15,4,FALSE)</f>
        <v>3</v>
      </c>
      <c r="P15" s="2">
        <f>VLOOKUP(4,$X$12:$AC$15,5,FALSE)</f>
        <v>12</v>
      </c>
      <c r="Q15" s="2">
        <f>VLOOKUP(4,$X$12:$AC$15,6,FALSE)</f>
        <v>-9</v>
      </c>
      <c r="S15" s="84">
        <f>IF(H17="",0,IF(K18=$B$57,IF(H17&gt;J17,3,IF(H17=J17,1,0)),0))</f>
        <v>3</v>
      </c>
      <c r="T15" s="84">
        <f>IF(H16="",0,IF(K16=$B$57,IF(J16&lt;H16,3,IF(J16=H16,1,0)),0))</f>
        <v>0</v>
      </c>
      <c r="U15" s="84">
        <f>IF(J14="",0,IF(K14=$B$57,IF(H14&lt;J14,3,IF(H14=J14,1,0)),0))</f>
        <v>0</v>
      </c>
      <c r="V15" s="83"/>
      <c r="W15" s="85"/>
      <c r="X15" s="85">
        <f>RANK(AD15,$AD$12:$AD$15)</f>
        <v>3</v>
      </c>
      <c r="Y15" s="86" t="str">
        <f>B96</f>
        <v>Niederlande</v>
      </c>
      <c r="Z15" s="1">
        <f>SUM(S15:V15)</f>
        <v>3</v>
      </c>
      <c r="AA15" s="1">
        <f>SUM(S19:V19)</f>
        <v>7</v>
      </c>
      <c r="AB15" s="1">
        <f>SUM(V16:V19)</f>
        <v>5</v>
      </c>
      <c r="AC15" s="1">
        <f>AA15-AB15</f>
        <v>2</v>
      </c>
      <c r="AD15" s="31">
        <f>IF(P$18="",AE15*10000000000000000+Z15*100000000000000+AC15*1000000000000+AA15*10000000000+AK15*100000000+AJ15*1000000+AP15*10000+AU15*100+AV15,AE15*10000000000000000+Z15*100000000000000+AK15*1000000000000+AJ15*10000000000+AP15*100000000+AU15*1000000+AC15*10000+AA15*100+AV15)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302070000000001</v>
      </c>
      <c r="AE15" s="5"/>
      <c r="AF15" s="32">
        <f>IF($Z15=$Z12,$S15-$V12,0)</f>
        <v>0</v>
      </c>
      <c r="AG15" s="32">
        <f>IF($Z15=$Z13,$T15-$V13,0)</f>
        <v>0</v>
      </c>
      <c r="AH15" s="32">
        <f>IF($Z15=$Z14,$U15-$V14,0)</f>
        <v>0</v>
      </c>
      <c r="AI15" s="32"/>
      <c r="AJ15" s="32">
        <f>SUM(AF15:AI15)</f>
        <v>0</v>
      </c>
      <c r="AK15" s="5"/>
      <c r="AL15" s="32">
        <f>IF($Z15=$Z12,$S19-$V16,0)</f>
        <v>0</v>
      </c>
      <c r="AM15" s="32">
        <f>IF($Z15=$Z13,$T19-$V17,0)</f>
        <v>0</v>
      </c>
      <c r="AN15" s="32">
        <f>IF($Z15=$Z14,$U19-$V18,0)</f>
        <v>0</v>
      </c>
      <c r="AO15" s="32"/>
      <c r="AP15" s="32">
        <f>SUM(AL15:AO15)</f>
        <v>0</v>
      </c>
      <c r="AQ15" s="32">
        <f>IF($Z15=$Z12,$S19,0)</f>
        <v>0</v>
      </c>
      <c r="AR15" s="32">
        <f>IF($Z15=$Z13,$T19,0)</f>
        <v>0</v>
      </c>
      <c r="AS15" s="32">
        <f>IF($Z15=$Z14,$U19,0)</f>
        <v>0</v>
      </c>
      <c r="AT15" s="32"/>
      <c r="AU15" s="32">
        <f>SUM(AQ15:AT15)</f>
        <v>0</v>
      </c>
      <c r="AV15" s="5">
        <v>1</v>
      </c>
      <c r="AW15" s="31"/>
      <c r="BA15" s="2">
        <f>BA13+16</f>
        <v>27</v>
      </c>
      <c r="BB15" s="7">
        <v>41811.75</v>
      </c>
      <c r="BC15" s="4" t="s">
        <v>47</v>
      </c>
      <c r="BD15" s="78" t="str">
        <f>BY12</f>
        <v>Deutschland</v>
      </c>
      <c r="BE15" s="58" t="s">
        <v>25</v>
      </c>
      <c r="BF15" s="78" t="str">
        <f>BY14</f>
        <v>Australien</v>
      </c>
      <c r="BG15" s="75"/>
      <c r="BH15" s="80">
        <f ca="1">IF($B$58="",1,INT(RAND()*5)+INT(RAND()*3)*INT(RAND()*2))</f>
        <v>3</v>
      </c>
      <c r="BI15" s="13" t="s">
        <v>26</v>
      </c>
      <c r="BJ15" s="79">
        <f ca="1">IF($B$58="",0,INT(RAND()*5)+INT(RAND()*3)*INT(RAND()*2))</f>
        <v>4</v>
      </c>
      <c r="BK15" s="9" t="s">
        <v>27</v>
      </c>
      <c r="BL15" s="1"/>
      <c r="BM15" s="11" t="str">
        <f>VLOOKUP(4,$BX$12:$CC$15,2,FALSE)</f>
        <v>Deutschland</v>
      </c>
      <c r="BN15" s="2">
        <f>VLOOKUP(4,$BX$12:$CC$15,3,FALSE)</f>
        <v>1</v>
      </c>
      <c r="BO15" s="2">
        <f>VLOOKUP(4,$BX$12:$CC$15,4,FALSE)</f>
        <v>7</v>
      </c>
      <c r="BP15" s="2">
        <f>VLOOKUP(4,$BX$12:$CC$15,5,FALSE)</f>
        <v>9</v>
      </c>
      <c r="BQ15" s="2">
        <f>VLOOKUP(4,$BX$12:$CC$15,6,FALSE)</f>
        <v>-2</v>
      </c>
      <c r="BS15" s="84">
        <f>IF(BH17="",0,IF(BK18=$B$57,IF(BH17&gt;BJ17,3,IF(BH17=BJ17,1,0)),0))</f>
        <v>1</v>
      </c>
      <c r="BT15" s="84">
        <f>IF(BH16="",0,IF(BK16=$B$57,IF(BJ16&lt;BH16,3,IF(BJ16=BH16,1,0)),0))</f>
        <v>3</v>
      </c>
      <c r="BU15" s="84">
        <f>IF(BJ14="",0,IF(BK14=$B$57,IF(BH14&lt;BJ14,3,IF(BH14=BJ14,1,0)),0))</f>
        <v>0</v>
      </c>
      <c r="BV15" s="83"/>
      <c r="BW15" s="85"/>
      <c r="BX15" s="85">
        <f>RANK(CD15,$CD$12:$CD$15)</f>
        <v>3</v>
      </c>
      <c r="BY15" s="86" t="str">
        <f>B100</f>
        <v>Frankreich</v>
      </c>
      <c r="BZ15" s="1">
        <f>SUM(BS15:BV15)</f>
        <v>4</v>
      </c>
      <c r="CA15" s="1">
        <f>SUM(BS19:BV19)</f>
        <v>4</v>
      </c>
      <c r="CB15" s="1">
        <f>SUM(BV16:BV19)</f>
        <v>5</v>
      </c>
      <c r="CC15" s="1">
        <f>CA15-CB15</f>
        <v>-1</v>
      </c>
      <c r="CD15" s="31">
        <f>IF(BP$18="",CE15*10000000000000000+BZ15*100000000000000+CC15*1000000000000+CA15*10000000000+CK15*100000000+CJ15*1000000+CP15*10000+CU15*100+CV15,CE15*10000000000000000+BZ15*100000000000000+CK15*1000000000000+CJ15*10000000000+CP15*100000000+CU15*1000000+CC15*10000+CA15*100+CV15)</f>
        <v>399040000000001</v>
      </c>
      <c r="CE15" s="5"/>
      <c r="CF15" s="32">
        <f>IF($BZ15=$BZ12,$BS15-$BV12,0)</f>
        <v>0</v>
      </c>
      <c r="CG15" s="32">
        <f>IF($BZ15=$BZ13,$BT15-$BV13,0)</f>
        <v>0</v>
      </c>
      <c r="CH15" s="32">
        <f>IF($BZ15=$BZ14,$BU15-$BV14,0)</f>
        <v>0</v>
      </c>
      <c r="CI15" s="32"/>
      <c r="CJ15" s="32">
        <f>SUM(CF15:CI15)</f>
        <v>0</v>
      </c>
      <c r="CK15" s="5"/>
      <c r="CL15" s="32">
        <f>IF($BZ15=$BZ12,$BS19-$BV16,0)</f>
        <v>0</v>
      </c>
      <c r="CM15" s="32">
        <f>IF($BZ15=$BZ13,$BT19-$BV17,0)</f>
        <v>0</v>
      </c>
      <c r="CN15" s="32">
        <f>IF($BZ15=$BZ14,$BU19-$BV18,0)</f>
        <v>0</v>
      </c>
      <c r="CO15" s="32"/>
      <c r="CP15" s="32">
        <f>SUM(CL15:CO15)</f>
        <v>0</v>
      </c>
      <c r="CQ15" s="32">
        <f>IF($BZ15=$BZ12,$BS19,0)</f>
        <v>0</v>
      </c>
      <c r="CR15" s="32">
        <f>IF($BZ15=$BZ13,$BT19,0)</f>
        <v>0</v>
      </c>
      <c r="CS15" s="32">
        <f>IF($BZ15=$BZ14,$BU19,0)</f>
        <v>0</v>
      </c>
      <c r="CT15" s="32"/>
      <c r="CU15" s="32">
        <f>SUM(CQ15:CT15)</f>
        <v>0</v>
      </c>
      <c r="CV15" s="5">
        <v>1</v>
      </c>
      <c r="CW15" s="31"/>
    </row>
    <row r="16" spans="1:101" ht="12.75">
      <c r="A16" s="2">
        <f>A15+1</f>
        <v>20</v>
      </c>
      <c r="B16" s="7">
        <v>41808.75</v>
      </c>
      <c r="C16" s="4" t="s">
        <v>30</v>
      </c>
      <c r="D16" s="78" t="str">
        <f>Y15</f>
        <v>Niederlande</v>
      </c>
      <c r="E16" s="58" t="s">
        <v>25</v>
      </c>
      <c r="F16" s="78" t="str">
        <f>Y13</f>
        <v>Chile</v>
      </c>
      <c r="G16" s="77"/>
      <c r="H16" s="79">
        <f ca="1">IF($B$58="",1,INT(RAND()*5)+INT(RAND()*3)*INT(RAND()*2))</f>
        <v>0</v>
      </c>
      <c r="I16" s="13" t="s">
        <v>26</v>
      </c>
      <c r="J16" s="79">
        <f ca="1">IF($B$58="",0,INT(RAND()*5)+INT(RAND()*3)*INT(RAND()*2))</f>
        <v>2</v>
      </c>
      <c r="K16" s="9" t="s">
        <v>27</v>
      </c>
      <c r="L16" s="1"/>
      <c r="N16" s="1"/>
      <c r="O16" s="1"/>
      <c r="P16" s="1"/>
      <c r="S16" s="83"/>
      <c r="T16" s="84">
        <f>IF(K13=$B$57,H13,0)</f>
        <v>1</v>
      </c>
      <c r="U16" s="84">
        <f>IF(K15=$B$57,H15,0)</f>
        <v>2</v>
      </c>
      <c r="V16" s="84">
        <f>IF(K18=$B$57,J17,0)</f>
        <v>0</v>
      </c>
      <c r="W16" s="85"/>
      <c r="X16" s="85"/>
      <c r="Y16" s="85"/>
      <c r="Z16" s="1"/>
      <c r="AA16" s="1"/>
      <c r="AB16" s="1"/>
      <c r="AC16" s="1"/>
      <c r="AD16" s="6"/>
      <c r="AE16" s="9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V16" s="32"/>
      <c r="AW16" s="31"/>
      <c r="BA16" s="2">
        <f>BA15+1</f>
        <v>28</v>
      </c>
      <c r="BB16" s="7">
        <v>41812</v>
      </c>
      <c r="BC16" s="4" t="s">
        <v>46</v>
      </c>
      <c r="BD16" s="78" t="str">
        <f>BY15</f>
        <v>Frankreich</v>
      </c>
      <c r="BE16" s="58" t="s">
        <v>25</v>
      </c>
      <c r="BF16" s="78" t="str">
        <f>BY13</f>
        <v>Ghana</v>
      </c>
      <c r="BG16" s="77"/>
      <c r="BH16" s="79">
        <f ca="1">IF($B$58="",1,INT(RAND()*5)+INT(RAND()*3)*INT(RAND()*2))</f>
        <v>2</v>
      </c>
      <c r="BI16" s="13" t="s">
        <v>26</v>
      </c>
      <c r="BJ16" s="79">
        <f ca="1">IF($B$58="",0,INT(RAND()*5)+INT(RAND()*3)*INT(RAND()*2))</f>
        <v>1</v>
      </c>
      <c r="BK16" s="9" t="s">
        <v>27</v>
      </c>
      <c r="BL16" s="1"/>
      <c r="BN16" s="1"/>
      <c r="BO16" s="1"/>
      <c r="BP16" s="1"/>
      <c r="BS16" s="83"/>
      <c r="BT16" s="84">
        <f>IF(BK13=$B$57,BH13,0)</f>
        <v>3</v>
      </c>
      <c r="BU16" s="84">
        <f>IF(BK15=$B$57,BH15,0)</f>
        <v>3</v>
      </c>
      <c r="BV16" s="84">
        <f>IF(BK18=$B$57,BJ17,0)</f>
        <v>1</v>
      </c>
      <c r="BW16" s="85"/>
      <c r="BX16" s="85"/>
      <c r="BY16" s="85"/>
      <c r="BZ16" s="1"/>
      <c r="CA16" s="1"/>
      <c r="CB16" s="1"/>
      <c r="CC16" s="1"/>
      <c r="CD16" s="6"/>
      <c r="CE16" s="9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V16" s="32"/>
      <c r="CW16" s="31"/>
    </row>
    <row r="17" spans="1:101" ht="12.75">
      <c r="A17" s="2">
        <f>A15+16</f>
        <v>35</v>
      </c>
      <c r="B17" s="7">
        <v>41813.75</v>
      </c>
      <c r="C17" s="4" t="s">
        <v>34</v>
      </c>
      <c r="D17" s="78" t="str">
        <f>Y15</f>
        <v>Niederlande</v>
      </c>
      <c r="E17" s="58" t="s">
        <v>25</v>
      </c>
      <c r="F17" s="78" t="str">
        <f>Y12</f>
        <v>Uruguay</v>
      </c>
      <c r="G17" s="75"/>
      <c r="H17" s="79">
        <f ca="1">IF($B$58="",1,INT(RAND()*5)+INT(RAND()*3)*INT(RAND()*2))</f>
        <v>5</v>
      </c>
      <c r="I17" s="13" t="s">
        <v>26</v>
      </c>
      <c r="J17" s="79">
        <f ca="1">IF($B$58="",0,INT(RAND()*5)+INT(RAND()*3)*INT(RAND()*2))</f>
        <v>0</v>
      </c>
      <c r="K17" s="9" t="s">
        <v>27</v>
      </c>
      <c r="M17" s="50" t="str">
        <f>IF(N12&gt;0,M12,"")</f>
        <v>Chile</v>
      </c>
      <c r="N17" s="2" t="s">
        <v>48</v>
      </c>
      <c r="P17" s="40"/>
      <c r="S17" s="84">
        <f>IF(K13=$B$57,J13,0)</f>
        <v>3</v>
      </c>
      <c r="T17" s="83"/>
      <c r="U17" s="84">
        <f>IF(K17=$B$57,H18,0)</f>
        <v>4</v>
      </c>
      <c r="V17" s="84">
        <f>IF(K16=$B$57,J16,0)</f>
        <v>2</v>
      </c>
      <c r="AD17" s="2" t="s">
        <v>36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V17" s="33"/>
      <c r="AW17" s="31"/>
      <c r="BA17" s="2">
        <f>BA15+16</f>
        <v>43</v>
      </c>
      <c r="BB17" s="7">
        <v>41815.75</v>
      </c>
      <c r="BC17" s="4" t="s">
        <v>30</v>
      </c>
      <c r="BD17" s="78" t="str">
        <f>BY15</f>
        <v>Frankreich</v>
      </c>
      <c r="BE17" s="58" t="s">
        <v>25</v>
      </c>
      <c r="BF17" s="78" t="str">
        <f>BY12</f>
        <v>Deutschland</v>
      </c>
      <c r="BG17" s="75"/>
      <c r="BH17" s="79">
        <f ca="1">IF($B$58="",1,INT(RAND()*5)+INT(RAND()*3)*INT(RAND()*2))</f>
        <v>1</v>
      </c>
      <c r="BI17" s="13" t="s">
        <v>26</v>
      </c>
      <c r="BJ17" s="79">
        <f ca="1">IF($B$58="",0,INT(RAND()*5)+INT(RAND()*3)*INT(RAND()*2))</f>
        <v>1</v>
      </c>
      <c r="BK17" s="9" t="s">
        <v>27</v>
      </c>
      <c r="BM17" s="107" t="str">
        <f>IF(BN12&gt;0,BM12,"")</f>
        <v>Ghana</v>
      </c>
      <c r="BN17" s="2" t="s">
        <v>49</v>
      </c>
      <c r="BP17" s="40"/>
      <c r="BS17" s="84">
        <f>IF(BK13=$B$57,BJ13,0)</f>
        <v>4</v>
      </c>
      <c r="BT17" s="83"/>
      <c r="BU17" s="84">
        <f>IF(BK17=$B$57,BH18,0)</f>
        <v>5</v>
      </c>
      <c r="BV17" s="84">
        <f>IF(BK16=$B$57,BJ16,0)</f>
        <v>1</v>
      </c>
      <c r="CD17" s="2" t="s">
        <v>36</v>
      </c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V17" s="33"/>
      <c r="CW17" s="31"/>
    </row>
    <row r="18" spans="1:101" ht="12.75">
      <c r="A18" s="2">
        <f>A17+1</f>
        <v>36</v>
      </c>
      <c r="B18" s="7">
        <v>41813.75</v>
      </c>
      <c r="C18" s="4" t="s">
        <v>24</v>
      </c>
      <c r="D18" s="78" t="str">
        <f>Y13</f>
        <v>Chile</v>
      </c>
      <c r="E18" s="58" t="s">
        <v>25</v>
      </c>
      <c r="F18" s="78" t="str">
        <f>Y14</f>
        <v>Japan</v>
      </c>
      <c r="G18" s="77"/>
      <c r="H18" s="80">
        <f ca="1">IF($B$58="",1,INT(RAND()*5)+INT(RAND()*3)*INT(RAND()*2))</f>
        <v>4</v>
      </c>
      <c r="I18" s="13" t="s">
        <v>26</v>
      </c>
      <c r="J18" s="80">
        <f ca="1">IF($B$58="",0,INT(RAND()*5)+INT(RAND()*3)*INT(RAND()*2))</f>
        <v>4</v>
      </c>
      <c r="K18" s="9" t="s">
        <v>27</v>
      </c>
      <c r="M18" s="50" t="str">
        <f>IF(N13&gt;0,M13,"")</f>
        <v>Japan</v>
      </c>
      <c r="N18" s="2" t="s">
        <v>50</v>
      </c>
      <c r="O18" s="41"/>
      <c r="P18" s="42"/>
      <c r="S18" s="84">
        <f>IF(K15=$B$57,J15,0)</f>
        <v>4</v>
      </c>
      <c r="T18" s="84">
        <f>IF(K17=$B$57,J18,0)</f>
        <v>4</v>
      </c>
      <c r="U18" s="83"/>
      <c r="V18" s="84">
        <f>IF(K14=$B$57,H14,0)</f>
        <v>3</v>
      </c>
      <c r="AD18" s="2" t="s">
        <v>40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V18" s="33"/>
      <c r="AW18" s="31"/>
      <c r="BA18" s="2">
        <f>BA17+1</f>
        <v>44</v>
      </c>
      <c r="BB18" s="7">
        <v>41815.75</v>
      </c>
      <c r="BC18" s="4" t="s">
        <v>32</v>
      </c>
      <c r="BD18" s="78" t="str">
        <f>BY13</f>
        <v>Ghana</v>
      </c>
      <c r="BE18" s="58" t="s">
        <v>25</v>
      </c>
      <c r="BF18" s="78" t="str">
        <f>BY14</f>
        <v>Australien</v>
      </c>
      <c r="BG18" s="77"/>
      <c r="BH18" s="80">
        <f ca="1">IF($B$58="",1,INT(RAND()*5)+INT(RAND()*3)*INT(RAND()*2))</f>
        <v>5</v>
      </c>
      <c r="BI18" s="13" t="s">
        <v>26</v>
      </c>
      <c r="BJ18" s="79">
        <f ca="1">IF($B$58="",0,INT(RAND()*5)+INT(RAND()*3)*INT(RAND()*2))</f>
        <v>1</v>
      </c>
      <c r="BK18" s="9" t="s">
        <v>27</v>
      </c>
      <c r="BM18" s="107" t="str">
        <f>IF(BN13&gt;0,BM13,"")</f>
        <v>Australien</v>
      </c>
      <c r="BN18" s="2" t="s">
        <v>51</v>
      </c>
      <c r="BO18" s="41"/>
      <c r="BP18" s="42"/>
      <c r="BS18" s="84">
        <f>IF(BK15=$B$57,BJ15,0)</f>
        <v>4</v>
      </c>
      <c r="BT18" s="84">
        <f>IF(BK17=$B$57,BJ18,0)</f>
        <v>1</v>
      </c>
      <c r="BU18" s="83"/>
      <c r="BV18" s="84">
        <f>IF(BK14=$B$57,BH14,0)</f>
        <v>3</v>
      </c>
      <c r="CD18" s="2" t="s">
        <v>40</v>
      </c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V18" s="33"/>
      <c r="CW18" s="31"/>
    </row>
    <row r="19" spans="4:101" ht="12.75">
      <c r="D19" s="77"/>
      <c r="E19" s="77"/>
      <c r="F19" s="77"/>
      <c r="G19" s="77"/>
      <c r="S19" s="84">
        <f>IF(K18=$B$57,H17,0)</f>
        <v>5</v>
      </c>
      <c r="T19" s="84">
        <f>IF(K16=$B$57,H16,0)</f>
        <v>0</v>
      </c>
      <c r="U19" s="84">
        <f>IF(K14=$B$57,J14,0)</f>
        <v>2</v>
      </c>
      <c r="V19" s="83"/>
      <c r="AD19" s="2" t="s">
        <v>43</v>
      </c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V19" s="33"/>
      <c r="AW19" s="31"/>
      <c r="BD19" s="77"/>
      <c r="BE19" s="77"/>
      <c r="BF19" s="77"/>
      <c r="BG19" s="77"/>
      <c r="BS19" s="84">
        <f>IF(BK18=$B$57,BH17,0)</f>
        <v>1</v>
      </c>
      <c r="BT19" s="84">
        <f>IF(BK16=$B$57,BH16,0)</f>
        <v>2</v>
      </c>
      <c r="BU19" s="84">
        <f>IF(BK14=$B$57,BJ14,0)</f>
        <v>1</v>
      </c>
      <c r="BV19" s="83"/>
      <c r="CD19" s="2" t="s">
        <v>43</v>
      </c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V19" s="33"/>
      <c r="CW19" s="31"/>
    </row>
    <row r="20" spans="4:101" ht="6" customHeight="1">
      <c r="D20" s="77"/>
      <c r="E20" s="81"/>
      <c r="F20" s="82"/>
      <c r="G20" s="82"/>
      <c r="H20" s="77"/>
      <c r="I20" s="77"/>
      <c r="J20" s="77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V20" s="33"/>
      <c r="AW20" s="31"/>
      <c r="BD20" s="77"/>
      <c r="BE20" s="81"/>
      <c r="BF20" s="82"/>
      <c r="BG20" s="82"/>
      <c r="BH20" s="77"/>
      <c r="BI20" s="77"/>
      <c r="BJ20" s="77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V20" s="33"/>
      <c r="CW20" s="31"/>
    </row>
    <row r="21" spans="2:101" s="12" customFormat="1" ht="12.75">
      <c r="B21" s="37" t="s">
        <v>0</v>
      </c>
      <c r="C21" s="34" t="s">
        <v>52</v>
      </c>
      <c r="D21" s="75" t="s">
        <v>2</v>
      </c>
      <c r="E21" s="76"/>
      <c r="F21" s="75"/>
      <c r="G21" s="75"/>
      <c r="H21" s="25"/>
      <c r="I21" s="24"/>
      <c r="J21" s="25"/>
      <c r="K21" s="26"/>
      <c r="L21" s="22"/>
      <c r="M21" s="48" t="s">
        <v>3</v>
      </c>
      <c r="N21" s="22" t="s">
        <v>4</v>
      </c>
      <c r="O21" s="22" t="s">
        <v>5</v>
      </c>
      <c r="P21" s="22" t="s">
        <v>6</v>
      </c>
      <c r="Q21" s="22" t="s">
        <v>7</v>
      </c>
      <c r="R21" s="22"/>
      <c r="S21" s="77"/>
      <c r="T21" s="77"/>
      <c r="U21" s="77"/>
      <c r="V21" s="77"/>
      <c r="W21" s="75"/>
      <c r="X21" s="75" t="s">
        <v>8</v>
      </c>
      <c r="Y21" s="78" t="s">
        <v>9</v>
      </c>
      <c r="Z21" s="22" t="s">
        <v>4</v>
      </c>
      <c r="AA21" s="22" t="s">
        <v>5</v>
      </c>
      <c r="AB21" s="22" t="s">
        <v>6</v>
      </c>
      <c r="AC21" s="22" t="s">
        <v>7</v>
      </c>
      <c r="AD21" s="22"/>
      <c r="AE21" s="26" t="s">
        <v>10</v>
      </c>
      <c r="AF21" s="20" t="s">
        <v>11</v>
      </c>
      <c r="AG21" s="20"/>
      <c r="AH21" s="20"/>
      <c r="AI21" s="20"/>
      <c r="AJ21" s="20" t="s">
        <v>12</v>
      </c>
      <c r="AK21" s="27" t="s">
        <v>13</v>
      </c>
      <c r="AL21" s="20" t="s">
        <v>14</v>
      </c>
      <c r="AM21" s="20"/>
      <c r="AN21" s="20"/>
      <c r="AO21" s="20"/>
      <c r="AP21" s="20" t="s">
        <v>15</v>
      </c>
      <c r="AQ21" s="20" t="s">
        <v>16</v>
      </c>
      <c r="AR21" s="20"/>
      <c r="AS21" s="20"/>
      <c r="AT21" s="20"/>
      <c r="AU21" s="21" t="s">
        <v>17</v>
      </c>
      <c r="AV21" s="27" t="s">
        <v>18</v>
      </c>
      <c r="AW21" s="30"/>
      <c r="AX21" s="22"/>
      <c r="AY21" s="22"/>
      <c r="BB21" s="102" t="s">
        <v>0</v>
      </c>
      <c r="BC21" s="73" t="s">
        <v>53</v>
      </c>
      <c r="BD21" s="75"/>
      <c r="BE21" s="76"/>
      <c r="BF21" s="75"/>
      <c r="BG21" s="75"/>
      <c r="BH21" s="25"/>
      <c r="BI21" s="24"/>
      <c r="BJ21" s="25"/>
      <c r="BK21" s="26"/>
      <c r="BL21" s="22"/>
      <c r="BM21" s="48" t="s">
        <v>3</v>
      </c>
      <c r="BN21" s="22" t="s">
        <v>4</v>
      </c>
      <c r="BO21" s="22" t="s">
        <v>5</v>
      </c>
      <c r="BP21" s="22" t="s">
        <v>6</v>
      </c>
      <c r="BQ21" s="22" t="s">
        <v>7</v>
      </c>
      <c r="BR21" s="22"/>
      <c r="BS21" s="77"/>
      <c r="BT21" s="77"/>
      <c r="BU21" s="77"/>
      <c r="BV21" s="77"/>
      <c r="BW21" s="75"/>
      <c r="BX21" s="75" t="s">
        <v>8</v>
      </c>
      <c r="BY21" s="78" t="s">
        <v>9</v>
      </c>
      <c r="BZ21" s="22" t="s">
        <v>4</v>
      </c>
      <c r="CA21" s="22" t="s">
        <v>5</v>
      </c>
      <c r="CB21" s="22" t="s">
        <v>6</v>
      </c>
      <c r="CC21" s="22" t="s">
        <v>7</v>
      </c>
      <c r="CD21" s="22"/>
      <c r="CE21" s="26" t="s">
        <v>10</v>
      </c>
      <c r="CF21" s="20" t="s">
        <v>11</v>
      </c>
      <c r="CG21" s="20"/>
      <c r="CH21" s="20"/>
      <c r="CI21" s="20"/>
      <c r="CJ21" s="20" t="s">
        <v>12</v>
      </c>
      <c r="CK21" s="27" t="s">
        <v>13</v>
      </c>
      <c r="CL21" s="20" t="s">
        <v>14</v>
      </c>
      <c r="CM21" s="20"/>
      <c r="CN21" s="20"/>
      <c r="CO21" s="20"/>
      <c r="CP21" s="20" t="s">
        <v>15</v>
      </c>
      <c r="CQ21" s="20" t="s">
        <v>16</v>
      </c>
      <c r="CR21" s="20"/>
      <c r="CS21" s="20"/>
      <c r="CT21" s="20"/>
      <c r="CU21" s="21" t="s">
        <v>17</v>
      </c>
      <c r="CV21" s="27" t="s">
        <v>18</v>
      </c>
      <c r="CW21" s="30"/>
    </row>
    <row r="22" spans="2:101" ht="12.75">
      <c r="B22" s="3" t="s">
        <v>22</v>
      </c>
      <c r="C22" s="3" t="s">
        <v>23</v>
      </c>
      <c r="D22" s="77"/>
      <c r="E22" s="77"/>
      <c r="F22" s="77"/>
      <c r="G22" s="77"/>
      <c r="L22" s="1"/>
      <c r="M22" s="11" t="str">
        <f>VLOOKUP(1,$X$22:$AC$25,2,FALSE)</f>
        <v>Iran</v>
      </c>
      <c r="N22" s="2">
        <f>VLOOKUP(1,$X$22:$AC$25,3,FALSE)</f>
        <v>5</v>
      </c>
      <c r="O22" s="2">
        <f>VLOOKUP(1,$X$22:$AC$25,4,FALSE)</f>
        <v>10</v>
      </c>
      <c r="P22" s="2">
        <f>VLOOKUP(1,$X$22:$AC$25,5,FALSE)</f>
        <v>6</v>
      </c>
      <c r="Q22" s="2">
        <f>VLOOKUP(1,$X$22:$AC$25,6,FALSE)</f>
        <v>4</v>
      </c>
      <c r="S22" s="83"/>
      <c r="T22" s="84">
        <f>IF(H23="",0,IF(K23=$B$57,IF(H23&gt;J23,3,IF(H23=J23,1,0)),0))</f>
        <v>1</v>
      </c>
      <c r="U22" s="84">
        <f>IF(H25="",0,IF(K25=$B$57,IF(H25&gt;J25,3,IF(H25=J25,1,0)),0))</f>
        <v>1</v>
      </c>
      <c r="V22" s="84">
        <f>IF(J27="",0,IF(K28=$B$57,IF(H27&lt;J27,3,IF(H27=J27,1,0)),0))</f>
        <v>3</v>
      </c>
      <c r="W22" s="85"/>
      <c r="X22" s="85">
        <f>RANK(AD22,$AD$22:$AD$25)</f>
        <v>2</v>
      </c>
      <c r="Y22" s="86" t="str">
        <f>B67</f>
        <v>Argentinien</v>
      </c>
      <c r="Z22" s="1">
        <f>SUM(S22:V22)</f>
        <v>5</v>
      </c>
      <c r="AA22" s="1">
        <f>SUM(S26:V26)</f>
        <v>10</v>
      </c>
      <c r="AB22" s="1">
        <f>SUM(S26:S29)</f>
        <v>8</v>
      </c>
      <c r="AC22" s="1">
        <f>AA22-AB22</f>
        <v>2</v>
      </c>
      <c r="AD22" s="31">
        <f>IF(P$28="",AE22*10000000000000000+Z22*100000000000000+AC22*1000000000000+AA22*10000000000+AK22*100000000+AJ22*1000000+AP22*10000+AU22*100+AV22,AE22*10000000000000000+Z22*100000000000000+AK22*1000000000000+AJ22*10000000000+AP22*100000000+AU22*1000000+AC22*10000+AA22*100+AV22)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502100000000104</v>
      </c>
      <c r="AE22" s="5"/>
      <c r="AF22" s="32"/>
      <c r="AG22" s="32">
        <f>IF($Z22=$Z23,$T22-$S23,0)</f>
        <v>0</v>
      </c>
      <c r="AH22" s="32">
        <f>IF($Z22=$Z24,$U22-$S24,0)</f>
        <v>0</v>
      </c>
      <c r="AI22" s="32">
        <f>IF($Z22=$Z25,$V22-$S25,0)</f>
        <v>0</v>
      </c>
      <c r="AJ22" s="32">
        <f>SUM(AF22:AI22)</f>
        <v>0</v>
      </c>
      <c r="AK22" s="5"/>
      <c r="AL22" s="32"/>
      <c r="AM22" s="32">
        <f>IF($Z22=$Z23,$T26-$S27,0)</f>
        <v>0</v>
      </c>
      <c r="AN22" s="32">
        <f>IF($Z22=$Z24,$U26-$S28,0)</f>
        <v>0</v>
      </c>
      <c r="AO22" s="32">
        <f>IF($Z22=$Z25,$V26-$S29,0)</f>
        <v>0</v>
      </c>
      <c r="AP22" s="32">
        <f>SUM(AL22:AO22)</f>
        <v>0</v>
      </c>
      <c r="AQ22" s="32"/>
      <c r="AR22" s="32">
        <f>IF($Z22=$Z23,$T26,0)</f>
        <v>0</v>
      </c>
      <c r="AS22" s="32">
        <f>IF($Z22=$Z24,$U26,0)</f>
        <v>1</v>
      </c>
      <c r="AT22" s="32">
        <f>IF($Z22=$Z25,$V26,0)</f>
        <v>0</v>
      </c>
      <c r="AU22" s="32">
        <f>SUM(AQ22:AT22)</f>
        <v>1</v>
      </c>
      <c r="AV22" s="5">
        <v>4</v>
      </c>
      <c r="AW22" s="31"/>
      <c r="BB22" s="3" t="s">
        <v>22</v>
      </c>
      <c r="BC22" s="3" t="s">
        <v>23</v>
      </c>
      <c r="BD22" s="77"/>
      <c r="BE22" s="77"/>
      <c r="BF22" s="77"/>
      <c r="BG22" s="77"/>
      <c r="BL22" s="1"/>
      <c r="BM22" s="11" t="str">
        <f>VLOOKUP(1,$BX$22:$CC$25,2,FALSE)</f>
        <v>Schweiz</v>
      </c>
      <c r="BN22" s="2">
        <f>VLOOKUP(1,$BX$22:$CC$25,3,FALSE)</f>
        <v>7</v>
      </c>
      <c r="BO22" s="2">
        <f>VLOOKUP(1,$BX$22:$CC$25,4,FALSE)</f>
        <v>6</v>
      </c>
      <c r="BP22" s="2">
        <f>VLOOKUP(1,$BX$22:$CC$25,5,FALSE)</f>
        <v>4</v>
      </c>
      <c r="BQ22" s="2">
        <f>VLOOKUP(1,$BX$22:$CC$25,6,FALSE)</f>
        <v>2</v>
      </c>
      <c r="BS22" s="83"/>
      <c r="BT22" s="84">
        <f>IF(BH23="",0,IF(BK23=$B$57,IF(BH23&gt;BJ23,3,IF(BH23=BJ23,1,0)),0))</f>
        <v>3</v>
      </c>
      <c r="BU22" s="84">
        <f>IF(BH25="",0,IF(BK25=$B$57,IF(BH25&gt;BJ25,3,IF(BH25=BJ25,1,0)),0))</f>
        <v>1</v>
      </c>
      <c r="BV22" s="84">
        <f>IF(BJ27="",0,IF(BK28=$B$57,IF(BH27&lt;BJ27,3,IF(BH27=BJ27,1,0)),0))</f>
        <v>3</v>
      </c>
      <c r="BW22" s="85"/>
      <c r="BX22" s="85">
        <f>RANK(CD22,$CD$22:$CD$25)</f>
        <v>1</v>
      </c>
      <c r="BY22" s="86" t="str">
        <f>B71</f>
        <v>Schweiz</v>
      </c>
      <c r="BZ22" s="1">
        <f>SUM(BS22:BV22)</f>
        <v>7</v>
      </c>
      <c r="CA22" s="1">
        <f>SUM(BS26:BV26)</f>
        <v>6</v>
      </c>
      <c r="CB22" s="1">
        <f>SUM(BS26:BS29)</f>
        <v>4</v>
      </c>
      <c r="CC22" s="1">
        <f>CA22-CB22</f>
        <v>2</v>
      </c>
      <c r="CD22" s="31">
        <f>IF(BP$28="",CE22*10000000000000000+BZ22*100000000000000+CC22*1000000000000+CA22*10000000000+CK22*100000000+CJ22*1000000+CP22*10000+CU22*100+CV22,CE22*10000000000000000+BZ22*100000000000000+CK22*1000000000000+CJ22*10000000000+CP22*100000000+CU22*1000000+CC22*10000+CA22*100+CV22)</f>
        <v>702060000000004</v>
      </c>
      <c r="CE22" s="5"/>
      <c r="CF22" s="32"/>
      <c r="CG22" s="32">
        <f>IF($BZ22=$BZ23,$BT22-$BS23,0)</f>
        <v>0</v>
      </c>
      <c r="CH22" s="32">
        <f>IF($BZ22=$BZ24,$BU22-$BS24,0)</f>
        <v>0</v>
      </c>
      <c r="CI22" s="32">
        <f>IF($BZ22=$BZ25,$BV22-$BS25,0)</f>
        <v>0</v>
      </c>
      <c r="CJ22" s="32">
        <f>SUM(CF22:CI22)</f>
        <v>0</v>
      </c>
      <c r="CK22" s="5"/>
      <c r="CL22" s="32"/>
      <c r="CM22" s="32">
        <f>IF($BZ22=$BZ23,$BT26-$BS27,0)</f>
        <v>0</v>
      </c>
      <c r="CN22" s="32">
        <f>IF($BZ22=$BZ24,$BU26-$BS28,0)</f>
        <v>0</v>
      </c>
      <c r="CO22" s="32">
        <f>IF($BZ22=$BZ25,$BV26-$BS29,0)</f>
        <v>0</v>
      </c>
      <c r="CP22" s="32">
        <f>SUM(CL22:CO22)</f>
        <v>0</v>
      </c>
      <c r="CQ22" s="32"/>
      <c r="CR22" s="32">
        <f>IF($BZ22=$BZ23,$BT26,0)</f>
        <v>0</v>
      </c>
      <c r="CS22" s="32">
        <f>IF($BZ22=$BZ24,$BU26,0)</f>
        <v>0</v>
      </c>
      <c r="CT22" s="32">
        <f>IF($BZ22=$BZ25,$BV26,0)</f>
        <v>0</v>
      </c>
      <c r="CU22" s="32">
        <f>SUM(CQ22:CT22)</f>
        <v>0</v>
      </c>
      <c r="CV22" s="5">
        <v>4</v>
      </c>
      <c r="CW22" s="31"/>
    </row>
    <row r="23" spans="1:101" ht="12.75">
      <c r="A23" s="2">
        <f>A13+2</f>
        <v>5</v>
      </c>
      <c r="B23" s="7">
        <v>41804.75</v>
      </c>
      <c r="C23" s="4" t="s">
        <v>47</v>
      </c>
      <c r="D23" s="78" t="str">
        <f>Y22</f>
        <v>Argentinien</v>
      </c>
      <c r="E23" s="58" t="s">
        <v>25</v>
      </c>
      <c r="F23" s="78" t="str">
        <f>Y23</f>
        <v>Nigeria</v>
      </c>
      <c r="G23" s="75"/>
      <c r="H23" s="79">
        <f ca="1">IF($B$58="",1,INT(RAND()*5)+INT(RAND()*3)*INT(RAND()*2))</f>
        <v>4</v>
      </c>
      <c r="I23" s="13" t="s">
        <v>26</v>
      </c>
      <c r="J23" s="79">
        <f ca="1">IF($B$58="",0,INT(RAND()*5)+INT(RAND()*3)*INT(RAND()*2))</f>
        <v>4</v>
      </c>
      <c r="K23" s="9" t="s">
        <v>27</v>
      </c>
      <c r="L23" s="1"/>
      <c r="M23" s="11" t="str">
        <f>VLOOKUP(2,$X$22:$AC$25,2,FALSE)</f>
        <v>Argentinien</v>
      </c>
      <c r="N23" s="2">
        <f>VLOOKUP(2,$X$22:$AC$25,3,FALSE)</f>
        <v>5</v>
      </c>
      <c r="O23" s="2">
        <f>VLOOKUP(2,$X$22:$AC$25,4,FALSE)</f>
        <v>10</v>
      </c>
      <c r="P23" s="2">
        <f>VLOOKUP(2,$X$22:$AC$25,5,FALSE)</f>
        <v>8</v>
      </c>
      <c r="Q23" s="2">
        <f>VLOOKUP(2,$X$22:$AC$25,6,FALSE)</f>
        <v>2</v>
      </c>
      <c r="S23" s="84">
        <f>IF(J23="",0,IF(K23=$B$57,IF(H23&lt;J23,3,IF(H23=J23,1,0)),0))</f>
        <v>1</v>
      </c>
      <c r="T23" s="83"/>
      <c r="U23" s="84">
        <f>IF(H28="",0,IF(K27=$B$57,IF(H28&gt;J28,3,IF(H28=J28,1,0)),0))</f>
        <v>0</v>
      </c>
      <c r="V23" s="84">
        <f>IF(J26="",0,IF(K26=$B$57,IF(J26&gt;H26,3,IF(J26=H26,1,0)),0))</f>
        <v>3</v>
      </c>
      <c r="W23" s="85"/>
      <c r="X23" s="85">
        <f>RANK(AD23,$AD$22:$AD$25)</f>
        <v>3</v>
      </c>
      <c r="Y23" s="86" t="str">
        <f>B77</f>
        <v>Nigeria</v>
      </c>
      <c r="Z23" s="1">
        <f>SUM(S23:V23)</f>
        <v>4</v>
      </c>
      <c r="AA23" s="1">
        <f>SUM(S27:V27)</f>
        <v>10</v>
      </c>
      <c r="AB23" s="1">
        <f>SUM(T26:T29)</f>
        <v>13</v>
      </c>
      <c r="AC23" s="1">
        <f>AA23-AB23</f>
        <v>-3</v>
      </c>
      <c r="AD23" s="31">
        <f>IF(P$28="",AE23*10000000000000000+Z23*100000000000000+AC23*1000000000000+AA23*10000000000+AK23*100000000+AJ23*1000000+AP23*10000+AU23*100+AV23,AE23*10000000000000000+Z23*100000000000000+AK23*1000000000000+AJ23*10000000000+AP23*100000000+AU23*1000000+AC23*10000+AA23*100+AV23)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397100000000003</v>
      </c>
      <c r="AE23" s="5"/>
      <c r="AF23" s="32">
        <f>IF($Z23=$Z22,$S23-$T22,0)</f>
        <v>0</v>
      </c>
      <c r="AG23" s="32"/>
      <c r="AH23" s="32">
        <f>IF($Z23=$Z24,$U23-$T24,0)</f>
        <v>0</v>
      </c>
      <c r="AI23" s="32">
        <f>IF($Z23=$Z25,$V23-$T25,0)</f>
        <v>0</v>
      </c>
      <c r="AJ23" s="32">
        <f>SUM(AF23:AI23)</f>
        <v>0</v>
      </c>
      <c r="AK23" s="5"/>
      <c r="AL23" s="32">
        <f>IF($Z23=$Z22,$S27-$T26,0)</f>
        <v>0</v>
      </c>
      <c r="AM23" s="32"/>
      <c r="AN23" s="32">
        <f>IF($Z23=$Z24,$U27-$T28,0)</f>
        <v>0</v>
      </c>
      <c r="AO23" s="32">
        <f>IF($Z23=$Z25,$V27-$T29,0)</f>
        <v>0</v>
      </c>
      <c r="AP23" s="32">
        <f>SUM(AL23:AO23)</f>
        <v>0</v>
      </c>
      <c r="AQ23" s="32">
        <f>IF($Z23=$Z22,$S27,0)</f>
        <v>0</v>
      </c>
      <c r="AR23" s="32"/>
      <c r="AS23" s="32">
        <f>IF($Z23=$Z24,$U27,0)</f>
        <v>0</v>
      </c>
      <c r="AT23" s="32">
        <f>IF($Z23=$Z25,$V27,0)</f>
        <v>0</v>
      </c>
      <c r="AU23" s="32">
        <f>SUM(AQ23:AT23)</f>
        <v>0</v>
      </c>
      <c r="AV23" s="5">
        <v>3</v>
      </c>
      <c r="AW23" s="31"/>
      <c r="BA23" s="2">
        <f>BA13+2</f>
        <v>13</v>
      </c>
      <c r="BB23" s="7">
        <v>41806.75</v>
      </c>
      <c r="BC23" s="4" t="s">
        <v>32</v>
      </c>
      <c r="BD23" s="78" t="str">
        <f>BY22</f>
        <v>Schweiz</v>
      </c>
      <c r="BE23" s="58" t="s">
        <v>25</v>
      </c>
      <c r="BF23" s="78" t="str">
        <f>BY23</f>
        <v>Algerien</v>
      </c>
      <c r="BG23" s="75"/>
      <c r="BH23" s="79">
        <f ca="1">IF($B$58="",1,INT(RAND()*5)+INT(RAND()*3)*INT(RAND()*2))</f>
        <v>2</v>
      </c>
      <c r="BI23" s="13" t="s">
        <v>26</v>
      </c>
      <c r="BJ23" s="79">
        <f ca="1">IF($B$58="",0,INT(RAND()*5)+INT(RAND()*3)*INT(RAND()*2))</f>
        <v>1</v>
      </c>
      <c r="BK23" s="9" t="s">
        <v>27</v>
      </c>
      <c r="BL23" s="1"/>
      <c r="BM23" s="11" t="str">
        <f>VLOOKUP(2,$BX$22:$CC$25,2,FALSE)</f>
        <v>Algerien</v>
      </c>
      <c r="BN23" s="2">
        <f>VLOOKUP(2,$BX$22:$CC$25,3,FALSE)</f>
        <v>6</v>
      </c>
      <c r="BO23" s="2">
        <f>VLOOKUP(2,$BX$22:$CC$25,4,FALSE)</f>
        <v>9</v>
      </c>
      <c r="BP23" s="2">
        <f>VLOOKUP(2,$BX$22:$CC$25,5,FALSE)</f>
        <v>4</v>
      </c>
      <c r="BQ23" s="2">
        <f>VLOOKUP(2,$BX$22:$CC$25,6,FALSE)</f>
        <v>5</v>
      </c>
      <c r="BS23" s="84">
        <f>IF(BJ23="",0,IF(BK23=$B$57,IF(BH23&lt;BJ23,3,IF(BH23=BJ23,1,0)),0))</f>
        <v>0</v>
      </c>
      <c r="BT23" s="83"/>
      <c r="BU23" s="84">
        <f>IF(BH28="",0,IF(BK27=$B$57,IF(BH28&gt;BJ28,3,IF(BH28=BJ28,1,0)),0))</f>
        <v>3</v>
      </c>
      <c r="BV23" s="84">
        <f>IF(BJ26="",0,IF(BK26=$B$57,IF(BJ26&gt;BH26,3,IF(BJ26=BH26,1,0)),0))</f>
        <v>3</v>
      </c>
      <c r="BW23" s="85"/>
      <c r="BX23" s="85">
        <f>RANK(CD23,$CD$22:$CD$25)</f>
        <v>2</v>
      </c>
      <c r="BY23" s="86" t="str">
        <f>B81</f>
        <v>Algerien</v>
      </c>
      <c r="BZ23" s="1">
        <f>SUM(BS23:BV23)</f>
        <v>6</v>
      </c>
      <c r="CA23" s="1">
        <f>SUM(BS27:BV27)</f>
        <v>9</v>
      </c>
      <c r="CB23" s="1">
        <f>SUM(BT26:BT29)</f>
        <v>4</v>
      </c>
      <c r="CC23" s="1">
        <f>CA23-CB23</f>
        <v>5</v>
      </c>
      <c r="CD23" s="31">
        <f>IF(BP$28="",CE23*10000000000000000+BZ23*100000000000000+CC23*1000000000000+CA23*10000000000+CK23*100000000+CJ23*1000000+CP23*10000+CU23*100+CV23,CE23*10000000000000000+BZ23*100000000000000+CK23*1000000000000+CJ23*10000000000+CP23*100000000+CU23*1000000+CC23*10000+CA23*100+CV23)</f>
        <v>605090000000003</v>
      </c>
      <c r="CE23" s="5"/>
      <c r="CF23" s="32">
        <f>IF($BZ23=$BZ22,$BS23-$BT22,0)</f>
        <v>0</v>
      </c>
      <c r="CG23" s="32"/>
      <c r="CH23" s="32">
        <f>IF($BZ23=$BZ24,$BU23-$BT24,0)</f>
        <v>0</v>
      </c>
      <c r="CI23" s="32">
        <f>IF($BZ23=$BZ25,$BV23-$BT25,0)</f>
        <v>0</v>
      </c>
      <c r="CJ23" s="32">
        <f>SUM(CF23:CI23)</f>
        <v>0</v>
      </c>
      <c r="CK23" s="5"/>
      <c r="CL23" s="32">
        <f>IF($BZ23=$BZ22,$BS27-$BT26,0)</f>
        <v>0</v>
      </c>
      <c r="CM23" s="32"/>
      <c r="CN23" s="32">
        <f>IF($BZ23=$BZ24,$BU27-$BT28,0)</f>
        <v>0</v>
      </c>
      <c r="CO23" s="32">
        <f>IF($BZ23=$BZ25,$BV27-$BT29,0)</f>
        <v>0</v>
      </c>
      <c r="CP23" s="32">
        <f>SUM(CL23:CO23)</f>
        <v>0</v>
      </c>
      <c r="CQ23" s="32">
        <f>IF($BZ23=$BZ22,$BS27,0)</f>
        <v>0</v>
      </c>
      <c r="CR23" s="32"/>
      <c r="CS23" s="32">
        <f>IF($BZ23=$BZ24,$BU27,0)</f>
        <v>0</v>
      </c>
      <c r="CT23" s="32">
        <f>IF($BZ23=$BZ25,$BV27,0)</f>
        <v>0</v>
      </c>
      <c r="CU23" s="32">
        <f>SUM(CQ23:CT23)</f>
        <v>0</v>
      </c>
      <c r="CV23" s="5">
        <v>3</v>
      </c>
      <c r="CW23" s="31"/>
    </row>
    <row r="24" spans="1:101" ht="12.75">
      <c r="A24" s="2">
        <f>A23+1</f>
        <v>6</v>
      </c>
      <c r="B24" s="7">
        <v>41805</v>
      </c>
      <c r="C24" s="4" t="s">
        <v>38</v>
      </c>
      <c r="D24" s="78" t="str">
        <f>Y24</f>
        <v>Iran</v>
      </c>
      <c r="E24" s="58" t="s">
        <v>25</v>
      </c>
      <c r="F24" s="78" t="str">
        <f>Y25</f>
        <v>Portugal</v>
      </c>
      <c r="G24" s="75"/>
      <c r="H24" s="80">
        <f ca="1">IF($B$58="",1,INT(RAND()*5)+INT(RAND()*3)*INT(RAND()*2))</f>
        <v>4</v>
      </c>
      <c r="I24" s="13" t="s">
        <v>26</v>
      </c>
      <c r="J24" s="79">
        <f ca="1">IF($B$58="",0,INT(RAND()*5)+INT(RAND()*3)*INT(RAND()*2))</f>
        <v>4</v>
      </c>
      <c r="K24" s="9" t="s">
        <v>27</v>
      </c>
      <c r="L24" s="1"/>
      <c r="M24" s="11" t="str">
        <f>VLOOKUP(3,$X$22:$AC$25,2,FALSE)</f>
        <v>Nigeria</v>
      </c>
      <c r="N24" s="2">
        <f>VLOOKUP(3,$X$22:$AC$25,3,FALSE)</f>
        <v>4</v>
      </c>
      <c r="O24" s="2">
        <f>VLOOKUP(3,$X$22:$AC$25,4,FALSE)</f>
        <v>10</v>
      </c>
      <c r="P24" s="2">
        <f>VLOOKUP(3,$X$22:$AC$25,5,FALSE)</f>
        <v>13</v>
      </c>
      <c r="Q24" s="2">
        <f>VLOOKUP(3,$X$22:$AC$25,6,FALSE)</f>
        <v>-3</v>
      </c>
      <c r="S24" s="84">
        <f>IF(J25="",0,IF(K25=$B$57,IF(H25&lt;J25,3,IF(H25=J25,1,0)),0))</f>
        <v>1</v>
      </c>
      <c r="T24" s="84">
        <f>IF(J28="",0,IF(K27=$B$57,IF(H28&lt;J28,3,IF(H28=J28,1,0)),0))</f>
        <v>3</v>
      </c>
      <c r="U24" s="83"/>
      <c r="V24" s="84">
        <f>IF(H24="",0,IF(K24=$B$57,IF(H24&gt;J24,3,IF(H24=J24,1,0)),0))</f>
        <v>1</v>
      </c>
      <c r="W24" s="85"/>
      <c r="X24" s="85">
        <f>RANK(AD24,$AD$22:$AD$25)</f>
        <v>1</v>
      </c>
      <c r="Y24" s="86" t="str">
        <f>B87</f>
        <v>Iran</v>
      </c>
      <c r="Z24" s="1">
        <f>SUM(S24:V24)</f>
        <v>5</v>
      </c>
      <c r="AA24" s="1">
        <f>SUM(S28:V28)</f>
        <v>10</v>
      </c>
      <c r="AB24" s="1">
        <f>SUM(U26:U29)</f>
        <v>6</v>
      </c>
      <c r="AC24" s="1">
        <f>AA24-AB24</f>
        <v>4</v>
      </c>
      <c r="AD24" s="31">
        <f>IF(P$28="",AE24*10000000000000000+Z24*100000000000000+AC24*1000000000000+AA24*10000000000+AK24*100000000+AJ24*1000000+AP24*10000+AU24*100+AV24,AE24*10000000000000000+Z24*100000000000000+AK24*1000000000000+AJ24*10000000000+AP24*100000000+AU24*1000000+AC24*10000+AA24*100+AV24)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504100000000102</v>
      </c>
      <c r="AE24" s="5"/>
      <c r="AF24" s="32">
        <f>IF($Z24=$Z22,$S24-$U22,0)</f>
        <v>0</v>
      </c>
      <c r="AG24" s="32">
        <f>IF($Z24=$Z23,$T24-$U23,0)</f>
        <v>0</v>
      </c>
      <c r="AH24" s="32"/>
      <c r="AI24" s="32">
        <f>IF($Z24=$Z25,$V24-$U25,0)</f>
        <v>0</v>
      </c>
      <c r="AJ24" s="32">
        <f>SUM(AF24:AI24)</f>
        <v>0</v>
      </c>
      <c r="AK24" s="5"/>
      <c r="AL24" s="32">
        <f>IF($Z24=$Z22,$S28-$U26,0)</f>
        <v>0</v>
      </c>
      <c r="AM24" s="32">
        <f>IF($Z24=$Z23,$T28-$U27,0)</f>
        <v>0</v>
      </c>
      <c r="AN24" s="32"/>
      <c r="AO24" s="32">
        <f>IF($Z24=$Z25,$V28-$U29,0)</f>
        <v>0</v>
      </c>
      <c r="AP24" s="32">
        <f>SUM(AL24:AO24)</f>
        <v>0</v>
      </c>
      <c r="AQ24" s="32">
        <f>IF($Z24=$Z22,$S28,0)</f>
        <v>1</v>
      </c>
      <c r="AR24" s="32">
        <f>IF($Z24=$Z23,$T28,0)</f>
        <v>0</v>
      </c>
      <c r="AS24" s="32"/>
      <c r="AT24" s="32">
        <f>IF($Z24=$Z25,$V28,0)</f>
        <v>0</v>
      </c>
      <c r="AU24" s="32">
        <f>SUM(AQ24:AT24)</f>
        <v>1</v>
      </c>
      <c r="AV24" s="5">
        <v>2</v>
      </c>
      <c r="AW24" s="31"/>
      <c r="BA24" s="2">
        <f>BA23+1</f>
        <v>14</v>
      </c>
      <c r="BB24" s="7">
        <v>41807</v>
      </c>
      <c r="BC24" s="4" t="s">
        <v>29</v>
      </c>
      <c r="BD24" s="78" t="str">
        <f>BY24</f>
        <v>Costa Rica</v>
      </c>
      <c r="BE24" s="58" t="s">
        <v>25</v>
      </c>
      <c r="BF24" s="78" t="str">
        <f>BY25</f>
        <v>Kroatien</v>
      </c>
      <c r="BG24" s="75"/>
      <c r="BH24" s="80">
        <f ca="1">IF($B$58="",1,INT(RAND()*5)+INT(RAND()*3)*INT(RAND()*2))</f>
        <v>2</v>
      </c>
      <c r="BI24" s="13" t="s">
        <v>26</v>
      </c>
      <c r="BJ24" s="79">
        <f ca="1">IF($B$58="",0,INT(RAND()*5)+INT(RAND()*3)*INT(RAND()*2))</f>
        <v>3</v>
      </c>
      <c r="BK24" s="9" t="s">
        <v>27</v>
      </c>
      <c r="BL24" s="1"/>
      <c r="BM24" s="11" t="str">
        <f>VLOOKUP(3,$BX$22:$CC$25,2,FALSE)</f>
        <v>Kroatien</v>
      </c>
      <c r="BN24" s="2">
        <f>VLOOKUP(3,$BX$22:$CC$25,3,FALSE)</f>
        <v>3</v>
      </c>
      <c r="BO24" s="2">
        <f>VLOOKUP(3,$BX$22:$CC$25,4,FALSE)</f>
        <v>5</v>
      </c>
      <c r="BP24" s="2">
        <f>VLOOKUP(3,$BX$22:$CC$25,5,FALSE)</f>
        <v>10</v>
      </c>
      <c r="BQ24" s="2">
        <f>VLOOKUP(3,$BX$22:$CC$25,6,FALSE)</f>
        <v>-5</v>
      </c>
      <c r="BS24" s="84">
        <f>IF(BJ25="",0,IF(BK25=$B$57,IF(BH25&lt;BJ25,3,IF(BH25=BJ25,1,0)),0))</f>
        <v>1</v>
      </c>
      <c r="BT24" s="84">
        <f>IF(BJ28="",0,IF(BK27=$B$57,IF(BH28&lt;BJ28,3,IF(BH28=BJ28,1,0)),0))</f>
        <v>0</v>
      </c>
      <c r="BU24" s="83"/>
      <c r="BV24" s="84">
        <f>IF(BH24="",0,IF(BK24=$B$57,IF(BH24&gt;BJ24,3,IF(BH24=BJ24,1,0)),0))</f>
        <v>0</v>
      </c>
      <c r="BW24" s="85"/>
      <c r="BX24" s="85">
        <f>RANK(CD24,$CD$22:$CD$25)</f>
        <v>4</v>
      </c>
      <c r="BY24" s="86" t="str">
        <f>B91</f>
        <v>Costa Rica</v>
      </c>
      <c r="BZ24" s="1">
        <f>SUM(BS24:BV24)</f>
        <v>1</v>
      </c>
      <c r="CA24" s="1">
        <f>SUM(BS28:BV28)</f>
        <v>5</v>
      </c>
      <c r="CB24" s="1">
        <f>SUM(BU26:BU29)</f>
        <v>7</v>
      </c>
      <c r="CC24" s="1">
        <f>CA24-CB24</f>
        <v>-2</v>
      </c>
      <c r="CD24" s="31">
        <f>IF(BP$28="",CE24*10000000000000000+BZ24*100000000000000+CC24*1000000000000+CA24*10000000000+CK24*100000000+CJ24*1000000+CP24*10000+CU24*100+CV24,CE24*10000000000000000+BZ24*100000000000000+CK24*1000000000000+CJ24*10000000000+CP24*100000000+CU24*1000000+CC24*10000+CA24*100+CV24)</f>
        <v>98050000000002</v>
      </c>
      <c r="CE24" s="5"/>
      <c r="CF24" s="32">
        <f>IF($BZ24=$BZ22,$BS24-$BU22,0)</f>
        <v>0</v>
      </c>
      <c r="CG24" s="32">
        <f>IF($BZ24=$BZ23,$BT24-$BU23,0)</f>
        <v>0</v>
      </c>
      <c r="CH24" s="32"/>
      <c r="CI24" s="32">
        <f>IF($BZ24=$BZ25,$BV24-$BU25,0)</f>
        <v>0</v>
      </c>
      <c r="CJ24" s="32">
        <f>SUM(CF24:CI24)</f>
        <v>0</v>
      </c>
      <c r="CK24" s="5"/>
      <c r="CL24" s="32">
        <f>IF($BZ24=$BZ22,$BS28-$BU26,0)</f>
        <v>0</v>
      </c>
      <c r="CM24" s="32">
        <f>IF($BZ24=$BZ23,$BT28-$BU27,0)</f>
        <v>0</v>
      </c>
      <c r="CN24" s="32"/>
      <c r="CO24" s="32">
        <f>IF($BZ24=$BZ25,$BV28-$BU29,0)</f>
        <v>0</v>
      </c>
      <c r="CP24" s="32">
        <f>SUM(CL24:CO24)</f>
        <v>0</v>
      </c>
      <c r="CQ24" s="32">
        <f>IF($BZ24=$BZ22,$BS28,0)</f>
        <v>0</v>
      </c>
      <c r="CR24" s="32">
        <f>IF($BZ24=$BZ23,$BT28,0)</f>
        <v>0</v>
      </c>
      <c r="CS24" s="32"/>
      <c r="CT24" s="32">
        <f>IF($BZ24=$BZ25,$BV28,0)</f>
        <v>0</v>
      </c>
      <c r="CU24" s="32">
        <f>SUM(CQ24:CT24)</f>
        <v>0</v>
      </c>
      <c r="CV24" s="5">
        <v>2</v>
      </c>
      <c r="CW24" s="31"/>
    </row>
    <row r="25" spans="1:101" ht="12.75">
      <c r="A25" s="2">
        <f>A23+16</f>
        <v>21</v>
      </c>
      <c r="B25" s="7">
        <v>41809.75</v>
      </c>
      <c r="C25" s="4" t="s">
        <v>28</v>
      </c>
      <c r="D25" s="78" t="str">
        <f>Y22</f>
        <v>Argentinien</v>
      </c>
      <c r="E25" s="58" t="s">
        <v>25</v>
      </c>
      <c r="F25" s="78" t="str">
        <f>Y24</f>
        <v>Iran</v>
      </c>
      <c r="G25" s="75"/>
      <c r="H25" s="80">
        <f ca="1">IF($B$58="",1,INT(RAND()*5)+INT(RAND()*3)*INT(RAND()*2))</f>
        <v>1</v>
      </c>
      <c r="I25" s="13" t="s">
        <v>26</v>
      </c>
      <c r="J25" s="79">
        <f ca="1">IF($B$58="",0,INT(RAND()*5)+INT(RAND()*3)*INT(RAND()*2))</f>
        <v>1</v>
      </c>
      <c r="K25" s="9" t="s">
        <v>27</v>
      </c>
      <c r="L25" s="1"/>
      <c r="M25" s="11" t="str">
        <f>VLOOKUP(4,$X$22:$AC$25,2,FALSE)</f>
        <v>Portugal</v>
      </c>
      <c r="N25" s="2">
        <f>VLOOKUP(4,$X$22:$AC$25,3,FALSE)</f>
        <v>1</v>
      </c>
      <c r="O25" s="2">
        <f>VLOOKUP(4,$X$22:$AC$25,4,FALSE)</f>
        <v>11</v>
      </c>
      <c r="P25" s="2">
        <f>VLOOKUP(4,$X$22:$AC$25,5,FALSE)</f>
        <v>14</v>
      </c>
      <c r="Q25" s="2">
        <f>VLOOKUP(4,$X$22:$AC$25,6,FALSE)</f>
        <v>-3</v>
      </c>
      <c r="S25" s="84">
        <f>IF(H27="",0,IF(K28=$B$57,IF(H27&gt;J27,3,IF(H27=J27,1,0)),0))</f>
        <v>0</v>
      </c>
      <c r="T25" s="84">
        <f>IF(H26="",0,IF(K26=$B$57,IF(J26&lt;H26,3,IF(J26=H26,1,0)),0))</f>
        <v>0</v>
      </c>
      <c r="U25" s="84">
        <f>IF(J24="",0,IF(K24=$B$57,IF(H24&lt;J24,3,IF(H24=J24,1,0)),0))</f>
        <v>1</v>
      </c>
      <c r="V25" s="83"/>
      <c r="W25" s="85"/>
      <c r="X25" s="85">
        <f>RANK(AD25,$AD$22:$AD$25)</f>
        <v>4</v>
      </c>
      <c r="Y25" s="86" t="str">
        <f>B97</f>
        <v>Portugal</v>
      </c>
      <c r="Z25" s="1">
        <f>SUM(S25:V25)</f>
        <v>1</v>
      </c>
      <c r="AA25" s="1">
        <f>SUM(S29:V29)</f>
        <v>11</v>
      </c>
      <c r="AB25" s="1">
        <f>SUM(V26:V29)</f>
        <v>14</v>
      </c>
      <c r="AC25" s="1">
        <f>AA25-AB25</f>
        <v>-3</v>
      </c>
      <c r="AD25" s="31">
        <f>IF(P$28="",AE25*10000000000000000+Z25*100000000000000+AC25*1000000000000+AA25*10000000000+AK25*100000000+AJ25*1000000+AP25*10000+AU25*100+AV25,AE25*10000000000000000+Z25*100000000000000+AK25*1000000000000+AJ25*10000000000+AP25*100000000+AU25*1000000+AC25*10000+AA25*100+AV25)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97110000000001</v>
      </c>
      <c r="AE25" s="5"/>
      <c r="AF25" s="32">
        <f>IF($Z25=$Z22,$S25-$V22,0)</f>
        <v>0</v>
      </c>
      <c r="AG25" s="32">
        <f>IF($Z25=$Z23,$T25-$V23,0)</f>
        <v>0</v>
      </c>
      <c r="AH25" s="32">
        <f>IF($Z25=$Z24,$U25-$V24,0)</f>
        <v>0</v>
      </c>
      <c r="AI25" s="32"/>
      <c r="AJ25" s="32">
        <f>SUM(AF25:AI25)</f>
        <v>0</v>
      </c>
      <c r="AK25" s="5"/>
      <c r="AL25" s="32">
        <f>IF($Z25=$Z22,$S29-$V26,0)</f>
        <v>0</v>
      </c>
      <c r="AM25" s="32">
        <f>IF($Z25=$Z23,$T29-$V27,0)</f>
        <v>0</v>
      </c>
      <c r="AN25" s="32">
        <f>IF($Z25=$Z24,$U29-$V28,0)</f>
        <v>0</v>
      </c>
      <c r="AO25" s="32"/>
      <c r="AP25" s="32">
        <f>SUM(AL25:AO25)</f>
        <v>0</v>
      </c>
      <c r="AQ25" s="32">
        <f>IF($Z25=$Z22,$S29,0)</f>
        <v>0</v>
      </c>
      <c r="AR25" s="32">
        <f>IF($Z25=$Z23,$T29,0)</f>
        <v>0</v>
      </c>
      <c r="AS25" s="32">
        <f>IF($Z25=$Z24,$U29,0)</f>
        <v>0</v>
      </c>
      <c r="AT25" s="32"/>
      <c r="AU25" s="32">
        <f>SUM(AQ25:AT25)</f>
        <v>0</v>
      </c>
      <c r="AV25" s="5">
        <v>1</v>
      </c>
      <c r="AW25" s="31"/>
      <c r="BA25" s="2">
        <f>BA23+16</f>
        <v>29</v>
      </c>
      <c r="BB25" s="7">
        <v>41811.875</v>
      </c>
      <c r="BC25" s="4" t="s">
        <v>31</v>
      </c>
      <c r="BD25" s="78" t="str">
        <f>BY22</f>
        <v>Schweiz</v>
      </c>
      <c r="BE25" s="58" t="s">
        <v>25</v>
      </c>
      <c r="BF25" s="78" t="str">
        <f>BY24</f>
        <v>Costa Rica</v>
      </c>
      <c r="BG25" s="75"/>
      <c r="BH25" s="80">
        <f ca="1">IF($B$58="",1,INT(RAND()*5)+INT(RAND()*3)*INT(RAND()*2))</f>
        <v>1</v>
      </c>
      <c r="BI25" s="13" t="s">
        <v>26</v>
      </c>
      <c r="BJ25" s="79">
        <f ca="1">IF($B$58="",0,INT(RAND()*5)+INT(RAND()*3)*INT(RAND()*2))</f>
        <v>1</v>
      </c>
      <c r="BK25" s="9" t="s">
        <v>27</v>
      </c>
      <c r="BL25" s="1"/>
      <c r="BM25" s="11" t="str">
        <f>VLOOKUP(4,$BX$22:$CC$25,2,FALSE)</f>
        <v>Costa Rica</v>
      </c>
      <c r="BN25" s="2">
        <f>VLOOKUP(4,$BX$22:$CC$25,3,FALSE)</f>
        <v>1</v>
      </c>
      <c r="BO25" s="2">
        <f>VLOOKUP(4,$BX$22:$CC$25,4,FALSE)</f>
        <v>5</v>
      </c>
      <c r="BP25" s="2">
        <f>VLOOKUP(4,$BX$22:$CC$25,5,FALSE)</f>
        <v>7</v>
      </c>
      <c r="BQ25" s="2">
        <f>VLOOKUP(4,$BX$22:$CC$25,6,FALSE)</f>
        <v>-2</v>
      </c>
      <c r="BS25" s="84">
        <f>IF(BH27="",0,IF(BK28=$B$57,IF(BH27&gt;BJ27,3,IF(BH27=BJ27,1,0)),0))</f>
        <v>0</v>
      </c>
      <c r="BT25" s="84">
        <f>IF(BH26="",0,IF(BK26=$B$57,IF(BJ26&lt;BH26,3,IF(BJ26=BH26,1,0)),0))</f>
        <v>0</v>
      </c>
      <c r="BU25" s="84">
        <f>IF(BJ24="",0,IF(BK24=$B$57,IF(BH24&lt;BJ24,3,IF(BH24=BJ24,1,0)),0))</f>
        <v>3</v>
      </c>
      <c r="BV25" s="83"/>
      <c r="BW25" s="85"/>
      <c r="BX25" s="85">
        <f>RANK(CD25,$CD$22:$CD$25)</f>
        <v>3</v>
      </c>
      <c r="BY25" s="86" t="str">
        <f>B101</f>
        <v>Kroatien</v>
      </c>
      <c r="BZ25" s="1">
        <f>SUM(BS25:BV25)</f>
        <v>3</v>
      </c>
      <c r="CA25" s="1">
        <f>SUM(BS29:BV29)</f>
        <v>5</v>
      </c>
      <c r="CB25" s="1">
        <f>SUM(BV26:BV29)</f>
        <v>10</v>
      </c>
      <c r="CC25" s="1">
        <f>CA25-CB25</f>
        <v>-5</v>
      </c>
      <c r="CD25" s="31">
        <f>IF(BP$28="",CE25*10000000000000000+BZ25*100000000000000+CC25*1000000000000+CA25*10000000000+CK25*100000000+CJ25*1000000+CP25*10000+CU25*100+CV25,CE25*10000000000000000+BZ25*100000000000000+CK25*1000000000000+CJ25*10000000000+CP25*100000000+CU25*1000000+CC25*10000+CA25*100+CV25)</f>
        <v>295050000000001</v>
      </c>
      <c r="CE25" s="5"/>
      <c r="CF25" s="32">
        <f>IF($BZ25=$BZ22,$BS25-$BV22,0)</f>
        <v>0</v>
      </c>
      <c r="CG25" s="32">
        <f>IF($BZ25=$BZ23,$BT25-$BV23,0)</f>
        <v>0</v>
      </c>
      <c r="CH25" s="32">
        <f>IF($BZ25=$BZ24,$BU25-$BV24,0)</f>
        <v>0</v>
      </c>
      <c r="CI25" s="32"/>
      <c r="CJ25" s="32">
        <f>SUM(CF25:CI25)</f>
        <v>0</v>
      </c>
      <c r="CK25" s="5"/>
      <c r="CL25" s="32">
        <f>IF($BZ25=$BZ22,$BS29-$BV26,0)</f>
        <v>0</v>
      </c>
      <c r="CM25" s="32">
        <f>IF($BZ25=$BZ23,$BT29-$BV27,0)</f>
        <v>0</v>
      </c>
      <c r="CN25" s="32">
        <f>IF($BZ25=$BZ24,$BU29-$BV28,0)</f>
        <v>0</v>
      </c>
      <c r="CO25" s="32"/>
      <c r="CP25" s="32">
        <f>SUM(CL25:CO25)</f>
        <v>0</v>
      </c>
      <c r="CQ25" s="32">
        <f>IF($BZ25=$BZ22,$BS29,0)</f>
        <v>0</v>
      </c>
      <c r="CR25" s="32">
        <f>IF($BZ25=$BZ23,$BT29,0)</f>
        <v>0</v>
      </c>
      <c r="CS25" s="32">
        <f>IF($BZ25=$BZ24,$BU29,0)</f>
        <v>0</v>
      </c>
      <c r="CT25" s="32"/>
      <c r="CU25" s="32">
        <f>SUM(CQ25:CT25)</f>
        <v>0</v>
      </c>
      <c r="CV25" s="5">
        <v>1</v>
      </c>
      <c r="CW25" s="31"/>
    </row>
    <row r="26" spans="1:101" ht="12.75">
      <c r="A26" s="2">
        <f>A25+1</f>
        <v>22</v>
      </c>
      <c r="B26" s="7">
        <v>41810</v>
      </c>
      <c r="C26" s="4" t="s">
        <v>29</v>
      </c>
      <c r="D26" s="78" t="str">
        <f>Y25</f>
        <v>Portugal</v>
      </c>
      <c r="E26" s="58" t="s">
        <v>25</v>
      </c>
      <c r="F26" s="78" t="str">
        <f>Y23</f>
        <v>Nigeria</v>
      </c>
      <c r="G26" s="77"/>
      <c r="H26" s="79">
        <f ca="1">IF($B$58="",1,INT(RAND()*5)+INT(RAND()*3)*INT(RAND()*2))</f>
        <v>4</v>
      </c>
      <c r="I26" s="15" t="s">
        <v>26</v>
      </c>
      <c r="J26" s="79">
        <f ca="1">IF($B$58="",0,INT(RAND()*5)+INT(RAND()*3)*INT(RAND()*2))</f>
        <v>5</v>
      </c>
      <c r="K26" s="9" t="s">
        <v>27</v>
      </c>
      <c r="L26" s="1"/>
      <c r="N26" s="1"/>
      <c r="O26" s="1"/>
      <c r="P26" s="1"/>
      <c r="S26" s="83"/>
      <c r="T26" s="84">
        <f>IF(K23=$B$57,H23,0)</f>
        <v>4</v>
      </c>
      <c r="U26" s="84">
        <f>IF(K25=$B$57,H25,0)</f>
        <v>1</v>
      </c>
      <c r="V26" s="84">
        <f>IF(K28=$B$57,J27,0)</f>
        <v>5</v>
      </c>
      <c r="W26" s="85"/>
      <c r="X26" s="85"/>
      <c r="Y26" s="85"/>
      <c r="Z26" s="1"/>
      <c r="AA26" s="1"/>
      <c r="AB26" s="1"/>
      <c r="AC26" s="1"/>
      <c r="AD26" s="6"/>
      <c r="AE26" s="9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V26" s="32"/>
      <c r="AW26" s="31"/>
      <c r="BA26" s="2">
        <f>BA25+1</f>
        <v>30</v>
      </c>
      <c r="BB26" s="7">
        <v>41812.875</v>
      </c>
      <c r="BC26" s="4" t="s">
        <v>33</v>
      </c>
      <c r="BD26" s="78" t="str">
        <f>BY25</f>
        <v>Kroatien</v>
      </c>
      <c r="BE26" s="58" t="s">
        <v>25</v>
      </c>
      <c r="BF26" s="78" t="str">
        <f>BY23</f>
        <v>Algerien</v>
      </c>
      <c r="BG26" s="77"/>
      <c r="BH26" s="79">
        <f ca="1">IF($B$58="",1,INT(RAND()*5)+INT(RAND()*3)*INT(RAND()*2))</f>
        <v>0</v>
      </c>
      <c r="BI26" s="15" t="s">
        <v>26</v>
      </c>
      <c r="BJ26" s="79">
        <f ca="1">IF($B$58="",0,INT(RAND()*5)+INT(RAND()*3)*INT(RAND()*2))</f>
        <v>5</v>
      </c>
      <c r="BK26" s="9" t="s">
        <v>27</v>
      </c>
      <c r="BL26" s="1"/>
      <c r="BN26" s="1"/>
      <c r="BO26" s="1"/>
      <c r="BP26" s="1"/>
      <c r="BS26" s="83"/>
      <c r="BT26" s="84">
        <f>IF(BK23=$B$57,BH23,0)</f>
        <v>2</v>
      </c>
      <c r="BU26" s="84">
        <f>IF(BK25=$B$57,BH25,0)</f>
        <v>1</v>
      </c>
      <c r="BV26" s="84">
        <f>IF(BK28=$B$57,BJ27,0)</f>
        <v>3</v>
      </c>
      <c r="BW26" s="85"/>
      <c r="BX26" s="85"/>
      <c r="BY26" s="85"/>
      <c r="BZ26" s="1"/>
      <c r="CA26" s="1"/>
      <c r="CB26" s="1"/>
      <c r="CC26" s="1"/>
      <c r="CD26" s="6"/>
      <c r="CE26" s="9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V26" s="32"/>
      <c r="CW26" s="31"/>
    </row>
    <row r="27" spans="1:101" ht="12.75">
      <c r="A27" s="2">
        <f>A25+16</f>
        <v>37</v>
      </c>
      <c r="B27" s="7">
        <v>41814.916666666664</v>
      </c>
      <c r="C27" s="4" t="s">
        <v>46</v>
      </c>
      <c r="D27" s="78" t="str">
        <f>Y25</f>
        <v>Portugal</v>
      </c>
      <c r="E27" s="58" t="s">
        <v>25</v>
      </c>
      <c r="F27" s="78" t="str">
        <f>Y22</f>
        <v>Argentinien</v>
      </c>
      <c r="G27" s="75"/>
      <c r="H27" s="79">
        <f ca="1">IF($B$58="",1,INT(RAND()*5)+INT(RAND()*3)*INT(RAND()*2))</f>
        <v>3</v>
      </c>
      <c r="I27" s="13" t="s">
        <v>26</v>
      </c>
      <c r="J27" s="79">
        <f ca="1">IF($B$58="",0,INT(RAND()*5)+INT(RAND()*3)*INT(RAND()*2))</f>
        <v>5</v>
      </c>
      <c r="K27" s="9" t="s">
        <v>27</v>
      </c>
      <c r="M27" s="51" t="str">
        <f>IF(N22&gt;0,M22,"")</f>
        <v>Iran</v>
      </c>
      <c r="N27" s="2" t="s">
        <v>54</v>
      </c>
      <c r="P27" s="40"/>
      <c r="S27" s="84">
        <f>IF(K23=$B$57,J23,0)</f>
        <v>4</v>
      </c>
      <c r="T27" s="83"/>
      <c r="U27" s="84">
        <f>IF(K27=$B$57,H28,0)</f>
        <v>1</v>
      </c>
      <c r="V27" s="84">
        <f>IF(K26=$B$57,J26,0)</f>
        <v>5</v>
      </c>
      <c r="AD27" s="2" t="s">
        <v>36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V27" s="33"/>
      <c r="AW27" s="31"/>
      <c r="BA27" s="2">
        <f>BA25+16</f>
        <v>45</v>
      </c>
      <c r="BB27" s="7">
        <v>41816.75</v>
      </c>
      <c r="BC27" s="4" t="s">
        <v>38</v>
      </c>
      <c r="BD27" s="78" t="str">
        <f>BY25</f>
        <v>Kroatien</v>
      </c>
      <c r="BE27" s="58" t="s">
        <v>25</v>
      </c>
      <c r="BF27" s="78" t="str">
        <f>BY22</f>
        <v>Schweiz</v>
      </c>
      <c r="BG27" s="75"/>
      <c r="BH27" s="79">
        <f ca="1">IF($B$58="",1,INT(RAND()*5)+INT(RAND()*3)*INT(RAND()*2))</f>
        <v>2</v>
      </c>
      <c r="BI27" s="13" t="s">
        <v>26</v>
      </c>
      <c r="BJ27" s="79">
        <f ca="1">IF($B$58="",0,INT(RAND()*5)+INT(RAND()*3)*INT(RAND()*2))</f>
        <v>3</v>
      </c>
      <c r="BK27" s="9" t="s">
        <v>27</v>
      </c>
      <c r="BM27" s="103" t="str">
        <f>IF(BN22&gt;0,BM22,"")</f>
        <v>Schweiz</v>
      </c>
      <c r="BN27" s="2" t="s">
        <v>55</v>
      </c>
      <c r="BP27" s="40"/>
      <c r="BS27" s="84">
        <f>IF(BK23=$B$57,BJ23,0)</f>
        <v>1</v>
      </c>
      <c r="BT27" s="83"/>
      <c r="BU27" s="84">
        <f>IF(BK27=$B$57,BH28,0)</f>
        <v>3</v>
      </c>
      <c r="BV27" s="84">
        <f>IF(BK26=$B$57,BJ26,0)</f>
        <v>5</v>
      </c>
      <c r="CD27" s="2" t="s">
        <v>36</v>
      </c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V27" s="33"/>
      <c r="CW27" s="31"/>
    </row>
    <row r="28" spans="1:101" ht="12.75">
      <c r="A28" s="2">
        <f>A27+1</f>
        <v>38</v>
      </c>
      <c r="B28" s="7">
        <v>41814.916666666664</v>
      </c>
      <c r="C28" s="4" t="s">
        <v>31</v>
      </c>
      <c r="D28" s="78" t="str">
        <f>Y23</f>
        <v>Nigeria</v>
      </c>
      <c r="E28" s="58" t="s">
        <v>25</v>
      </c>
      <c r="F28" s="78" t="str">
        <f>Y24</f>
        <v>Iran</v>
      </c>
      <c r="G28" s="77"/>
      <c r="H28" s="80">
        <f ca="1">IF($B$58="",1,INT(RAND()*5)+INT(RAND()*3)*INT(RAND()*2))</f>
        <v>1</v>
      </c>
      <c r="I28" s="13" t="s">
        <v>26</v>
      </c>
      <c r="J28" s="80">
        <f ca="1">IF($B$58="",0,INT(RAND()*5)+INT(RAND()*3)*INT(RAND()*2))</f>
        <v>5</v>
      </c>
      <c r="K28" s="9" t="s">
        <v>27</v>
      </c>
      <c r="M28" s="51" t="str">
        <f>IF(N23&gt;0,M23,"")</f>
        <v>Argentinien</v>
      </c>
      <c r="N28" s="2" t="s">
        <v>56</v>
      </c>
      <c r="O28" s="41"/>
      <c r="P28" s="42"/>
      <c r="S28" s="84">
        <f>IF(K25=$B$57,J25,0)</f>
        <v>1</v>
      </c>
      <c r="T28" s="84">
        <f>IF(K27=$B$57,J28,0)</f>
        <v>5</v>
      </c>
      <c r="U28" s="83"/>
      <c r="V28" s="84">
        <f>IF(K24=$B$57,H24,0)</f>
        <v>4</v>
      </c>
      <c r="AD28" s="2" t="s">
        <v>40</v>
      </c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V28" s="33"/>
      <c r="AW28" s="31"/>
      <c r="BA28" s="2">
        <f>BA27+1</f>
        <v>46</v>
      </c>
      <c r="BB28" s="7">
        <v>41816.75</v>
      </c>
      <c r="BC28" s="4" t="s">
        <v>28</v>
      </c>
      <c r="BD28" s="78" t="str">
        <f>BY23</f>
        <v>Algerien</v>
      </c>
      <c r="BE28" s="58" t="s">
        <v>25</v>
      </c>
      <c r="BF28" s="78" t="str">
        <f>BY24</f>
        <v>Costa Rica</v>
      </c>
      <c r="BG28" s="77"/>
      <c r="BH28" s="80">
        <f ca="1">IF($B$58="",1,INT(RAND()*5)+INT(RAND()*3)*INT(RAND()*2))</f>
        <v>3</v>
      </c>
      <c r="BI28" s="13" t="s">
        <v>26</v>
      </c>
      <c r="BJ28" s="79">
        <f ca="1">IF($B$58="",0,INT(RAND()*5)+INT(RAND()*3)*INT(RAND()*2))</f>
        <v>2</v>
      </c>
      <c r="BK28" s="9" t="s">
        <v>27</v>
      </c>
      <c r="BM28" s="103" t="str">
        <f>IF(BN23&gt;0,BM23,"")</f>
        <v>Algerien</v>
      </c>
      <c r="BN28" s="2" t="s">
        <v>57</v>
      </c>
      <c r="BO28" s="41"/>
      <c r="BP28" s="42"/>
      <c r="BS28" s="84">
        <f>IF(BK25=$B$57,BJ25,0)</f>
        <v>1</v>
      </c>
      <c r="BT28" s="84">
        <f>IF(BK27=$B$57,BJ28,0)</f>
        <v>2</v>
      </c>
      <c r="BU28" s="83"/>
      <c r="BV28" s="84">
        <f>IF(BK24=$B$57,BH24,0)</f>
        <v>2</v>
      </c>
      <c r="CD28" s="2" t="s">
        <v>40</v>
      </c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V28" s="33"/>
      <c r="CW28" s="31"/>
    </row>
    <row r="29" spans="4:101" ht="12.75">
      <c r="D29" s="77"/>
      <c r="E29" s="77"/>
      <c r="F29" s="77"/>
      <c r="G29" s="77"/>
      <c r="S29" s="84">
        <f>IF(K28=$B$57,H27,0)</f>
        <v>3</v>
      </c>
      <c r="T29" s="84">
        <f>IF(K26=$B$57,H26,0)</f>
        <v>4</v>
      </c>
      <c r="U29" s="84">
        <f>IF(K24=$B$57,J24,0)</f>
        <v>4</v>
      </c>
      <c r="V29" s="83"/>
      <c r="AD29" s="2" t="s">
        <v>43</v>
      </c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V29" s="33"/>
      <c r="AW29" s="31"/>
      <c r="BD29" s="77"/>
      <c r="BE29" s="77"/>
      <c r="BF29" s="77"/>
      <c r="BG29" s="77"/>
      <c r="BS29" s="84">
        <f>IF(BK28=$B$57,BH27,0)</f>
        <v>2</v>
      </c>
      <c r="BT29" s="84">
        <f>IF(BK26=$B$57,BH26,0)</f>
        <v>0</v>
      </c>
      <c r="BU29" s="84">
        <f>IF(BK24=$B$57,BJ24,0)</f>
        <v>3</v>
      </c>
      <c r="BV29" s="83"/>
      <c r="CD29" s="2" t="s">
        <v>43</v>
      </c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V29" s="33"/>
      <c r="CW29" s="31"/>
    </row>
    <row r="30" spans="4:101" ht="6" customHeight="1">
      <c r="D30" s="77"/>
      <c r="E30" s="81"/>
      <c r="F30" s="82"/>
      <c r="G30" s="82"/>
      <c r="H30" s="77"/>
      <c r="I30" s="77"/>
      <c r="J30" s="77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V30" s="33"/>
      <c r="AW30" s="31"/>
      <c r="BD30" s="77"/>
      <c r="BE30" s="81"/>
      <c r="BF30" s="82"/>
      <c r="BG30" s="82"/>
      <c r="BH30" s="77"/>
      <c r="BI30" s="77"/>
      <c r="BJ30" s="77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V30" s="33"/>
      <c r="CW30" s="31"/>
    </row>
    <row r="31" spans="2:101" s="12" customFormat="1" ht="12.75">
      <c r="B31" s="38" t="s">
        <v>0</v>
      </c>
      <c r="C31" s="35" t="s">
        <v>58</v>
      </c>
      <c r="D31" s="82"/>
      <c r="E31" s="82"/>
      <c r="F31" s="82"/>
      <c r="G31" s="82"/>
      <c r="H31" s="82"/>
      <c r="I31" s="82"/>
      <c r="J31" s="82"/>
      <c r="K31" s="26"/>
      <c r="L31" s="22"/>
      <c r="M31" s="48" t="s">
        <v>3</v>
      </c>
      <c r="N31" s="22" t="s">
        <v>4</v>
      </c>
      <c r="O31" s="22" t="s">
        <v>5</v>
      </c>
      <c r="P31" s="22" t="s">
        <v>6</v>
      </c>
      <c r="Q31" s="22" t="s">
        <v>7</v>
      </c>
      <c r="R31" s="22"/>
      <c r="S31" s="77"/>
      <c r="T31" s="77"/>
      <c r="U31" s="77"/>
      <c r="V31" s="77"/>
      <c r="W31" s="75"/>
      <c r="X31" s="75" t="s">
        <v>8</v>
      </c>
      <c r="Y31" s="78" t="s">
        <v>9</v>
      </c>
      <c r="Z31" s="22" t="s">
        <v>4</v>
      </c>
      <c r="AA31" s="22" t="s">
        <v>5</v>
      </c>
      <c r="AB31" s="22" t="s">
        <v>6</v>
      </c>
      <c r="AC31" s="22" t="s">
        <v>7</v>
      </c>
      <c r="AD31" s="22"/>
      <c r="AE31" s="26" t="s">
        <v>10</v>
      </c>
      <c r="AF31" s="20" t="s">
        <v>11</v>
      </c>
      <c r="AG31" s="20"/>
      <c r="AH31" s="20"/>
      <c r="AI31" s="20"/>
      <c r="AJ31" s="20" t="s">
        <v>12</v>
      </c>
      <c r="AK31" s="27" t="s">
        <v>13</v>
      </c>
      <c r="AL31" s="20" t="s">
        <v>14</v>
      </c>
      <c r="AM31" s="20"/>
      <c r="AN31" s="20"/>
      <c r="AO31" s="20"/>
      <c r="AP31" s="20" t="s">
        <v>15</v>
      </c>
      <c r="AQ31" s="20" t="s">
        <v>16</v>
      </c>
      <c r="AR31" s="20"/>
      <c r="AS31" s="20"/>
      <c r="AT31" s="20"/>
      <c r="AU31" s="21" t="s">
        <v>17</v>
      </c>
      <c r="AV31" s="27" t="s">
        <v>18</v>
      </c>
      <c r="AW31" s="30"/>
      <c r="AX31" s="22"/>
      <c r="AY31" s="22"/>
      <c r="BB31" s="101" t="s">
        <v>0</v>
      </c>
      <c r="BC31" s="47" t="s">
        <v>59</v>
      </c>
      <c r="BD31" s="82"/>
      <c r="BE31" s="82"/>
      <c r="BF31" s="82"/>
      <c r="BG31" s="82"/>
      <c r="BH31" s="82"/>
      <c r="BI31" s="82"/>
      <c r="BJ31" s="82"/>
      <c r="BK31" s="26"/>
      <c r="BL31" s="22"/>
      <c r="BM31" s="48" t="s">
        <v>3</v>
      </c>
      <c r="BN31" s="22" t="s">
        <v>4</v>
      </c>
      <c r="BO31" s="22" t="s">
        <v>5</v>
      </c>
      <c r="BP31" s="22" t="s">
        <v>6</v>
      </c>
      <c r="BQ31" s="22" t="s">
        <v>7</v>
      </c>
      <c r="BR31" s="22"/>
      <c r="BS31" s="77"/>
      <c r="BT31" s="77"/>
      <c r="BU31" s="77"/>
      <c r="BV31" s="77"/>
      <c r="BW31" s="75"/>
      <c r="BX31" s="75" t="s">
        <v>8</v>
      </c>
      <c r="BY31" s="78" t="s">
        <v>9</v>
      </c>
      <c r="BZ31" s="22" t="s">
        <v>4</v>
      </c>
      <c r="CA31" s="22" t="s">
        <v>5</v>
      </c>
      <c r="CB31" s="22" t="s">
        <v>6</v>
      </c>
      <c r="CC31" s="22" t="s">
        <v>7</v>
      </c>
      <c r="CD31" s="22"/>
      <c r="CE31" s="26" t="s">
        <v>10</v>
      </c>
      <c r="CF31" s="20" t="s">
        <v>11</v>
      </c>
      <c r="CG31" s="20"/>
      <c r="CH31" s="20"/>
      <c r="CI31" s="20"/>
      <c r="CJ31" s="20" t="s">
        <v>12</v>
      </c>
      <c r="CK31" s="27" t="s">
        <v>13</v>
      </c>
      <c r="CL31" s="20" t="s">
        <v>14</v>
      </c>
      <c r="CM31" s="20"/>
      <c r="CN31" s="20"/>
      <c r="CO31" s="20"/>
      <c r="CP31" s="20" t="s">
        <v>15</v>
      </c>
      <c r="CQ31" s="20" t="s">
        <v>16</v>
      </c>
      <c r="CR31" s="20"/>
      <c r="CS31" s="20"/>
      <c r="CT31" s="20"/>
      <c r="CU31" s="21" t="s">
        <v>17</v>
      </c>
      <c r="CV31" s="27" t="s">
        <v>18</v>
      </c>
      <c r="CW31" s="30"/>
    </row>
    <row r="32" spans="2:101" ht="12.75">
      <c r="B32" s="3" t="s">
        <v>22</v>
      </c>
      <c r="C32" s="3" t="s">
        <v>23</v>
      </c>
      <c r="D32" s="77"/>
      <c r="E32" s="77"/>
      <c r="F32" s="77"/>
      <c r="G32" s="77"/>
      <c r="L32" s="1"/>
      <c r="M32" s="11" t="str">
        <f>VLOOKUP(1,$X$32:$AC$35,2,FALSE)</f>
        <v>Kolumbien</v>
      </c>
      <c r="N32" s="2">
        <f>VLOOKUP(1,$X$32:$AC$35,3,FALSE)</f>
        <v>7</v>
      </c>
      <c r="O32" s="2">
        <f>VLOOKUP(1,$X$32:$AC$35,4,FALSE)</f>
        <v>10</v>
      </c>
      <c r="P32" s="2">
        <f>VLOOKUP(1,$X$32:$AC$35,5,FALSE)</f>
        <v>4</v>
      </c>
      <c r="Q32" s="2">
        <f>VLOOKUP(1,$X$32:$AC$35,6,FALSE)</f>
        <v>6</v>
      </c>
      <c r="S32" s="83"/>
      <c r="T32" s="84">
        <f>IF(H33="",0,IF(K33=$B$57,IF(H33&gt;J33,3,IF(H33=J33,1,0)),0))</f>
        <v>1</v>
      </c>
      <c r="U32" s="84">
        <f>IF(H35="",0,IF(K35=$B$57,IF(H35&gt;J35,3,IF(H35=J35,1,0)),0))</f>
        <v>3</v>
      </c>
      <c r="V32" s="84">
        <f>IF(J37="",0,IF(K38=$B$57,IF(H37&lt;J37,3,IF(H37=J37,1,0)),0))</f>
        <v>3</v>
      </c>
      <c r="W32" s="85"/>
      <c r="X32" s="85">
        <f>RANK(AD32,$AD$32:$AD$35)</f>
        <v>1</v>
      </c>
      <c r="Y32" s="86" t="str">
        <f>B68</f>
        <v>Kolumbien</v>
      </c>
      <c r="Z32" s="1">
        <f>SUM(S32:V32)</f>
        <v>7</v>
      </c>
      <c r="AA32" s="1">
        <f>SUM(S36:V36)</f>
        <v>10</v>
      </c>
      <c r="AB32" s="1">
        <f>SUM(S36:S39)</f>
        <v>4</v>
      </c>
      <c r="AC32" s="1">
        <f>AA32-AB32</f>
        <v>6</v>
      </c>
      <c r="AD32" s="31">
        <f>IF(P$38="",AE32*10000000000000000+Z32*100000000000000+AC32*1000000000000+AA32*10000000000+AK32*100000000+AJ32*1000000+AP32*10000+AU32*100+AV32,AE32*10000000000000000+Z32*100000000000000+AK32*1000000000000+AJ32*10000000000+AP32*100000000+AU32*1000000+AC32*10000+AA32*100+AV32)</f>
        <v>706100000000004</v>
      </c>
      <c r="AE32" s="5"/>
      <c r="AF32" s="32"/>
      <c r="AG32" s="32">
        <f>IF($Z32=$Z33,$T32-$S33,0)</f>
        <v>0</v>
      </c>
      <c r="AH32" s="32">
        <f>IF($Z32=$Z34,$U32-$S34,0)</f>
        <v>0</v>
      </c>
      <c r="AI32" s="32">
        <f>IF($Z32=$Z35,$V32-$S35,0)</f>
        <v>0</v>
      </c>
      <c r="AJ32" s="32">
        <f>SUM(AF32:AI32)</f>
        <v>0</v>
      </c>
      <c r="AK32" s="5"/>
      <c r="AL32" s="32"/>
      <c r="AM32" s="32">
        <f>IF($Z32=$Z33,$T36-$S37,0)</f>
        <v>0</v>
      </c>
      <c r="AN32" s="32">
        <f>IF($Z32=$Z34,$U36-$S38,0)</f>
        <v>0</v>
      </c>
      <c r="AO32" s="32">
        <f>IF($Z32=$Z35,$V36-$S39,0)</f>
        <v>0</v>
      </c>
      <c r="AP32" s="32">
        <f>SUM(AL32:AO32)</f>
        <v>0</v>
      </c>
      <c r="AQ32" s="32"/>
      <c r="AR32" s="32">
        <f>IF($Z32=$Z33,$T36,0)</f>
        <v>0</v>
      </c>
      <c r="AS32" s="32">
        <f>IF($Z32=$Z34,$U36,0)</f>
        <v>0</v>
      </c>
      <c r="AT32" s="32">
        <f>IF($Z32=$Z35,$V36,0)</f>
        <v>0</v>
      </c>
      <c r="AU32" s="32">
        <f>SUM(AQ32:AT32)</f>
        <v>0</v>
      </c>
      <c r="AV32" s="5">
        <v>4</v>
      </c>
      <c r="AW32" s="31"/>
      <c r="BB32" s="3" t="s">
        <v>22</v>
      </c>
      <c r="BC32" s="3" t="s">
        <v>23</v>
      </c>
      <c r="BD32" s="77"/>
      <c r="BE32" s="77"/>
      <c r="BF32" s="77"/>
      <c r="BG32" s="77"/>
      <c r="BL32" s="1"/>
      <c r="BM32" s="11" t="str">
        <f>VLOOKUP(1,$BX$32:$CC$35,2,FALSE)</f>
        <v>Italien</v>
      </c>
      <c r="BN32" s="2">
        <f>VLOOKUP(1,$BX$32:$CC$35,3,FALSE)</f>
        <v>7</v>
      </c>
      <c r="BO32" s="2">
        <f>VLOOKUP(1,$BX$32:$CC$35,4,FALSE)</f>
        <v>11</v>
      </c>
      <c r="BP32" s="2">
        <f>VLOOKUP(1,$BX$32:$CC$35,5,FALSE)</f>
        <v>6</v>
      </c>
      <c r="BQ32" s="2">
        <f>VLOOKUP(1,$BX$32:$CC$35,6,FALSE)</f>
        <v>5</v>
      </c>
      <c r="BS32" s="83"/>
      <c r="BT32" s="84">
        <f>IF(BH33="",0,IF(BK33=$B$57,IF(BH33&gt;BJ33,3,IF(BH33=BJ33,1,0)),0))</f>
        <v>0</v>
      </c>
      <c r="BU32" s="84">
        <f>IF(BH35="",0,IF(BK35=$B$57,IF(BH35&gt;BJ35,3,IF(BH35=BJ35,1,0)),0))</f>
        <v>0</v>
      </c>
      <c r="BV32" s="84">
        <f>IF(BJ37="",0,IF(BK38=$B$57,IF(BH37&lt;BJ37,3,IF(BH37=BJ37,1,0)),0))</f>
        <v>0</v>
      </c>
      <c r="BW32" s="85"/>
      <c r="BX32" s="85">
        <f>RANK(CD32,$CD$32:$CD$35)</f>
        <v>4</v>
      </c>
      <c r="BY32" s="86" t="str">
        <f>B72</f>
        <v>Spanien</v>
      </c>
      <c r="BZ32" s="1">
        <f>SUM(BS32:BV32)</f>
        <v>0</v>
      </c>
      <c r="CA32" s="1">
        <f>SUM(BS36:BV36)</f>
        <v>6</v>
      </c>
      <c r="CB32" s="1">
        <f>SUM(BS36:BS39)</f>
        <v>14</v>
      </c>
      <c r="CC32" s="1">
        <f>CA32-CB32</f>
        <v>-8</v>
      </c>
      <c r="CD32" s="31">
        <f>IF(BP$38="",CE32*10000000000000000+BZ32*100000000000000+CC32*1000000000000+CA32*10000000000+CK32*100000000+CJ32*1000000+CP32*10000+CU32*100+CV32,CE32*10000000000000000+BZ32*100000000000000+CK32*1000000000000+CJ32*10000000000+CP32*100000000+CU32*1000000+CC32*10000+CA32*100+CV32)</f>
        <v>-7939999999996</v>
      </c>
      <c r="CE32" s="5"/>
      <c r="CF32" s="32"/>
      <c r="CG32" s="32">
        <f>IF($BZ32=$BZ33,$BT32-$BS33,0)</f>
        <v>0</v>
      </c>
      <c r="CH32" s="32">
        <f>IF($BZ32=$BZ34,$BU32-$BS34,0)</f>
        <v>0</v>
      </c>
      <c r="CI32" s="32">
        <f>IF($BZ32=$BZ35,$BV32-$BS35,0)</f>
        <v>0</v>
      </c>
      <c r="CJ32" s="32">
        <f>SUM(CF32:CI32)</f>
        <v>0</v>
      </c>
      <c r="CK32" s="5"/>
      <c r="CL32" s="32"/>
      <c r="CM32" s="32">
        <f>IF($BZ32=$BZ33,$BT36-$BS37,0)</f>
        <v>0</v>
      </c>
      <c r="CN32" s="32">
        <f>IF($BZ32=$BZ34,$BU36-$BS38,0)</f>
        <v>0</v>
      </c>
      <c r="CO32" s="32">
        <f>IF($BZ32=$BZ35,$BV36-$BS39,0)</f>
        <v>0</v>
      </c>
      <c r="CP32" s="32">
        <f>SUM(CL32:CO32)</f>
        <v>0</v>
      </c>
      <c r="CQ32" s="32"/>
      <c r="CR32" s="32">
        <f>IF($BZ32=$BZ33,$BT36,0)</f>
        <v>0</v>
      </c>
      <c r="CS32" s="32">
        <f>IF($BZ32=$BZ34,$BU36,0)</f>
        <v>0</v>
      </c>
      <c r="CT32" s="32">
        <f>IF($BZ32=$BZ35,$BV36,0)</f>
        <v>0</v>
      </c>
      <c r="CU32" s="32">
        <f>SUM(CQ32:CT32)</f>
        <v>0</v>
      </c>
      <c r="CV32" s="5">
        <v>4</v>
      </c>
      <c r="CW32" s="31"/>
    </row>
    <row r="33" spans="1:101" ht="12.75">
      <c r="A33" s="2">
        <f>A23+2</f>
        <v>7</v>
      </c>
      <c r="B33" s="7">
        <v>41804.875</v>
      </c>
      <c r="C33" s="4" t="s">
        <v>31</v>
      </c>
      <c r="D33" s="78" t="str">
        <f>Y32</f>
        <v>Kolumbien</v>
      </c>
      <c r="E33" s="58" t="s">
        <v>25</v>
      </c>
      <c r="F33" s="78" t="str">
        <f>Y33</f>
        <v>Ecuador</v>
      </c>
      <c r="G33" s="75"/>
      <c r="H33" s="79">
        <f ca="1">IF($B$58="",1,INT(RAND()*5)+INT(RAND()*3)*INT(RAND()*2))</f>
        <v>3</v>
      </c>
      <c r="I33" s="13" t="s">
        <v>26</v>
      </c>
      <c r="J33" s="79">
        <f ca="1">IF($B$58="",0,INT(RAND()*5)+INT(RAND()*3)*INT(RAND()*2))</f>
        <v>3</v>
      </c>
      <c r="K33" s="9" t="s">
        <v>27</v>
      </c>
      <c r="L33" s="1"/>
      <c r="M33" s="11" t="str">
        <f>VLOOKUP(2,$X$32:$AC$35,2,FALSE)</f>
        <v>USA</v>
      </c>
      <c r="N33" s="2">
        <f>VLOOKUP(2,$X$32:$AC$35,3,FALSE)</f>
        <v>6</v>
      </c>
      <c r="O33" s="2">
        <f>VLOOKUP(2,$X$32:$AC$35,4,FALSE)</f>
        <v>5</v>
      </c>
      <c r="P33" s="2">
        <f>VLOOKUP(2,$X$32:$AC$35,5,FALSE)</f>
        <v>4</v>
      </c>
      <c r="Q33" s="2">
        <f>VLOOKUP(2,$X$32:$AC$35,6,FALSE)</f>
        <v>1</v>
      </c>
      <c r="S33" s="84">
        <f>IF(J33="",0,IF(K33=$B$57,IF(H33&lt;J33,3,IF(H33=J33,1,0)),0))</f>
        <v>1</v>
      </c>
      <c r="T33" s="83"/>
      <c r="U33" s="84">
        <f>IF(H38="",0,IF(K37=$B$57,IF(H38&gt;J38,3,IF(H38=J38,1,0)),0))</f>
        <v>0</v>
      </c>
      <c r="V33" s="84">
        <f>IF(J36="",0,IF(K36=$B$57,IF(J36&gt;H36,3,IF(J36=H36,1,0)),0))</f>
        <v>0</v>
      </c>
      <c r="W33" s="85"/>
      <c r="X33" s="85">
        <f>RANK(AD33,$AD$32:$AD$35)</f>
        <v>4</v>
      </c>
      <c r="Y33" s="86" t="str">
        <f>B78</f>
        <v>Ecuador</v>
      </c>
      <c r="Z33" s="1">
        <f>SUM(S33:V33)</f>
        <v>1</v>
      </c>
      <c r="AA33" s="1">
        <f>SUM(S37:V37)</f>
        <v>4</v>
      </c>
      <c r="AB33" s="1">
        <f>SUM(T36:T39)</f>
        <v>7</v>
      </c>
      <c r="AC33" s="1">
        <f>AA33-AB33</f>
        <v>-3</v>
      </c>
      <c r="AD33" s="31">
        <f>IF(P$38="",AE33*10000000000000000+Z33*100000000000000+AC33*1000000000000+AA33*10000000000+AK33*100000000+AJ33*1000000+AP33*10000+AU33*100+AV33,AE33*10000000000000000+Z33*100000000000000+AK33*1000000000000+AJ33*10000000000+AP33*100000000+AU33*1000000+AC33*10000+AA33*100+AV33)</f>
        <v>97040000000003</v>
      </c>
      <c r="AE33" s="5"/>
      <c r="AF33" s="32">
        <f>IF($Z33=$Z32,$S33-$T32,0)</f>
        <v>0</v>
      </c>
      <c r="AG33" s="32"/>
      <c r="AH33" s="32">
        <f>IF($Z33=$Z34,$U33-$T34,0)</f>
        <v>0</v>
      </c>
      <c r="AI33" s="32">
        <f>IF($Z33=$Z35,$V33-$T35,0)</f>
        <v>0</v>
      </c>
      <c r="AJ33" s="32">
        <f>SUM(AF33:AI33)</f>
        <v>0</v>
      </c>
      <c r="AK33" s="5"/>
      <c r="AL33" s="32">
        <f>IF($Z33=$Z32,$S37-$T36,0)</f>
        <v>0</v>
      </c>
      <c r="AM33" s="32"/>
      <c r="AN33" s="32">
        <f>IF($Z33=$Z34,$U37-$T38,0)</f>
        <v>0</v>
      </c>
      <c r="AO33" s="32">
        <f>IF($Z33=$Z35,$V37-$T39,0)</f>
        <v>0</v>
      </c>
      <c r="AP33" s="32">
        <f>SUM(AL33:AO33)</f>
        <v>0</v>
      </c>
      <c r="AQ33" s="32">
        <f>IF($Z33=$Z32,$S37,0)</f>
        <v>0</v>
      </c>
      <c r="AR33" s="32"/>
      <c r="AS33" s="32">
        <f>IF($Z33=$Z34,$U37,0)</f>
        <v>0</v>
      </c>
      <c r="AT33" s="32">
        <f>IF($Z33=$Z35,$V37,0)</f>
        <v>0</v>
      </c>
      <c r="AU33" s="32">
        <f>SUM(AQ33:AT33)</f>
        <v>0</v>
      </c>
      <c r="AV33" s="5">
        <v>3</v>
      </c>
      <c r="AW33" s="31"/>
      <c r="BA33" s="2">
        <f>BA23+2</f>
        <v>15</v>
      </c>
      <c r="BB33" s="7">
        <v>41807.75</v>
      </c>
      <c r="BC33" s="4" t="s">
        <v>47</v>
      </c>
      <c r="BD33" s="78" t="str">
        <f>BY32</f>
        <v>Spanien</v>
      </c>
      <c r="BE33" s="58" t="s">
        <v>25</v>
      </c>
      <c r="BF33" s="78" t="str">
        <f>BY33</f>
        <v>England</v>
      </c>
      <c r="BG33" s="75"/>
      <c r="BH33" s="79">
        <f ca="1">IF($B$58="",1,INT(RAND()*5)+INT(RAND()*3)*INT(RAND()*2))</f>
        <v>3</v>
      </c>
      <c r="BI33" s="13" t="s">
        <v>26</v>
      </c>
      <c r="BJ33" s="79">
        <f ca="1">IF($B$58="",0,INT(RAND()*5)+INT(RAND()*3)*INT(RAND()*2))</f>
        <v>5</v>
      </c>
      <c r="BK33" s="9" t="s">
        <v>27</v>
      </c>
      <c r="BL33" s="1"/>
      <c r="BM33" s="11" t="str">
        <f>VLOOKUP(2,$BX$32:$CC$35,2,FALSE)</f>
        <v>England</v>
      </c>
      <c r="BN33" s="2">
        <f>VLOOKUP(2,$BX$32:$CC$35,3,FALSE)</f>
        <v>7</v>
      </c>
      <c r="BO33" s="2">
        <f>VLOOKUP(2,$BX$32:$CC$35,4,FALSE)</f>
        <v>10</v>
      </c>
      <c r="BP33" s="2">
        <f>VLOOKUP(2,$BX$32:$CC$35,5,FALSE)</f>
        <v>6</v>
      </c>
      <c r="BQ33" s="2">
        <f>VLOOKUP(2,$BX$32:$CC$35,6,FALSE)</f>
        <v>4</v>
      </c>
      <c r="BS33" s="84">
        <f>IF(BJ33="",0,IF(BK33=$B$57,IF(BH33&lt;BJ33,3,IF(BH33=BJ33,1,0)),0))</f>
        <v>3</v>
      </c>
      <c r="BT33" s="83"/>
      <c r="BU33" s="84">
        <f>IF(BH38="",0,IF(BK37=$B$57,IF(BH38&gt;BJ38,3,IF(BH38=BJ38,1,0)),0))</f>
        <v>3</v>
      </c>
      <c r="BV33" s="84">
        <f>IF(BJ36="",0,IF(BK36=$B$57,IF(BJ36&gt;BH36,3,IF(BJ36=BH36,1,0)),0))</f>
        <v>1</v>
      </c>
      <c r="BW33" s="85"/>
      <c r="BX33" s="85">
        <f>RANK(CD33,$CD$32:$CD$35)</f>
        <v>2</v>
      </c>
      <c r="BY33" s="86" t="str">
        <f>B82</f>
        <v>England</v>
      </c>
      <c r="BZ33" s="1">
        <f>SUM(BS33:BV33)</f>
        <v>7</v>
      </c>
      <c r="CA33" s="1">
        <f>SUM(BS37:BV37)</f>
        <v>10</v>
      </c>
      <c r="CB33" s="1">
        <f>SUM(BT36:BT39)</f>
        <v>6</v>
      </c>
      <c r="CC33" s="1">
        <f>CA33-CB33</f>
        <v>4</v>
      </c>
      <c r="CD33" s="31">
        <f>IF(BP$38="",CE33*10000000000000000+BZ33*100000000000000+CC33*1000000000000+CA33*10000000000+CK33*100000000+CJ33*1000000+CP33*10000+CU33*100+CV33,CE33*10000000000000000+BZ33*100000000000000+CK33*1000000000000+CJ33*10000000000+CP33*100000000+CU33*1000000+CC33*10000+CA33*100+CV33)</f>
        <v>704100000000203</v>
      </c>
      <c r="CE33" s="5"/>
      <c r="CF33" s="32">
        <f>IF($BZ33=$BZ32,$BS33-$BT32,0)</f>
        <v>0</v>
      </c>
      <c r="CG33" s="32"/>
      <c r="CH33" s="32">
        <f>IF($BZ33=$BZ34,$BU33-$BT34,0)</f>
        <v>0</v>
      </c>
      <c r="CI33" s="32">
        <f>IF($BZ33=$BZ35,$BV33-$BT35,0)</f>
        <v>0</v>
      </c>
      <c r="CJ33" s="32">
        <f>SUM(CF33:CI33)</f>
        <v>0</v>
      </c>
      <c r="CK33" s="5"/>
      <c r="CL33" s="32">
        <f>IF($BZ33=$BZ32,$BS37-$BT36,0)</f>
        <v>0</v>
      </c>
      <c r="CM33" s="32"/>
      <c r="CN33" s="32">
        <f>IF($BZ33=$BZ34,$BU37-$BT38,0)</f>
        <v>0</v>
      </c>
      <c r="CO33" s="32">
        <f>IF($BZ33=$BZ35,$BV37-$BT39,0)</f>
        <v>0</v>
      </c>
      <c r="CP33" s="32">
        <f>SUM(CL33:CO33)</f>
        <v>0</v>
      </c>
      <c r="CQ33" s="32">
        <f>IF($BZ33=$BZ32,$BS37,0)</f>
        <v>0</v>
      </c>
      <c r="CR33" s="32"/>
      <c r="CS33" s="32">
        <f>IF($BZ33=$BZ34,$BU37,0)</f>
        <v>0</v>
      </c>
      <c r="CT33" s="32">
        <f>IF($BZ33=$BZ35,$BV37,0)</f>
        <v>2</v>
      </c>
      <c r="CU33" s="32">
        <f>SUM(CQ33:CT33)</f>
        <v>2</v>
      </c>
      <c r="CV33" s="5">
        <v>3</v>
      </c>
      <c r="CW33" s="31"/>
    </row>
    <row r="34" spans="1:101" ht="12.75">
      <c r="A34" s="2">
        <f>A33+1</f>
        <v>8</v>
      </c>
      <c r="B34" s="7">
        <v>41805.125</v>
      </c>
      <c r="C34" s="4" t="s">
        <v>33</v>
      </c>
      <c r="D34" s="78" t="str">
        <f>Y34</f>
        <v>USA</v>
      </c>
      <c r="E34" s="58" t="s">
        <v>25</v>
      </c>
      <c r="F34" s="78" t="str">
        <f>Y35</f>
        <v>Bosnien-Herzg.</v>
      </c>
      <c r="G34" s="75"/>
      <c r="H34" s="80">
        <f ca="1">IF($B$58="",1,INT(RAND()*5)+INT(RAND()*3)*INT(RAND()*2))</f>
        <v>3</v>
      </c>
      <c r="I34" s="13" t="s">
        <v>26</v>
      </c>
      <c r="J34" s="79">
        <f ca="1">IF($B$58="",0,INT(RAND()*5)+INT(RAND()*3)*INT(RAND()*2))</f>
        <v>1</v>
      </c>
      <c r="K34" s="9" t="s">
        <v>27</v>
      </c>
      <c r="L34" s="1"/>
      <c r="M34" s="11" t="str">
        <f>VLOOKUP(3,$X$32:$AC$35,2,FALSE)</f>
        <v>Bosnien-Herzg.</v>
      </c>
      <c r="N34" s="2">
        <f>VLOOKUP(3,$X$32:$AC$35,3,FALSE)</f>
        <v>3</v>
      </c>
      <c r="O34" s="2">
        <f>VLOOKUP(3,$X$32:$AC$35,4,FALSE)</f>
        <v>4</v>
      </c>
      <c r="P34" s="2">
        <f>VLOOKUP(3,$X$32:$AC$35,5,FALSE)</f>
        <v>8</v>
      </c>
      <c r="Q34" s="2">
        <f>VLOOKUP(3,$X$32:$AC$35,6,FALSE)</f>
        <v>-4</v>
      </c>
      <c r="S34" s="84">
        <f>IF(J35="",0,IF(K35=$B$57,IF(H35&lt;J35,3,IF(H35=J35,1,0)),0))</f>
        <v>0</v>
      </c>
      <c r="T34" s="84">
        <f>IF(J38="",0,IF(K37=$B$57,IF(H38&lt;J38,3,IF(H38=J38,1,0)),0))</f>
        <v>3</v>
      </c>
      <c r="U34" s="83"/>
      <c r="V34" s="84">
        <f>IF(H34="",0,IF(K34=$B$57,IF(H34&gt;J34,3,IF(H34=J34,1,0)),0))</f>
        <v>3</v>
      </c>
      <c r="W34" s="85"/>
      <c r="X34" s="85">
        <f>RANK(AD34,$AD$32:$AD$35)</f>
        <v>2</v>
      </c>
      <c r="Y34" s="86" t="str">
        <f>B88</f>
        <v>USA</v>
      </c>
      <c r="Z34" s="1">
        <f>SUM(S34:V34)</f>
        <v>6</v>
      </c>
      <c r="AA34" s="1">
        <f>SUM(S38:V38)</f>
        <v>5</v>
      </c>
      <c r="AB34" s="1">
        <f>SUM(U36:U39)</f>
        <v>4</v>
      </c>
      <c r="AC34" s="1">
        <f>AA34-AB34</f>
        <v>1</v>
      </c>
      <c r="AD34" s="31">
        <f>IF(P$38="",AE34*10000000000000000+Z34*100000000000000+AC34*1000000000000+AA34*10000000000+AK34*100000000+AJ34*1000000+AP34*10000+AU34*100+AV34,AE34*10000000000000000+Z34*100000000000000+AK34*1000000000000+AJ34*10000000000+AP34*100000000+AU34*1000000+AC34*10000+AA34*100+AV34)</f>
        <v>601050000000002</v>
      </c>
      <c r="AE34" s="5"/>
      <c r="AF34" s="32">
        <f>IF($Z34=$Z32,$S34-$U32,0)</f>
        <v>0</v>
      </c>
      <c r="AG34" s="32">
        <f>IF($Z34=$Z33,$T34-$U33,0)</f>
        <v>0</v>
      </c>
      <c r="AH34" s="32"/>
      <c r="AI34" s="32">
        <f>IF($Z34=$Z35,$V34-$U35,0)</f>
        <v>0</v>
      </c>
      <c r="AJ34" s="32">
        <f>SUM(AF34:AI34)</f>
        <v>0</v>
      </c>
      <c r="AK34" s="5"/>
      <c r="AL34" s="32">
        <f>IF($Z34=$Z32,$S38-$U36,0)</f>
        <v>0</v>
      </c>
      <c r="AM34" s="32">
        <f>IF($Z34=$Z33,$T38-$U37,0)</f>
        <v>0</v>
      </c>
      <c r="AN34" s="32"/>
      <c r="AO34" s="32">
        <f>IF($Z34=$Z35,$V38-$U39,0)</f>
        <v>0</v>
      </c>
      <c r="AP34" s="32">
        <f>SUM(AL34:AO34)</f>
        <v>0</v>
      </c>
      <c r="AQ34" s="32">
        <f>IF($Z34=$Z32,$S38,0)</f>
        <v>0</v>
      </c>
      <c r="AR34" s="32">
        <f>IF($Z34=$Z33,$T38,0)</f>
        <v>0</v>
      </c>
      <c r="AS34" s="32"/>
      <c r="AT34" s="32">
        <f>IF($Z34=$Z35,$V38,0)</f>
        <v>0</v>
      </c>
      <c r="AU34" s="32">
        <f>SUM(AQ34:AT34)</f>
        <v>0</v>
      </c>
      <c r="AV34" s="5">
        <v>2</v>
      </c>
      <c r="AW34" s="31"/>
      <c r="BA34" s="2">
        <f>BA33+1</f>
        <v>16</v>
      </c>
      <c r="BB34" s="7">
        <v>41808</v>
      </c>
      <c r="BC34" s="4" t="s">
        <v>46</v>
      </c>
      <c r="BD34" s="78" t="str">
        <f>BY34</f>
        <v>Honduras</v>
      </c>
      <c r="BE34" s="58" t="s">
        <v>25</v>
      </c>
      <c r="BF34" s="78" t="str">
        <f>BY35</f>
        <v>Italien</v>
      </c>
      <c r="BG34" s="75"/>
      <c r="BH34" s="80">
        <f ca="1">IF($B$58="",1,INT(RAND()*5)+INT(RAND()*3)*INT(RAND()*2))</f>
        <v>3</v>
      </c>
      <c r="BI34" s="13" t="s">
        <v>26</v>
      </c>
      <c r="BJ34" s="79">
        <f ca="1">IF($B$58="",0,INT(RAND()*5)+INT(RAND()*3)*INT(RAND()*2))</f>
        <v>5</v>
      </c>
      <c r="BK34" s="9" t="s">
        <v>27</v>
      </c>
      <c r="BL34" s="1"/>
      <c r="BM34" s="11" t="str">
        <f>VLOOKUP(3,$BX$32:$CC$35,2,FALSE)</f>
        <v>Honduras</v>
      </c>
      <c r="BN34" s="2">
        <f>VLOOKUP(3,$BX$32:$CC$35,3,FALSE)</f>
        <v>3</v>
      </c>
      <c r="BO34" s="2">
        <f>VLOOKUP(3,$BX$32:$CC$35,4,FALSE)</f>
        <v>9</v>
      </c>
      <c r="BP34" s="2">
        <f>VLOOKUP(3,$BX$32:$CC$35,5,FALSE)</f>
        <v>10</v>
      </c>
      <c r="BQ34" s="2">
        <f>VLOOKUP(3,$BX$32:$CC$35,6,FALSE)</f>
        <v>-1</v>
      </c>
      <c r="BS34" s="84">
        <f>IF(BJ35="",0,IF(BK35=$B$57,IF(BH35&lt;BJ35,3,IF(BH35=BJ35,1,0)),0))</f>
        <v>3</v>
      </c>
      <c r="BT34" s="84">
        <f>IF(BJ38="",0,IF(BK37=$B$57,IF(BH38&lt;BJ38,3,IF(BH38=BJ38,1,0)),0))</f>
        <v>0</v>
      </c>
      <c r="BU34" s="83"/>
      <c r="BV34" s="84">
        <f>IF(BH34="",0,IF(BK34=$B$57,IF(BH34&gt;BJ34,3,IF(BH34=BJ34,1,0)),0))</f>
        <v>0</v>
      </c>
      <c r="BW34" s="85"/>
      <c r="BX34" s="85">
        <f>RANK(CD34,$CD$32:$CD$35)</f>
        <v>3</v>
      </c>
      <c r="BY34" s="86" t="str">
        <f>B92</f>
        <v>Honduras</v>
      </c>
      <c r="BZ34" s="1">
        <f>SUM(BS34:BV34)</f>
        <v>3</v>
      </c>
      <c r="CA34" s="1">
        <f>SUM(BS38:BV38)</f>
        <v>9</v>
      </c>
      <c r="CB34" s="1">
        <f>SUM(BU36:BU39)</f>
        <v>10</v>
      </c>
      <c r="CC34" s="1">
        <f>CA34-CB34</f>
        <v>-1</v>
      </c>
      <c r="CD34" s="31">
        <f>IF(BP$38="",CE34*10000000000000000+BZ34*100000000000000+CC34*1000000000000+CA34*10000000000+CK34*100000000+CJ34*1000000+CP34*10000+CU34*100+CV34,CE34*10000000000000000+BZ34*100000000000000+CK34*1000000000000+CJ34*10000000000+CP34*100000000+CU34*1000000+CC34*10000+CA34*100+CV34)</f>
        <v>299090000000002</v>
      </c>
      <c r="CE34" s="5"/>
      <c r="CF34" s="32">
        <f>IF($BZ34=$BZ32,$BS34-$BU32,0)</f>
        <v>0</v>
      </c>
      <c r="CG34" s="32">
        <f>IF($BZ34=$BZ33,$BT34-$BU33,0)</f>
        <v>0</v>
      </c>
      <c r="CH34" s="32"/>
      <c r="CI34" s="32">
        <f>IF($BZ34=$BZ35,$BV34-$BU35,0)</f>
        <v>0</v>
      </c>
      <c r="CJ34" s="32">
        <f>SUM(CF34:CI34)</f>
        <v>0</v>
      </c>
      <c r="CK34" s="5"/>
      <c r="CL34" s="32">
        <f>IF($BZ34=$BZ32,$BS38-$BU36,0)</f>
        <v>0</v>
      </c>
      <c r="CM34" s="32">
        <f>IF($BZ34=$BZ33,$BT38-$BU37,0)</f>
        <v>0</v>
      </c>
      <c r="CN34" s="32"/>
      <c r="CO34" s="32">
        <f>IF($BZ34=$BZ35,$BV38-$BU39,0)</f>
        <v>0</v>
      </c>
      <c r="CP34" s="32">
        <f>SUM(CL34:CO34)</f>
        <v>0</v>
      </c>
      <c r="CQ34" s="32">
        <f>IF($BZ34=$BZ32,$BS38,0)</f>
        <v>0</v>
      </c>
      <c r="CR34" s="32">
        <f>IF($BZ34=$BZ33,$BT38,0)</f>
        <v>0</v>
      </c>
      <c r="CS34" s="32"/>
      <c r="CT34" s="32">
        <f>IF($BZ34=$BZ35,$BV38,0)</f>
        <v>0</v>
      </c>
      <c r="CU34" s="32">
        <f>SUM(CQ34:CT34)</f>
        <v>0</v>
      </c>
      <c r="CV34" s="5">
        <v>2</v>
      </c>
      <c r="CW34" s="31"/>
    </row>
    <row r="35" spans="1:101" ht="12.75">
      <c r="A35" s="2">
        <f>A33+16</f>
        <v>23</v>
      </c>
      <c r="B35" s="7">
        <v>41809.875</v>
      </c>
      <c r="C35" s="4" t="s">
        <v>24</v>
      </c>
      <c r="D35" s="78" t="str">
        <f>Y32</f>
        <v>Kolumbien</v>
      </c>
      <c r="E35" s="58" t="s">
        <v>25</v>
      </c>
      <c r="F35" s="78" t="str">
        <f>Y34</f>
        <v>USA</v>
      </c>
      <c r="G35" s="75"/>
      <c r="H35" s="80">
        <f ca="1">IF($B$58="",1,INT(RAND()*5)+INT(RAND()*3)*INT(RAND()*2))</f>
        <v>2</v>
      </c>
      <c r="I35" s="13" t="s">
        <v>26</v>
      </c>
      <c r="J35" s="79">
        <f ca="1">IF($B$58="",0,INT(RAND()*5)+INT(RAND()*3)*INT(RAND()*2))</f>
        <v>0</v>
      </c>
      <c r="K35" s="9" t="s">
        <v>27</v>
      </c>
      <c r="L35" s="1"/>
      <c r="M35" s="11" t="str">
        <f>VLOOKUP(4,$X$32:$AC$35,2,FALSE)</f>
        <v>Ecuador</v>
      </c>
      <c r="N35" s="2">
        <f>VLOOKUP(4,$X$32:$AC$35,3,FALSE)</f>
        <v>1</v>
      </c>
      <c r="O35" s="2">
        <f>VLOOKUP(4,$X$32:$AC$35,4,FALSE)</f>
        <v>4</v>
      </c>
      <c r="P35" s="2">
        <f>VLOOKUP(4,$X$32:$AC$35,5,FALSE)</f>
        <v>7</v>
      </c>
      <c r="Q35" s="2">
        <f>VLOOKUP(4,$X$32:$AC$35,6,FALSE)</f>
        <v>-3</v>
      </c>
      <c r="S35" s="84">
        <f>IF(H37="",0,IF(K38=$B$57,IF(H37&gt;J37,3,IF(H37=J37,1,0)),0))</f>
        <v>0</v>
      </c>
      <c r="T35" s="84">
        <f>IF(H36="",0,IF(K36=$B$57,IF(J36&lt;H36,3,IF(J36=H36,1,0)),0))</f>
        <v>3</v>
      </c>
      <c r="U35" s="84">
        <f>IF(J34="",0,IF(K34=$B$57,IF(H34&lt;J34,3,IF(H34=J34,1,0)),0))</f>
        <v>0</v>
      </c>
      <c r="V35" s="83"/>
      <c r="W35" s="85"/>
      <c r="X35" s="85">
        <f>RANK(AD35,$AD$32:$AD$35)</f>
        <v>3</v>
      </c>
      <c r="Y35" s="86" t="str">
        <f>B98</f>
        <v>Bosnien-Herzg.</v>
      </c>
      <c r="Z35" s="1">
        <f>SUM(S35:V35)</f>
        <v>3</v>
      </c>
      <c r="AA35" s="1">
        <f>SUM(S39:V39)</f>
        <v>4</v>
      </c>
      <c r="AB35" s="1">
        <f>SUM(V36:V39)</f>
        <v>8</v>
      </c>
      <c r="AC35" s="1">
        <f>AA35-AB35</f>
        <v>-4</v>
      </c>
      <c r="AD35" s="31">
        <f>IF(P$38="",AE35*10000000000000000+Z35*100000000000000+AC35*1000000000000+AA35*10000000000+AK35*100000000+AJ35*1000000+AP35*10000+AU35*100+AV35,AE35*10000000000000000+Z35*100000000000000+AK35*1000000000000+AJ35*10000000000+AP35*100000000+AU35*1000000+AC35*10000+AA35*100+AV35)</f>
        <v>296040000000001</v>
      </c>
      <c r="AE35" s="5"/>
      <c r="AF35" s="32">
        <f>IF($Z35=$Z32,$S35-$V32,0)</f>
        <v>0</v>
      </c>
      <c r="AG35" s="32">
        <f>IF($Z35=$Z33,$T35-$V33,0)</f>
        <v>0</v>
      </c>
      <c r="AH35" s="32">
        <f>IF($Z35=$Z34,$U35-$V34,0)</f>
        <v>0</v>
      </c>
      <c r="AI35" s="32"/>
      <c r="AJ35" s="32">
        <f>SUM(AF35:AI35)</f>
        <v>0</v>
      </c>
      <c r="AK35" s="5"/>
      <c r="AL35" s="32">
        <f>IF($Z35=$Z32,$S39-$V36,0)</f>
        <v>0</v>
      </c>
      <c r="AM35" s="32">
        <f>IF($Z35=$Z33,$T39-$V37,0)</f>
        <v>0</v>
      </c>
      <c r="AN35" s="32">
        <f>IF($Z35=$Z34,$U39-$V38,0)</f>
        <v>0</v>
      </c>
      <c r="AO35" s="32"/>
      <c r="AP35" s="32">
        <f>SUM(AL35:AO35)</f>
        <v>0</v>
      </c>
      <c r="AQ35" s="32">
        <f>IF($Z35=$Z32,$S39,0)</f>
        <v>0</v>
      </c>
      <c r="AR35" s="32">
        <f>IF($Z35=$Z33,$T39,0)</f>
        <v>0</v>
      </c>
      <c r="AS35" s="32">
        <f>IF($Z35=$Z34,$U39,0)</f>
        <v>0</v>
      </c>
      <c r="AT35" s="32"/>
      <c r="AU35" s="32">
        <f>SUM(AQ35:AT35)</f>
        <v>0</v>
      </c>
      <c r="AV35" s="5">
        <v>1</v>
      </c>
      <c r="AW35" s="31"/>
      <c r="BA35" s="2">
        <f>BA33+16</f>
        <v>31</v>
      </c>
      <c r="BB35" s="7">
        <v>41813</v>
      </c>
      <c r="BC35" s="4" t="s">
        <v>41</v>
      </c>
      <c r="BD35" s="78" t="str">
        <f>BY32</f>
        <v>Spanien</v>
      </c>
      <c r="BE35" s="58" t="s">
        <v>25</v>
      </c>
      <c r="BF35" s="78" t="str">
        <f>BY34</f>
        <v>Honduras</v>
      </c>
      <c r="BG35" s="75"/>
      <c r="BH35" s="80">
        <f ca="1">IF($B$58="",1,INT(RAND()*5)+INT(RAND()*3)*INT(RAND()*2))</f>
        <v>2</v>
      </c>
      <c r="BI35" s="13" t="s">
        <v>26</v>
      </c>
      <c r="BJ35" s="79">
        <f ca="1">IF($B$58="",0,INT(RAND()*5)+INT(RAND()*3)*INT(RAND()*2))</f>
        <v>5</v>
      </c>
      <c r="BK35" s="9" t="s">
        <v>27</v>
      </c>
      <c r="BL35" s="1"/>
      <c r="BM35" s="11" t="str">
        <f>VLOOKUP(4,$BX$32:$CC$35,2,FALSE)</f>
        <v>Spanien</v>
      </c>
      <c r="BN35" s="2">
        <f>VLOOKUP(4,$BX$32:$CC$35,3,FALSE)</f>
        <v>0</v>
      </c>
      <c r="BO35" s="2">
        <f>VLOOKUP(4,$BX$32:$CC$35,4,FALSE)</f>
        <v>6</v>
      </c>
      <c r="BP35" s="2">
        <f>VLOOKUP(4,$BX$32:$CC$35,5,FALSE)</f>
        <v>14</v>
      </c>
      <c r="BQ35" s="2">
        <f>VLOOKUP(4,$BX$32:$CC$35,6,FALSE)</f>
        <v>-8</v>
      </c>
      <c r="BS35" s="84">
        <f>IF(BH37="",0,IF(BK38=$B$57,IF(BH37&gt;BJ37,3,IF(BH37=BJ37,1,0)),0))</f>
        <v>3</v>
      </c>
      <c r="BT35" s="84">
        <f>IF(BH36="",0,IF(BK36=$B$57,IF(BJ36&lt;BH36,3,IF(BJ36=BH36,1,0)),0))</f>
        <v>1</v>
      </c>
      <c r="BU35" s="84">
        <f>IF(BJ34="",0,IF(BK34=$B$57,IF(BH34&lt;BJ34,3,IF(BH34=BJ34,1,0)),0))</f>
        <v>3</v>
      </c>
      <c r="BV35" s="83"/>
      <c r="BW35" s="85"/>
      <c r="BX35" s="85">
        <f>RANK(CD35,$CD$32:$CD$35)</f>
        <v>1</v>
      </c>
      <c r="BY35" s="86" t="str">
        <f>B102</f>
        <v>Italien</v>
      </c>
      <c r="BZ35" s="1">
        <f>SUM(BS35:BV35)</f>
        <v>7</v>
      </c>
      <c r="CA35" s="1">
        <f>SUM(BS39:BV39)</f>
        <v>11</v>
      </c>
      <c r="CB35" s="1">
        <f>SUM(BV36:BV39)</f>
        <v>6</v>
      </c>
      <c r="CC35" s="1">
        <f>CA35-CB35</f>
        <v>5</v>
      </c>
      <c r="CD35" s="31">
        <f>IF(BP$38="",CE35*10000000000000000+BZ35*100000000000000+CC35*1000000000000+CA35*10000000000+CK35*100000000+CJ35*1000000+CP35*10000+CU35*100+CV35,CE35*10000000000000000+BZ35*100000000000000+CK35*1000000000000+CJ35*10000000000+CP35*100000000+CU35*1000000+CC35*10000+CA35*100+CV35)</f>
        <v>705110000000201</v>
      </c>
      <c r="CE35" s="5"/>
      <c r="CF35" s="32">
        <f>IF($BZ35=$BZ32,$BS35-$BV32,0)</f>
        <v>0</v>
      </c>
      <c r="CG35" s="32">
        <f>IF($BZ35=$BZ33,$BT35-$BV33,0)</f>
        <v>0</v>
      </c>
      <c r="CH35" s="32">
        <f>IF($BZ35=$BZ34,$BU35-$BV34,0)</f>
        <v>0</v>
      </c>
      <c r="CI35" s="32"/>
      <c r="CJ35" s="32">
        <f>SUM(CF35:CI35)</f>
        <v>0</v>
      </c>
      <c r="CK35" s="5"/>
      <c r="CL35" s="32">
        <f>IF($BZ35=$BZ32,$BS39-$BV36,0)</f>
        <v>0</v>
      </c>
      <c r="CM35" s="32">
        <f>IF($BZ35=$BZ33,$BT39-$BV37,0)</f>
        <v>0</v>
      </c>
      <c r="CN35" s="32">
        <f>IF($BZ35=$BZ34,$BU39-$BV38,0)</f>
        <v>0</v>
      </c>
      <c r="CO35" s="32"/>
      <c r="CP35" s="32">
        <f>SUM(CL35:CO35)</f>
        <v>0</v>
      </c>
      <c r="CQ35" s="32">
        <f>IF($BZ35=$BZ32,$BS39,0)</f>
        <v>0</v>
      </c>
      <c r="CR35" s="32">
        <f>IF($BZ35=$BZ33,$BT39,0)</f>
        <v>2</v>
      </c>
      <c r="CS35" s="32">
        <f>IF($BZ35=$BZ34,$BU39,0)</f>
        <v>0</v>
      </c>
      <c r="CT35" s="32"/>
      <c r="CU35" s="32">
        <f>SUM(CQ35:CT35)</f>
        <v>2</v>
      </c>
      <c r="CV35" s="5">
        <v>1</v>
      </c>
      <c r="CW35" s="31"/>
    </row>
    <row r="36" spans="1:101" ht="12.75">
      <c r="A36" s="2">
        <f>A35+1</f>
        <v>24</v>
      </c>
      <c r="B36" s="7">
        <v>41810.75</v>
      </c>
      <c r="C36" s="4" t="s">
        <v>38</v>
      </c>
      <c r="D36" s="78" t="str">
        <f>Y35</f>
        <v>Bosnien-Herzg.</v>
      </c>
      <c r="E36" s="58" t="s">
        <v>25</v>
      </c>
      <c r="F36" s="78" t="str">
        <f>Y33</f>
        <v>Ecuador</v>
      </c>
      <c r="G36" s="75"/>
      <c r="H36" s="79">
        <f ca="1">IF($B$58="",1,INT(RAND()*5)+INT(RAND()*3)*INT(RAND()*2))</f>
        <v>2</v>
      </c>
      <c r="I36" s="13" t="s">
        <v>26</v>
      </c>
      <c r="J36" s="79">
        <f ca="1">IF($B$58="",0,INT(RAND()*5)+INT(RAND()*3)*INT(RAND()*2))</f>
        <v>0</v>
      </c>
      <c r="K36" s="9" t="s">
        <v>27</v>
      </c>
      <c r="L36" s="1"/>
      <c r="N36" s="1"/>
      <c r="O36" s="1"/>
      <c r="P36" s="1"/>
      <c r="S36" s="83"/>
      <c r="T36" s="84">
        <f>IF(K33=$B$57,H33,0)</f>
        <v>3</v>
      </c>
      <c r="U36" s="84">
        <f>IF(K35=$B$57,H35,0)</f>
        <v>2</v>
      </c>
      <c r="V36" s="84">
        <f>IF(K38=$B$57,J37,0)</f>
        <v>5</v>
      </c>
      <c r="W36" s="85"/>
      <c r="X36" s="85"/>
      <c r="Y36" s="85"/>
      <c r="Z36" s="1"/>
      <c r="AA36" s="1"/>
      <c r="AB36" s="1"/>
      <c r="AC36" s="1"/>
      <c r="AD36" s="6"/>
      <c r="AE36" s="9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V36" s="32"/>
      <c r="AW36" s="31"/>
      <c r="BA36" s="2">
        <f>BA35+1</f>
        <v>32</v>
      </c>
      <c r="BB36" s="7">
        <v>41812.75</v>
      </c>
      <c r="BC36" s="4" t="s">
        <v>30</v>
      </c>
      <c r="BD36" s="78" t="str">
        <f>BY35</f>
        <v>Italien</v>
      </c>
      <c r="BE36" s="58" t="s">
        <v>25</v>
      </c>
      <c r="BF36" s="78" t="str">
        <f>BY33</f>
        <v>England</v>
      </c>
      <c r="BG36" s="75"/>
      <c r="BH36" s="79">
        <f ca="1">IF($B$58="",1,INT(RAND()*5)+INT(RAND()*3)*INT(RAND()*2))</f>
        <v>2</v>
      </c>
      <c r="BI36" s="13" t="s">
        <v>26</v>
      </c>
      <c r="BJ36" s="79">
        <f ca="1">IF($B$58="",0,INT(RAND()*5)+INT(RAND()*3)*INT(RAND()*2))</f>
        <v>2</v>
      </c>
      <c r="BK36" s="9" t="s">
        <v>27</v>
      </c>
      <c r="BL36" s="1"/>
      <c r="BN36" s="1"/>
      <c r="BO36" s="1"/>
      <c r="BP36" s="1"/>
      <c r="BS36" s="83"/>
      <c r="BT36" s="84">
        <f>IF(BK33=$B$57,BH33,0)</f>
        <v>3</v>
      </c>
      <c r="BU36" s="84">
        <f>IF(BK35=$B$57,BH35,0)</f>
        <v>2</v>
      </c>
      <c r="BV36" s="84">
        <f>IF(BK38=$B$57,BJ37,0)</f>
        <v>1</v>
      </c>
      <c r="BW36" s="85"/>
      <c r="BX36" s="85"/>
      <c r="BY36" s="85"/>
      <c r="BZ36" s="1"/>
      <c r="CA36" s="1"/>
      <c r="CB36" s="1"/>
      <c r="CC36" s="1"/>
      <c r="CD36" s="6"/>
      <c r="CE36" s="9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V36" s="32"/>
      <c r="CW36" s="31"/>
    </row>
    <row r="37" spans="1:101" ht="12.75">
      <c r="A37" s="2">
        <f>A35+16</f>
        <v>39</v>
      </c>
      <c r="B37" s="7">
        <v>41814.75</v>
      </c>
      <c r="C37" s="4" t="s">
        <v>29</v>
      </c>
      <c r="D37" s="78" t="str">
        <f>Y35</f>
        <v>Bosnien-Herzg.</v>
      </c>
      <c r="E37" s="58" t="s">
        <v>25</v>
      </c>
      <c r="F37" s="78" t="str">
        <f>Y32</f>
        <v>Kolumbien</v>
      </c>
      <c r="G37" s="77"/>
      <c r="H37" s="79">
        <f ca="1">IF($B$58="",1,INT(RAND()*5)+INT(RAND()*3)*INT(RAND()*2))</f>
        <v>1</v>
      </c>
      <c r="I37" s="13" t="s">
        <v>26</v>
      </c>
      <c r="J37" s="79">
        <f ca="1">IF($B$58="",0,INT(RAND()*5)+INT(RAND()*3)*INT(RAND()*2))</f>
        <v>5</v>
      </c>
      <c r="K37" s="9" t="s">
        <v>27</v>
      </c>
      <c r="M37" s="52" t="str">
        <f>IF(N32&gt;0,M32,"")</f>
        <v>Kolumbien</v>
      </c>
      <c r="N37" s="2" t="s">
        <v>60</v>
      </c>
      <c r="P37" s="40"/>
      <c r="S37" s="84">
        <f>IF(K33=$B$57,J33,0)</f>
        <v>3</v>
      </c>
      <c r="T37" s="83"/>
      <c r="U37" s="84">
        <f>IF(K37=$B$57,H38,0)</f>
        <v>1</v>
      </c>
      <c r="V37" s="84">
        <f>IF(K36=$B$57,J36,0)</f>
        <v>0</v>
      </c>
      <c r="AD37" s="2" t="s">
        <v>36</v>
      </c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V37" s="33"/>
      <c r="AW37" s="31"/>
      <c r="BA37" s="2">
        <f>BA35+16</f>
        <v>47</v>
      </c>
      <c r="BB37" s="7">
        <v>41816.916666666664</v>
      </c>
      <c r="BC37" s="4" t="s">
        <v>24</v>
      </c>
      <c r="BD37" s="78" t="str">
        <f>BY35</f>
        <v>Italien</v>
      </c>
      <c r="BE37" s="58" t="s">
        <v>25</v>
      </c>
      <c r="BF37" s="78" t="str">
        <f>BY32</f>
        <v>Spanien</v>
      </c>
      <c r="BG37" s="77"/>
      <c r="BH37" s="79">
        <f ca="1">IF($B$58="",1,INT(RAND()*5)+INT(RAND()*3)*INT(RAND()*2))</f>
        <v>4</v>
      </c>
      <c r="BI37" s="13" t="s">
        <v>26</v>
      </c>
      <c r="BJ37" s="79">
        <f ca="1">IF($B$58="",0,INT(RAND()*5)+INT(RAND()*3)*INT(RAND()*2))</f>
        <v>1</v>
      </c>
      <c r="BK37" s="9" t="s">
        <v>27</v>
      </c>
      <c r="BM37" s="100" t="str">
        <f>IF(BN32&gt;0,BM32,"")</f>
        <v>Italien</v>
      </c>
      <c r="BN37" s="2" t="s">
        <v>61</v>
      </c>
      <c r="BP37" s="40"/>
      <c r="BS37" s="84">
        <f>IF(BK33=$B$57,BJ33,0)</f>
        <v>5</v>
      </c>
      <c r="BT37" s="83"/>
      <c r="BU37" s="84">
        <f>IF(BK37=$B$57,BH38,0)</f>
        <v>3</v>
      </c>
      <c r="BV37" s="84">
        <f>IF(BK36=$B$57,BJ36,0)</f>
        <v>2</v>
      </c>
      <c r="CD37" s="2" t="s">
        <v>36</v>
      </c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V37" s="33"/>
      <c r="CW37" s="31"/>
    </row>
    <row r="38" spans="1:101" ht="12.75">
      <c r="A38" s="2">
        <f>A37+1</f>
        <v>40</v>
      </c>
      <c r="B38" s="7">
        <v>41814.75</v>
      </c>
      <c r="C38" s="4" t="s">
        <v>47</v>
      </c>
      <c r="D38" s="78" t="str">
        <f>Y33</f>
        <v>Ecuador</v>
      </c>
      <c r="E38" s="58" t="s">
        <v>25</v>
      </c>
      <c r="F38" s="78" t="str">
        <f>Y34</f>
        <v>USA</v>
      </c>
      <c r="G38" s="77"/>
      <c r="H38" s="80">
        <f ca="1">IF($B$58="",1,INT(RAND()*5)+INT(RAND()*3)*INT(RAND()*2))</f>
        <v>1</v>
      </c>
      <c r="I38" s="13" t="s">
        <v>26</v>
      </c>
      <c r="J38" s="80">
        <f ca="1">IF($B$58="",0,INT(RAND()*5)+INT(RAND()*3)*INT(RAND()*2))</f>
        <v>2</v>
      </c>
      <c r="K38" s="9" t="s">
        <v>27</v>
      </c>
      <c r="M38" s="52" t="str">
        <f>IF(N33&gt;0,M33,"")</f>
        <v>USA</v>
      </c>
      <c r="N38" s="2" t="s">
        <v>62</v>
      </c>
      <c r="O38" s="41"/>
      <c r="P38" s="42"/>
      <c r="S38" s="84">
        <f>IF(K35=$B$57,J35,0)</f>
        <v>0</v>
      </c>
      <c r="T38" s="84">
        <f>IF(K37=$B$57,J38,0)</f>
        <v>2</v>
      </c>
      <c r="U38" s="83"/>
      <c r="V38" s="84">
        <f>IF(K34=$B$57,H34,0)</f>
        <v>3</v>
      </c>
      <c r="AD38" s="2" t="s">
        <v>40</v>
      </c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V38" s="33"/>
      <c r="AW38" s="31"/>
      <c r="BA38" s="2">
        <f>BA37+1</f>
        <v>48</v>
      </c>
      <c r="BB38" s="7">
        <v>41816.916666666664</v>
      </c>
      <c r="BC38" s="4" t="s">
        <v>34</v>
      </c>
      <c r="BD38" s="78" t="str">
        <f>BY33</f>
        <v>England</v>
      </c>
      <c r="BE38" s="58" t="s">
        <v>25</v>
      </c>
      <c r="BF38" s="78" t="str">
        <f>BY34</f>
        <v>Honduras</v>
      </c>
      <c r="BG38" s="77"/>
      <c r="BH38" s="80">
        <f ca="1">IF($B$58="",1,INT(RAND()*5)+INT(RAND()*3)*INT(RAND()*2))</f>
        <v>3</v>
      </c>
      <c r="BI38" s="13" t="s">
        <v>26</v>
      </c>
      <c r="BJ38" s="79">
        <f ca="1">IF($B$58="",0,INT(RAND()*5)+INT(RAND()*3)*INT(RAND()*2))</f>
        <v>1</v>
      </c>
      <c r="BK38" s="9" t="s">
        <v>27</v>
      </c>
      <c r="BM38" s="100" t="str">
        <f>IF(BN33&gt;0,BM33,"")</f>
        <v>England</v>
      </c>
      <c r="BN38" s="2" t="s">
        <v>63</v>
      </c>
      <c r="BO38" s="41"/>
      <c r="BP38" s="42"/>
      <c r="BS38" s="84">
        <f>IF(BK35=$B$57,BJ35,0)</f>
        <v>5</v>
      </c>
      <c r="BT38" s="84">
        <f>IF(BK37=$B$57,BJ38,0)</f>
        <v>1</v>
      </c>
      <c r="BU38" s="83"/>
      <c r="BV38" s="84">
        <f>IF(BK34=$B$57,BH34,0)</f>
        <v>3</v>
      </c>
      <c r="CD38" s="2" t="s">
        <v>40</v>
      </c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V38" s="33"/>
      <c r="CW38" s="31"/>
    </row>
    <row r="39" spans="4:101" ht="12.75">
      <c r="D39" s="77"/>
      <c r="E39" s="77"/>
      <c r="F39" s="77"/>
      <c r="G39" s="77"/>
      <c r="S39" s="84">
        <f>IF(K38=$B$57,H37,0)</f>
        <v>1</v>
      </c>
      <c r="T39" s="84">
        <f>IF(K36=$B$57,H36,0)</f>
        <v>2</v>
      </c>
      <c r="U39" s="84">
        <f>IF(K34=$B$57,J34,0)</f>
        <v>1</v>
      </c>
      <c r="V39" s="83"/>
      <c r="AD39" s="2" t="s">
        <v>43</v>
      </c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V39" s="33"/>
      <c r="AW39" s="31"/>
      <c r="BD39" s="77"/>
      <c r="BE39" s="77"/>
      <c r="BF39" s="77"/>
      <c r="BG39" s="77"/>
      <c r="BS39" s="84">
        <f>IF(BK38=$B$57,BH37,0)</f>
        <v>4</v>
      </c>
      <c r="BT39" s="84">
        <f>IF(BK36=$B$57,BH36,0)</f>
        <v>2</v>
      </c>
      <c r="BU39" s="84">
        <f>IF(BK34=$B$57,BJ34,0)</f>
        <v>5</v>
      </c>
      <c r="BV39" s="83"/>
      <c r="CD39" s="2" t="s">
        <v>43</v>
      </c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V39" s="33"/>
      <c r="CW39" s="31"/>
    </row>
    <row r="40" spans="3:82" ht="8.25" customHeight="1">
      <c r="C40" s="3"/>
      <c r="E40" s="3"/>
      <c r="F40" s="3"/>
      <c r="H40" s="13"/>
      <c r="I40" s="14"/>
      <c r="J40" s="13"/>
      <c r="AD40" s="6"/>
      <c r="BC40" s="3"/>
      <c r="BE40" s="3"/>
      <c r="BF40" s="3"/>
      <c r="BH40" s="13"/>
      <c r="BI40" s="14"/>
      <c r="BJ40" s="13"/>
      <c r="CD40" s="6"/>
    </row>
    <row r="41" spans="2:104" s="12" customFormat="1" ht="12.75">
      <c r="B41" s="22" t="s">
        <v>64</v>
      </c>
      <c r="C41" s="27"/>
      <c r="D41" s="22"/>
      <c r="E41" s="19"/>
      <c r="F41" s="22"/>
      <c r="G41" s="22"/>
      <c r="H41" s="25"/>
      <c r="I41" s="24"/>
      <c r="J41" s="25"/>
      <c r="K41" s="55"/>
      <c r="L41" s="22"/>
      <c r="M41" s="27"/>
      <c r="N41" s="22"/>
      <c r="O41" s="22"/>
      <c r="P41" s="22"/>
      <c r="Q41" s="22"/>
      <c r="R41" s="22"/>
      <c r="S41" s="75"/>
      <c r="T41" s="75"/>
      <c r="U41" s="75"/>
      <c r="V41" s="75"/>
      <c r="W41" s="75"/>
      <c r="X41" s="75"/>
      <c r="Y41" s="78"/>
      <c r="Z41" s="22"/>
      <c r="AA41" s="22"/>
      <c r="AB41" s="22"/>
      <c r="AC41" s="22"/>
      <c r="AD41" s="56"/>
      <c r="AE41" s="26"/>
      <c r="AF41" s="22"/>
      <c r="AG41" s="22"/>
      <c r="AH41" s="22"/>
      <c r="AX41" s="22"/>
      <c r="AY41" s="22"/>
      <c r="AZ41" s="22"/>
      <c r="BA41" s="2"/>
      <c r="BB41" s="57" t="s">
        <v>65</v>
      </c>
      <c r="BC41" s="27"/>
      <c r="BD41" s="22"/>
      <c r="BE41" s="19"/>
      <c r="BF41" s="22"/>
      <c r="BG41" s="22"/>
      <c r="BH41" s="25"/>
      <c r="BI41" s="24"/>
      <c r="BJ41" s="93"/>
      <c r="BK41" s="55"/>
      <c r="BL41" s="22"/>
      <c r="BM41" s="27"/>
      <c r="BN41" s="22"/>
      <c r="BO41" s="22"/>
      <c r="BP41" s="22"/>
      <c r="BQ41" s="22"/>
      <c r="BR41" s="22"/>
      <c r="BS41" s="75"/>
      <c r="BT41" s="75"/>
      <c r="BU41" s="75"/>
      <c r="BV41" s="75"/>
      <c r="BW41" s="75"/>
      <c r="BX41" s="75"/>
      <c r="BY41" s="78"/>
      <c r="BZ41" s="22"/>
      <c r="CA41" s="22"/>
      <c r="CB41" s="22"/>
      <c r="CC41" s="22"/>
      <c r="CD41" s="56"/>
      <c r="CE41" s="26"/>
      <c r="CF41" s="22"/>
      <c r="CG41" s="22"/>
      <c r="CH41" s="22"/>
      <c r="CY41" s="22"/>
      <c r="CZ41" s="22"/>
    </row>
    <row r="42" spans="1:83" ht="12.75">
      <c r="A42" s="2">
        <f>BA38+1</f>
        <v>49</v>
      </c>
      <c r="B42" s="7">
        <v>41818.75</v>
      </c>
      <c r="C42" s="4" t="s">
        <v>47</v>
      </c>
      <c r="D42" s="36" t="str">
        <f>M7</f>
        <v>Brasilien</v>
      </c>
      <c r="E42" s="20" t="s">
        <v>25</v>
      </c>
      <c r="F42" s="44" t="str">
        <f>M18</f>
        <v>Japan</v>
      </c>
      <c r="G42" s="22"/>
      <c r="H42" s="79">
        <f ca="1">IF($B$58="",1,IF(OR(J42&lt;1,INT(RAND()*10&lt;6)),J42+1,J42-1))</f>
        <v>6</v>
      </c>
      <c r="I42" s="25" t="s">
        <v>26</v>
      </c>
      <c r="J42" s="79">
        <f ca="1">IF($B$58="",0,INT(RAND()*5)+INT(RAND()*3)*INT(RAND()*2))</f>
        <v>5</v>
      </c>
      <c r="K42" s="55" t="s">
        <v>27</v>
      </c>
      <c r="L42" s="1"/>
      <c r="M42" s="95" t="str">
        <f>IF(J42="","",IF(J42=H42,"falsch!!! K.Remis",IF(H42&gt;J42,D42,F42)))</f>
        <v>Brasilien</v>
      </c>
      <c r="N42" s="1" t="str">
        <f>N7</f>
        <v>1A</v>
      </c>
      <c r="O42" s="1" t="str">
        <f>N18</f>
        <v>2B</v>
      </c>
      <c r="P42" s="1" t="s">
        <v>66</v>
      </c>
      <c r="Q42" s="1"/>
      <c r="R42" s="1"/>
      <c r="S42" s="85"/>
      <c r="T42" s="85"/>
      <c r="U42" s="85"/>
      <c r="V42" s="85"/>
      <c r="W42" s="85"/>
      <c r="X42" s="85"/>
      <c r="Y42" s="86"/>
      <c r="Z42" s="1"/>
      <c r="AA42" s="1"/>
      <c r="AB42" s="1"/>
      <c r="AC42" s="1"/>
      <c r="AD42" s="6"/>
      <c r="AE42" s="9"/>
      <c r="AF42" s="1"/>
      <c r="AG42" s="1"/>
      <c r="AH42" s="1"/>
      <c r="AZ42" s="1"/>
      <c r="BA42" s="2">
        <v>58</v>
      </c>
      <c r="BB42" s="7">
        <v>41824.916666666664</v>
      </c>
      <c r="BC42" s="4" t="s">
        <v>31</v>
      </c>
      <c r="BD42" s="96" t="str">
        <f>M42</f>
        <v>Brasilien</v>
      </c>
      <c r="BE42" s="20" t="s">
        <v>25</v>
      </c>
      <c r="BF42" s="96" t="str">
        <f>M43</f>
        <v>Iran</v>
      </c>
      <c r="BG42" s="22"/>
      <c r="BH42" s="79">
        <f ca="1">IF($B$58="",1,IF(OR(BJ42&lt;1,INT(RAND()*10&lt;6)),BJ42+1,BJ42-1))</f>
        <v>5</v>
      </c>
      <c r="BI42" s="25" t="s">
        <v>26</v>
      </c>
      <c r="BJ42" s="80">
        <f ca="1">IF($B$58="",0,INT(RAND()*5)+INT(RAND()*3)*INT(RAND()*2))</f>
        <v>4</v>
      </c>
      <c r="BK42" s="9" t="s">
        <v>27</v>
      </c>
      <c r="BL42" s="1"/>
      <c r="BM42" s="97" t="str">
        <f aca="true" t="shared" si="0" ref="BM42:BM48">IF(BJ42="","",IF(BJ42=BH42,"falsch!!! K.Remis",IF(BH42&gt;BJ42,BD42,BF42)))</f>
        <v>Brasilien</v>
      </c>
      <c r="BN42" s="1" t="str">
        <f>P42</f>
        <v>AF1</v>
      </c>
      <c r="BO42" s="1" t="str">
        <f>P43</f>
        <v>AF2</v>
      </c>
      <c r="BP42" s="2" t="s">
        <v>69</v>
      </c>
      <c r="BS42" s="2"/>
      <c r="BT42" s="1"/>
      <c r="BU42" s="1"/>
      <c r="BV42" s="2"/>
      <c r="BW42" s="2"/>
      <c r="BX42" s="2"/>
      <c r="BY42" s="2"/>
      <c r="CE42" s="2"/>
    </row>
    <row r="43" spans="1:83" ht="12.75">
      <c r="A43" s="2">
        <f>A42+1</f>
        <v>50</v>
      </c>
      <c r="B43" s="7">
        <v>41818.916666666664</v>
      </c>
      <c r="C43" s="4" t="s">
        <v>41</v>
      </c>
      <c r="D43" s="34" t="str">
        <f>M27</f>
        <v>Iran</v>
      </c>
      <c r="E43" s="20" t="s">
        <v>25</v>
      </c>
      <c r="F43" s="35" t="str">
        <f>M38</f>
        <v>USA</v>
      </c>
      <c r="G43" s="22"/>
      <c r="H43" s="79">
        <f ca="1">IF($B$58="",1,IF(OR(J43&lt;1,INT(RAND()*10&lt;6)),J43+1,J43-1))</f>
        <v>3</v>
      </c>
      <c r="I43" s="25" t="s">
        <v>26</v>
      </c>
      <c r="J43" s="80">
        <f ca="1">IF($B$58="",0,INT(RAND()*5)+INT(RAND()*3)*INT(RAND()*2))</f>
        <v>2</v>
      </c>
      <c r="K43" s="55" t="s">
        <v>27</v>
      </c>
      <c r="L43" s="1"/>
      <c r="M43" s="95" t="str">
        <f aca="true" t="shared" si="1" ref="M43:M49">IF(J43="","",IF(J43=H43,"falsch!!! K.Remis",IF(H43&gt;J43,D43,F43)))</f>
        <v>Iran</v>
      </c>
      <c r="N43" s="1" t="str">
        <f>N27</f>
        <v>1C</v>
      </c>
      <c r="O43" s="1" t="str">
        <f>N38</f>
        <v>2D</v>
      </c>
      <c r="P43" s="1" t="s">
        <v>68</v>
      </c>
      <c r="Q43" s="1"/>
      <c r="R43" s="1"/>
      <c r="S43" s="85"/>
      <c r="T43" s="85"/>
      <c r="U43" s="85"/>
      <c r="V43" s="85"/>
      <c r="W43" s="85"/>
      <c r="AD43" s="1"/>
      <c r="AE43" s="9"/>
      <c r="AF43" s="1"/>
      <c r="AG43" s="1"/>
      <c r="AH43" s="1"/>
      <c r="BA43" s="2">
        <v>57</v>
      </c>
      <c r="BB43" s="7">
        <v>41824.75</v>
      </c>
      <c r="BC43" s="4" t="s">
        <v>41</v>
      </c>
      <c r="BD43" s="62" t="str">
        <f>M46</f>
        <v>Südkorea</v>
      </c>
      <c r="BE43" s="58" t="s">
        <v>25</v>
      </c>
      <c r="BF43" s="62" t="str">
        <f>M47</f>
        <v>England</v>
      </c>
      <c r="BG43" s="22"/>
      <c r="BH43" s="79">
        <f ca="1">IF($B$58="",1,IF(OR(BJ43&lt;1,INT(RAND()*10&lt;6)),BJ43+1,BJ43-1))</f>
        <v>2</v>
      </c>
      <c r="BI43" s="25" t="s">
        <v>26</v>
      </c>
      <c r="BJ43" s="79">
        <f ca="1">IF($B$58="",0,INT(RAND()*5)+INT(RAND()*3)*INT(RAND()*2))</f>
        <v>1</v>
      </c>
      <c r="BK43" s="9" t="s">
        <v>27</v>
      </c>
      <c r="BL43" s="1"/>
      <c r="BM43" s="63" t="str">
        <f t="shared" si="0"/>
        <v>Südkorea</v>
      </c>
      <c r="BN43" s="1" t="str">
        <f>P46</f>
        <v>AF5</v>
      </c>
      <c r="BO43" s="1" t="str">
        <f>P47</f>
        <v>AF6</v>
      </c>
      <c r="BP43" s="2" t="s">
        <v>67</v>
      </c>
      <c r="BS43" s="1"/>
      <c r="BT43" s="2"/>
      <c r="BU43" s="2"/>
      <c r="BV43" s="2"/>
      <c r="BW43" s="2"/>
      <c r="BX43" s="2"/>
      <c r="BY43" s="2"/>
      <c r="CE43" s="2"/>
    </row>
    <row r="44" spans="1:83" ht="12.75">
      <c r="A44" s="2">
        <f aca="true" t="shared" si="2" ref="A44:A49">A43+1</f>
        <v>51</v>
      </c>
      <c r="B44" s="7">
        <v>41819.75</v>
      </c>
      <c r="C44" s="4" t="s">
        <v>31</v>
      </c>
      <c r="D44" s="50" t="str">
        <f>M17</f>
        <v>Chile</v>
      </c>
      <c r="E44" s="20" t="s">
        <v>25</v>
      </c>
      <c r="F44" s="36" t="str">
        <f>M8</f>
        <v>Mexico</v>
      </c>
      <c r="G44" s="22"/>
      <c r="H44" s="79">
        <f ca="1">IF($B$58="",1,IF(OR(J44&lt;1,INT(RAND()*10&lt;6)),J44+1,J44-1))</f>
        <v>2</v>
      </c>
      <c r="I44" s="25" t="s">
        <v>26</v>
      </c>
      <c r="J44" s="80">
        <f ca="1">IF($B$58="",0,INT(RAND()*5)+INT(RAND()*3)*INT(RAND()*2))</f>
        <v>1</v>
      </c>
      <c r="K44" s="55" t="s">
        <v>27</v>
      </c>
      <c r="L44" s="1"/>
      <c r="M44" s="61" t="str">
        <f t="shared" si="1"/>
        <v>Chile</v>
      </c>
      <c r="N44" s="1" t="str">
        <f>N17</f>
        <v>1B</v>
      </c>
      <c r="O44" s="1" t="str">
        <f>N8</f>
        <v>2A</v>
      </c>
      <c r="P44" s="1" t="s">
        <v>70</v>
      </c>
      <c r="Q44" s="1"/>
      <c r="R44" s="1"/>
      <c r="S44" s="85"/>
      <c r="T44" s="85"/>
      <c r="U44" s="85"/>
      <c r="V44" s="85"/>
      <c r="W44" s="85"/>
      <c r="AD44" s="1"/>
      <c r="AE44" s="9"/>
      <c r="AF44" s="1"/>
      <c r="AG44" s="1"/>
      <c r="AH44" s="1"/>
      <c r="BA44" s="88">
        <v>60</v>
      </c>
      <c r="BB44" s="7">
        <v>41825.916666666664</v>
      </c>
      <c r="BC44" s="4" t="s">
        <v>32</v>
      </c>
      <c r="BD44" s="59" t="str">
        <f>M44</f>
        <v>Chile</v>
      </c>
      <c r="BE44" s="20" t="s">
        <v>25</v>
      </c>
      <c r="BF44" s="59" t="str">
        <f>M45</f>
        <v>Kolumbien</v>
      </c>
      <c r="BG44" s="22"/>
      <c r="BH44" s="79">
        <f ca="1">IF($B$58="",1,IF(OR(BJ44&lt;1,INT(RAND()*10&lt;6)),BJ44+1,BJ44-1))</f>
        <v>2</v>
      </c>
      <c r="BI44" s="25" t="s">
        <v>26</v>
      </c>
      <c r="BJ44" s="80">
        <f ca="1">IF($B$58="",0,INT(RAND()*5)+INT(RAND()*3)*INT(RAND()*2))</f>
        <v>1</v>
      </c>
      <c r="BK44" s="9" t="s">
        <v>27</v>
      </c>
      <c r="BL44" s="1"/>
      <c r="BM44" s="60" t="str">
        <f t="shared" si="0"/>
        <v>Chile</v>
      </c>
      <c r="BN44" s="1" t="str">
        <f>P44</f>
        <v>AF3</v>
      </c>
      <c r="BO44" s="1" t="str">
        <f>P45</f>
        <v>AF4</v>
      </c>
      <c r="BP44" s="1" t="s">
        <v>73</v>
      </c>
      <c r="BS44" s="1"/>
      <c r="BT44" s="2"/>
      <c r="BU44" s="2"/>
      <c r="BV44" s="2"/>
      <c r="BW44" s="2"/>
      <c r="BX44" s="2"/>
      <c r="BY44" s="2"/>
      <c r="CE44" s="2"/>
    </row>
    <row r="45" spans="1:83" ht="12.75">
      <c r="A45" s="2">
        <f t="shared" si="2"/>
        <v>52</v>
      </c>
      <c r="B45" s="7">
        <v>41819.916666666664</v>
      </c>
      <c r="C45" s="4" t="s">
        <v>38</v>
      </c>
      <c r="D45" s="35" t="str">
        <f>M37</f>
        <v>Kolumbien</v>
      </c>
      <c r="E45" s="20" t="s">
        <v>25</v>
      </c>
      <c r="F45" s="34" t="str">
        <f>M28</f>
        <v>Argentinien</v>
      </c>
      <c r="G45" s="22"/>
      <c r="H45" s="79">
        <f ca="1">IF($B$58="",1,IF(OR(J45&lt;1,INT(RAND()*10&lt;6)),J45+1,J45-1))</f>
        <v>2</v>
      </c>
      <c r="I45" s="25" t="s">
        <v>26</v>
      </c>
      <c r="J45" s="80">
        <f ca="1">IF($B$58="",0,INT(RAND()*5)+INT(RAND()*3)*INT(RAND()*2))</f>
        <v>1</v>
      </c>
      <c r="K45" s="55" t="s">
        <v>27</v>
      </c>
      <c r="L45" s="1"/>
      <c r="M45" s="61" t="str">
        <f t="shared" si="1"/>
        <v>Kolumbien</v>
      </c>
      <c r="N45" s="1" t="str">
        <f>N37</f>
        <v>1D</v>
      </c>
      <c r="O45" s="1" t="str">
        <f>N28</f>
        <v>2C</v>
      </c>
      <c r="P45" s="1" t="s">
        <v>72</v>
      </c>
      <c r="Q45" s="1"/>
      <c r="R45" s="1"/>
      <c r="S45" s="85"/>
      <c r="T45" s="85"/>
      <c r="U45" s="85"/>
      <c r="V45" s="85"/>
      <c r="W45" s="85"/>
      <c r="AD45" s="3"/>
      <c r="AE45" s="9"/>
      <c r="AF45" s="1"/>
      <c r="AG45" s="1"/>
      <c r="AH45" s="1"/>
      <c r="BA45" s="2">
        <v>59</v>
      </c>
      <c r="BB45" s="7">
        <v>41825.75</v>
      </c>
      <c r="BC45" s="4" t="s">
        <v>28</v>
      </c>
      <c r="BD45" s="64" t="str">
        <f>M48</f>
        <v>Elfenbeinküste</v>
      </c>
      <c r="BE45" s="20" t="s">
        <v>25</v>
      </c>
      <c r="BF45" s="64" t="str">
        <f>M49</f>
        <v>Italien</v>
      </c>
      <c r="BG45" s="22"/>
      <c r="BH45" s="79">
        <f ca="1">IF($B$58="",1,IF(OR(BJ45&lt;1,INT(RAND()*10&lt;6)),BJ45+1,BJ45-1))</f>
        <v>2</v>
      </c>
      <c r="BI45" s="25" t="s">
        <v>26</v>
      </c>
      <c r="BJ45" s="80">
        <f ca="1">IF($B$58="",0,INT(RAND()*5)+INT(RAND()*3)*INT(RAND()*2))</f>
        <v>3</v>
      </c>
      <c r="BK45" s="9" t="s">
        <v>27</v>
      </c>
      <c r="BL45" s="1"/>
      <c r="BM45" s="65" t="str">
        <f t="shared" si="0"/>
        <v>Italien</v>
      </c>
      <c r="BN45" s="1" t="str">
        <f>P48</f>
        <v>AF7</v>
      </c>
      <c r="BO45" s="1" t="str">
        <f>P49</f>
        <v>AF8</v>
      </c>
      <c r="BP45" s="1" t="s">
        <v>71</v>
      </c>
      <c r="BS45" s="1"/>
      <c r="BT45" s="2"/>
      <c r="BU45" s="2"/>
      <c r="BV45" s="2"/>
      <c r="BW45" s="2"/>
      <c r="BX45" s="2"/>
      <c r="BY45" s="2"/>
      <c r="CE45" s="2"/>
    </row>
    <row r="46" spans="1:83" ht="12.75">
      <c r="A46" s="2">
        <f t="shared" si="2"/>
        <v>53</v>
      </c>
      <c r="B46" s="7">
        <v>41820.75</v>
      </c>
      <c r="C46" s="4" t="s">
        <v>28</v>
      </c>
      <c r="D46" s="23" t="str">
        <f>BM7</f>
        <v>Südkorea</v>
      </c>
      <c r="E46" s="20" t="s">
        <v>25</v>
      </c>
      <c r="F46" s="45" t="str">
        <f>BM18</f>
        <v>Australien</v>
      </c>
      <c r="G46" s="22"/>
      <c r="H46" s="79">
        <f ca="1">IF($B$58="",1,IF(OR(J46&lt;1,INT(RAND()*10&lt;6)),J46+1,J46-1))</f>
        <v>5</v>
      </c>
      <c r="I46" s="25" t="s">
        <v>26</v>
      </c>
      <c r="J46" s="80">
        <f ca="1">IF($B$58="",0,INT(RAND()*5)+INT(RAND()*3)*INT(RAND()*2))</f>
        <v>4</v>
      </c>
      <c r="K46" s="55" t="s">
        <v>27</v>
      </c>
      <c r="L46" s="1"/>
      <c r="M46" s="66" t="str">
        <f t="shared" si="1"/>
        <v>Südkorea</v>
      </c>
      <c r="N46" s="1" t="str">
        <f>BN7</f>
        <v>1E</v>
      </c>
      <c r="O46" s="1" t="str">
        <f>BN18</f>
        <v>2F</v>
      </c>
      <c r="P46" s="1" t="s">
        <v>74</v>
      </c>
      <c r="Q46" s="1"/>
      <c r="R46" s="1"/>
      <c r="S46" s="85"/>
      <c r="T46" s="85"/>
      <c r="U46" s="85"/>
      <c r="V46" s="85"/>
      <c r="W46" s="85"/>
      <c r="AD46" s="3"/>
      <c r="AE46" s="9"/>
      <c r="AF46" s="1"/>
      <c r="AG46" s="1"/>
      <c r="AH46" s="1"/>
      <c r="BH46" s="2"/>
      <c r="BI46" s="2"/>
      <c r="BJ46" s="2"/>
      <c r="BK46" s="2"/>
      <c r="BM46" s="2"/>
      <c r="BS46" s="1"/>
      <c r="BT46" s="2"/>
      <c r="BU46" s="2"/>
      <c r="BV46" s="2"/>
      <c r="BW46" s="2"/>
      <c r="BX46" s="2"/>
      <c r="BY46" s="2"/>
      <c r="CE46" s="2"/>
    </row>
    <row r="47" spans="1:83" ht="12.75">
      <c r="A47" s="2">
        <f t="shared" si="2"/>
        <v>54</v>
      </c>
      <c r="B47" s="7">
        <v>41820.916666666664</v>
      </c>
      <c r="C47" s="4" t="s">
        <v>30</v>
      </c>
      <c r="D47" s="73" t="str">
        <f>BM27</f>
        <v>Schweiz</v>
      </c>
      <c r="E47" s="20" t="s">
        <v>25</v>
      </c>
      <c r="F47" s="47" t="str">
        <f>BM38</f>
        <v>England</v>
      </c>
      <c r="G47" s="22"/>
      <c r="H47" s="79">
        <f ca="1">IF($B$58="",1,IF(OR(J47&lt;1,INT(RAND()*10&lt;6)),J47+1,J47-1))</f>
        <v>1</v>
      </c>
      <c r="I47" s="25" t="s">
        <v>26</v>
      </c>
      <c r="J47" s="80">
        <f ca="1">IF($B$58="",0,INT(RAND()*5)+INT(RAND()*3)*INT(RAND()*2))</f>
        <v>2</v>
      </c>
      <c r="K47" s="55" t="s">
        <v>27</v>
      </c>
      <c r="L47" s="1"/>
      <c r="M47" s="66" t="str">
        <f t="shared" si="1"/>
        <v>England</v>
      </c>
      <c r="N47" s="1" t="str">
        <f>BN27</f>
        <v>1G</v>
      </c>
      <c r="O47" s="1" t="str">
        <f>BN38</f>
        <v>2H</v>
      </c>
      <c r="P47" s="1" t="s">
        <v>75</v>
      </c>
      <c r="Q47" s="1"/>
      <c r="R47" s="1"/>
      <c r="S47" s="85"/>
      <c r="T47" s="85"/>
      <c r="U47" s="85"/>
      <c r="V47" s="85"/>
      <c r="W47" s="85"/>
      <c r="AE47" s="1"/>
      <c r="AF47" s="9"/>
      <c r="AG47" s="1"/>
      <c r="AH47" s="1"/>
      <c r="AO47" s="1"/>
      <c r="BB47" s="67" t="s">
        <v>76</v>
      </c>
      <c r="BC47" s="27"/>
      <c r="BD47" s="22"/>
      <c r="BE47" s="19"/>
      <c r="BF47" s="22"/>
      <c r="BG47" s="22"/>
      <c r="BH47" s="25"/>
      <c r="BI47" s="24"/>
      <c r="BJ47" s="25"/>
      <c r="BK47" s="55"/>
      <c r="BL47" s="22"/>
      <c r="BM47" s="27"/>
      <c r="BN47" s="22"/>
      <c r="BO47" s="22"/>
      <c r="BP47" s="22"/>
      <c r="BS47" s="2"/>
      <c r="BT47" s="2"/>
      <c r="BU47" s="2"/>
      <c r="BV47" s="2"/>
      <c r="BW47" s="2"/>
      <c r="BX47" s="2"/>
      <c r="BY47" s="2"/>
      <c r="CE47" s="2"/>
    </row>
    <row r="48" spans="1:83" ht="12.75">
      <c r="A48" s="2">
        <f t="shared" si="2"/>
        <v>55</v>
      </c>
      <c r="B48" s="7">
        <v>41821.75</v>
      </c>
      <c r="C48" s="4" t="s">
        <v>24</v>
      </c>
      <c r="D48" s="45" t="str">
        <f>BM17</f>
        <v>Ghana</v>
      </c>
      <c r="E48" s="20" t="s">
        <v>25</v>
      </c>
      <c r="F48" s="23" t="str">
        <f>BM8</f>
        <v>Elfenbeinküste</v>
      </c>
      <c r="G48" s="22"/>
      <c r="H48" s="79">
        <f ca="1">IF($B$58="",1,IF(OR(J48&lt;1,INT(RAND()*10&lt;6)),J48+1,J48-1))</f>
        <v>0</v>
      </c>
      <c r="I48" s="25" t="s">
        <v>26</v>
      </c>
      <c r="J48" s="80">
        <f ca="1">IF($B$58="",0,INT(RAND()*5)+INT(RAND()*3)*INT(RAND()*2))</f>
        <v>1</v>
      </c>
      <c r="K48" s="55" t="s">
        <v>27</v>
      </c>
      <c r="L48" s="1"/>
      <c r="M48" s="68" t="str">
        <f t="shared" si="1"/>
        <v>Elfenbeinküste</v>
      </c>
      <c r="N48" s="1" t="str">
        <f>BN17</f>
        <v>1F</v>
      </c>
      <c r="O48" s="1" t="str">
        <f>BN8</f>
        <v>2E</v>
      </c>
      <c r="P48" s="1" t="s">
        <v>77</v>
      </c>
      <c r="Q48" s="1"/>
      <c r="R48" s="1"/>
      <c r="S48" s="85"/>
      <c r="T48" s="85"/>
      <c r="U48" s="85"/>
      <c r="V48" s="85"/>
      <c r="W48" s="85"/>
      <c r="AE48" s="1"/>
      <c r="AF48" s="9"/>
      <c r="AG48" s="1"/>
      <c r="AH48" s="1"/>
      <c r="AO48" s="1"/>
      <c r="BA48" s="2">
        <v>61</v>
      </c>
      <c r="BB48" s="7">
        <v>41828.916666666664</v>
      </c>
      <c r="BC48" s="4" t="s">
        <v>47</v>
      </c>
      <c r="BD48" s="98" t="str">
        <f>BM42</f>
        <v>Brasilien</v>
      </c>
      <c r="BE48" s="27" t="s">
        <v>25</v>
      </c>
      <c r="BF48" s="69" t="str">
        <f>BM43</f>
        <v>Südkorea</v>
      </c>
      <c r="BG48" s="22"/>
      <c r="BH48" s="79">
        <f ca="1">IF($B$58="",1,IF(OR(BJ48&lt;1,INT(RAND()*10&lt;6)),BJ48+1,BJ48-1))</f>
        <v>4</v>
      </c>
      <c r="BI48" s="25" t="s">
        <v>26</v>
      </c>
      <c r="BJ48" s="79">
        <f ca="1">IF($B$58="",0,INT(RAND()*5)+INT(RAND()*3)*INT(RAND()*2))</f>
        <v>5</v>
      </c>
      <c r="BK48" s="55" t="s">
        <v>27</v>
      </c>
      <c r="BL48" s="1"/>
      <c r="BM48" s="99" t="str">
        <f t="shared" si="0"/>
        <v>Südkorea</v>
      </c>
      <c r="BN48" s="1" t="s">
        <v>69</v>
      </c>
      <c r="BO48" s="1" t="s">
        <v>67</v>
      </c>
      <c r="BP48" s="1" t="s">
        <v>78</v>
      </c>
      <c r="BS48" s="2"/>
      <c r="BT48" s="2"/>
      <c r="BU48" s="2"/>
      <c r="BV48" s="2"/>
      <c r="BW48" s="2"/>
      <c r="BX48" s="2"/>
      <c r="BY48" s="2"/>
      <c r="CE48" s="2"/>
    </row>
    <row r="49" spans="1:83" ht="12.75">
      <c r="A49" s="2">
        <f t="shared" si="2"/>
        <v>56</v>
      </c>
      <c r="B49" s="7">
        <v>41821.916666666664</v>
      </c>
      <c r="C49" s="4" t="s">
        <v>32</v>
      </c>
      <c r="D49" s="47" t="str">
        <f>BM37</f>
        <v>Italien</v>
      </c>
      <c r="E49" s="20" t="s">
        <v>25</v>
      </c>
      <c r="F49" s="73" t="str">
        <f>BM28</f>
        <v>Algerien</v>
      </c>
      <c r="G49" s="22"/>
      <c r="H49" s="80">
        <f ca="1">IF($B$58="",1,IF(OR(J49&lt;1,INT(RAND()*10&lt;6)),J49+1,J49-1))</f>
        <v>1</v>
      </c>
      <c r="I49" s="25" t="s">
        <v>26</v>
      </c>
      <c r="J49" s="80">
        <f ca="1">IF($B$58="",0,INT(RAND()*5)+INT(RAND()*3)*INT(RAND()*2))</f>
        <v>0</v>
      </c>
      <c r="K49" s="55" t="s">
        <v>27</v>
      </c>
      <c r="L49" s="1"/>
      <c r="M49" s="68" t="str">
        <f t="shared" si="1"/>
        <v>Italien</v>
      </c>
      <c r="N49" s="1" t="str">
        <f>BN37</f>
        <v>1H</v>
      </c>
      <c r="O49" s="1" t="str">
        <f>BN28</f>
        <v>2G</v>
      </c>
      <c r="P49" s="1" t="s">
        <v>79</v>
      </c>
      <c r="Q49" s="1"/>
      <c r="R49" s="1"/>
      <c r="S49" s="85"/>
      <c r="T49" s="85"/>
      <c r="U49" s="85"/>
      <c r="V49" s="85"/>
      <c r="W49" s="85"/>
      <c r="AE49" s="3"/>
      <c r="AF49" s="9"/>
      <c r="AG49" s="1"/>
      <c r="AH49" s="1"/>
      <c r="AO49" s="1"/>
      <c r="BA49" s="2">
        <v>62</v>
      </c>
      <c r="BB49" s="7">
        <v>41829.916666666664</v>
      </c>
      <c r="BC49" s="4" t="s">
        <v>24</v>
      </c>
      <c r="BD49" s="23" t="str">
        <f>BM44</f>
        <v>Chile</v>
      </c>
      <c r="BE49" s="27" t="s">
        <v>25</v>
      </c>
      <c r="BF49" s="70" t="str">
        <f>BM45</f>
        <v>Italien</v>
      </c>
      <c r="BG49" s="22"/>
      <c r="BH49" s="79">
        <f ca="1">IF($B$58="",1,IF(OR(BJ49&lt;1,INT(RAND()*10&lt;6)),BJ49+1,BJ49-1))</f>
        <v>7</v>
      </c>
      <c r="BI49" s="25" t="s">
        <v>26</v>
      </c>
      <c r="BJ49" s="80">
        <f ca="1">IF($B$58="",0,INT(RAND()*5)+INT(RAND()*3)*INT(RAND()*2))</f>
        <v>6</v>
      </c>
      <c r="BK49" s="55" t="s">
        <v>27</v>
      </c>
      <c r="BL49" s="1"/>
      <c r="BM49" s="99" t="str">
        <f>IF(BH49="","",IF(BH49&gt;BJ49,BD49,BF49))</f>
        <v>Chile</v>
      </c>
      <c r="BN49" s="1" t="s">
        <v>73</v>
      </c>
      <c r="BO49" s="1" t="s">
        <v>71</v>
      </c>
      <c r="BP49" s="1" t="s">
        <v>80</v>
      </c>
      <c r="BS49" s="2"/>
      <c r="BT49" s="2"/>
      <c r="BU49" s="2"/>
      <c r="BV49" s="2"/>
      <c r="BW49" s="2"/>
      <c r="BX49" s="2"/>
      <c r="BY49" s="2"/>
      <c r="CE49" s="2"/>
    </row>
    <row r="50" spans="8:83" ht="12.75">
      <c r="H50" s="2"/>
      <c r="I50" s="2"/>
      <c r="J50" s="2"/>
      <c r="K50" s="2"/>
      <c r="M50" s="2"/>
      <c r="Q50" s="1"/>
      <c r="R50" s="1"/>
      <c r="S50" s="85"/>
      <c r="T50" s="85"/>
      <c r="U50" s="85"/>
      <c r="V50" s="85"/>
      <c r="W50" s="85"/>
      <c r="AE50" s="3"/>
      <c r="AF50" s="9"/>
      <c r="AG50" s="1"/>
      <c r="AH50" s="1"/>
      <c r="AO50" s="1"/>
      <c r="BB50" s="1"/>
      <c r="BC50" s="3"/>
      <c r="BD50" s="22"/>
      <c r="BE50" s="19"/>
      <c r="BF50" s="22"/>
      <c r="BG50" s="22"/>
      <c r="BH50" s="25"/>
      <c r="BI50" s="13"/>
      <c r="BJ50" s="25"/>
      <c r="BK50" s="55"/>
      <c r="BL50" s="1"/>
      <c r="BM50" s="71" t="str">
        <f>IF(BD48=BM48,BF48,BD48)</f>
        <v>Brasilien</v>
      </c>
      <c r="BN50" s="1"/>
      <c r="BO50" s="1"/>
      <c r="BP50" s="1" t="s">
        <v>81</v>
      </c>
      <c r="BS50" s="2"/>
      <c r="BT50" s="2"/>
      <c r="BU50" s="2"/>
      <c r="BV50" s="2"/>
      <c r="BW50" s="2"/>
      <c r="BX50" s="2"/>
      <c r="BY50" s="2"/>
      <c r="CE50" s="2"/>
    </row>
    <row r="51" spans="2:83" ht="12.75">
      <c r="B51" s="1"/>
      <c r="C51" s="3"/>
      <c r="D51" s="22"/>
      <c r="E51" s="19"/>
      <c r="F51" s="22"/>
      <c r="G51" s="22"/>
      <c r="H51" s="25"/>
      <c r="I51" s="13"/>
      <c r="J51" s="25"/>
      <c r="K51" s="55"/>
      <c r="L51" s="1"/>
      <c r="M51" s="3"/>
      <c r="N51" s="1"/>
      <c r="O51" s="1"/>
      <c r="P51" s="1"/>
      <c r="Q51" s="1"/>
      <c r="R51" s="1"/>
      <c r="S51" s="85"/>
      <c r="T51" s="85"/>
      <c r="U51" s="85"/>
      <c r="V51" s="85"/>
      <c r="W51" s="85"/>
      <c r="X51" s="85"/>
      <c r="Y51" s="86"/>
      <c r="Z51" s="1"/>
      <c r="AA51" s="1"/>
      <c r="AB51" s="1"/>
      <c r="AC51" s="1"/>
      <c r="AD51" s="1"/>
      <c r="AE51" s="6"/>
      <c r="AF51" s="9"/>
      <c r="AG51" s="1"/>
      <c r="AH51" s="1"/>
      <c r="AO51" s="1"/>
      <c r="BC51" s="3"/>
      <c r="BD51" s="12"/>
      <c r="BE51" s="21"/>
      <c r="BF51" s="12"/>
      <c r="BG51" s="12"/>
      <c r="BH51" s="29"/>
      <c r="BJ51" s="29"/>
      <c r="BK51" s="55"/>
      <c r="BM51" s="71" t="str">
        <f>IF(BD49=BM49,BF49,BD49)</f>
        <v>Italien</v>
      </c>
      <c r="BP51" s="1" t="s">
        <v>82</v>
      </c>
      <c r="BS51" s="2"/>
      <c r="BT51" s="2"/>
      <c r="BU51" s="2"/>
      <c r="BV51" s="2"/>
      <c r="BW51" s="2"/>
      <c r="BX51" s="2"/>
      <c r="BY51" s="2"/>
      <c r="CE51" s="2"/>
    </row>
    <row r="52" spans="2:83" ht="12.75">
      <c r="B52" s="72" t="s">
        <v>83</v>
      </c>
      <c r="C52" s="3"/>
      <c r="D52" s="12"/>
      <c r="E52" s="21"/>
      <c r="F52" s="12"/>
      <c r="G52" s="12"/>
      <c r="H52" s="29"/>
      <c r="J52" s="87"/>
      <c r="K52" s="55"/>
      <c r="M52" s="2" t="s">
        <v>84</v>
      </c>
      <c r="Q52" s="1"/>
      <c r="R52" s="1"/>
      <c r="S52" s="85"/>
      <c r="T52" s="85"/>
      <c r="U52" s="85"/>
      <c r="V52" s="85"/>
      <c r="W52" s="85"/>
      <c r="X52" s="85"/>
      <c r="Y52" s="86"/>
      <c r="Z52" s="1"/>
      <c r="AA52" s="1"/>
      <c r="AB52" s="1"/>
      <c r="AC52" s="1"/>
      <c r="AD52" s="1"/>
      <c r="AE52" s="6"/>
      <c r="AF52" s="9"/>
      <c r="AG52" s="1"/>
      <c r="AH52" s="1"/>
      <c r="AO52" s="1"/>
      <c r="BB52" s="72" t="s">
        <v>85</v>
      </c>
      <c r="BH52" s="2"/>
      <c r="BI52" s="2"/>
      <c r="BJ52" s="40"/>
      <c r="BK52" s="2"/>
      <c r="BM52" s="2"/>
      <c r="BS52" s="2"/>
      <c r="BT52" s="2"/>
      <c r="BU52" s="2"/>
      <c r="BV52" s="2"/>
      <c r="BW52" s="2"/>
      <c r="BX52" s="2"/>
      <c r="BY52" s="2"/>
      <c r="CE52" s="2"/>
    </row>
    <row r="53" spans="1:83" ht="12.75">
      <c r="A53" s="2">
        <v>64</v>
      </c>
      <c r="B53" s="7">
        <v>41833.875</v>
      </c>
      <c r="C53" s="4" t="s">
        <v>41</v>
      </c>
      <c r="D53" s="46" t="str">
        <f>BM48</f>
        <v>Südkorea</v>
      </c>
      <c r="E53" s="27" t="s">
        <v>25</v>
      </c>
      <c r="F53" s="46" t="str">
        <f>BM49</f>
        <v>Chile</v>
      </c>
      <c r="G53" s="22"/>
      <c r="H53" s="79">
        <f ca="1">IF($B$58="",1,IF(OR(J53&lt;1,INT(RAND()*10&lt;6)),J53+1,J53-1))</f>
        <v>7</v>
      </c>
      <c r="I53" s="25" t="s">
        <v>26</v>
      </c>
      <c r="J53" s="80">
        <f ca="1">IF($B$58="",0,INT(RAND()*5)+INT(RAND()*3)*INT(RAND()*2))</f>
        <v>6</v>
      </c>
      <c r="K53" s="55"/>
      <c r="L53" s="1"/>
      <c r="M53" s="74" t="str">
        <f>IF(J53="","",IF(J53=H53,"falsch!!! K.Remis",IF(H53&gt;J53,D53,F53)))</f>
        <v>Südkorea</v>
      </c>
      <c r="N53" s="1" t="str">
        <f>BP48</f>
        <v>F1</v>
      </c>
      <c r="O53" s="1" t="str">
        <f>BP49</f>
        <v>F2</v>
      </c>
      <c r="Q53" s="1"/>
      <c r="R53" s="1"/>
      <c r="S53" s="85"/>
      <c r="T53" s="85"/>
      <c r="U53" s="85"/>
      <c r="V53" s="85"/>
      <c r="W53" s="85"/>
      <c r="X53" s="85"/>
      <c r="Y53" s="86"/>
      <c r="Z53" s="1"/>
      <c r="AA53" s="1"/>
      <c r="AB53" s="1"/>
      <c r="AC53" s="1"/>
      <c r="AD53" s="1"/>
      <c r="AE53" s="6"/>
      <c r="AF53" s="9"/>
      <c r="AG53" s="1"/>
      <c r="AH53" s="1"/>
      <c r="AO53" s="1"/>
      <c r="BA53" s="2">
        <v>63</v>
      </c>
      <c r="BB53" s="7">
        <v>41832.916666666664</v>
      </c>
      <c r="BC53" s="4" t="s">
        <v>28</v>
      </c>
      <c r="BD53" s="28" t="str">
        <f>BM50</f>
        <v>Brasilien</v>
      </c>
      <c r="BE53" s="27" t="s">
        <v>25</v>
      </c>
      <c r="BF53" s="28" t="str">
        <f>BM51</f>
        <v>Italien</v>
      </c>
      <c r="BG53" s="22"/>
      <c r="BH53" s="79">
        <f ca="1">IF($B$58="",1,IF(OR(BJ53&lt;1,INT(RAND()*10&lt;6)),BJ53+1,BJ53-1))</f>
        <v>5</v>
      </c>
      <c r="BI53" s="25" t="s">
        <v>26</v>
      </c>
      <c r="BJ53" s="80">
        <f ca="1">IF($B$58="",0,INT(RAND()*5)+INT(RAND()*3)*INT(RAND()*2))</f>
        <v>4</v>
      </c>
      <c r="BK53" s="55" t="s">
        <v>27</v>
      </c>
      <c r="BL53" s="1"/>
      <c r="BM53" s="3" t="str">
        <f>IF(BJ53="","",IF(BJ53=BH53,"falsch!!! K.Remis",IF(BH53&gt;BJ53,BD53,BF53)))</f>
        <v>Brasilien</v>
      </c>
      <c r="BN53" s="1" t="str">
        <f>BP50</f>
        <v>HF1</v>
      </c>
      <c r="BO53" s="1" t="str">
        <f>BP51</f>
        <v>HF2</v>
      </c>
      <c r="BP53" s="1"/>
      <c r="BS53" s="2"/>
      <c r="BT53" s="2"/>
      <c r="BU53" s="2"/>
      <c r="BV53" s="2"/>
      <c r="BW53" s="2"/>
      <c r="BX53" s="2"/>
      <c r="BY53" s="2"/>
      <c r="CE53" s="2"/>
    </row>
    <row r="54" spans="8:83" ht="12.75">
      <c r="H54" s="2"/>
      <c r="I54" s="2"/>
      <c r="J54" s="2"/>
      <c r="K54" s="2"/>
      <c r="M54" s="2"/>
      <c r="Q54" s="1"/>
      <c r="R54" s="1"/>
      <c r="S54" s="85"/>
      <c r="T54" s="85"/>
      <c r="U54" s="85"/>
      <c r="V54" s="85"/>
      <c r="W54" s="85"/>
      <c r="X54" s="85"/>
      <c r="Y54" s="86"/>
      <c r="Z54" s="1"/>
      <c r="AA54" s="1"/>
      <c r="AB54" s="1"/>
      <c r="AC54" s="1"/>
      <c r="AD54" s="1"/>
      <c r="AE54" s="6"/>
      <c r="AF54" s="9"/>
      <c r="AG54" s="1"/>
      <c r="AH54" s="1"/>
      <c r="AO54" s="1"/>
      <c r="BH54" s="2"/>
      <c r="BI54" s="2"/>
      <c r="BJ54" s="2"/>
      <c r="BK54" s="2"/>
      <c r="BM54" s="2"/>
      <c r="BS54" s="2"/>
      <c r="BT54" s="2"/>
      <c r="BU54" s="2"/>
      <c r="BV54" s="2"/>
      <c r="BW54" s="2"/>
      <c r="BX54" s="2"/>
      <c r="BY54" s="2"/>
      <c r="CE54" s="2"/>
    </row>
    <row r="55" spans="8:83" ht="12.75">
      <c r="H55" s="2"/>
      <c r="I55" s="2"/>
      <c r="J55" s="2"/>
      <c r="K55" s="2"/>
      <c r="M55" s="2"/>
      <c r="Q55" s="1"/>
      <c r="R55" s="1"/>
      <c r="S55" s="85"/>
      <c r="T55" s="85"/>
      <c r="U55" s="85"/>
      <c r="V55" s="85"/>
      <c r="W55" s="85"/>
      <c r="X55" s="85"/>
      <c r="Y55" s="86"/>
      <c r="Z55" s="1"/>
      <c r="AA55" s="1"/>
      <c r="AB55" s="1"/>
      <c r="AC55" s="1"/>
      <c r="AD55" s="1"/>
      <c r="AE55" s="6"/>
      <c r="AF55" s="9"/>
      <c r="AG55" s="1"/>
      <c r="AH55" s="1"/>
      <c r="AO55" s="1"/>
      <c r="BH55" s="2"/>
      <c r="BI55" s="2"/>
      <c r="BJ55" s="2"/>
      <c r="BK55" s="2"/>
      <c r="BM55" s="2"/>
      <c r="BS55" s="2"/>
      <c r="BT55" s="2"/>
      <c r="BU55" s="2"/>
      <c r="BV55" s="2"/>
      <c r="BW55" s="2"/>
      <c r="BX55" s="2"/>
      <c r="BY55" s="2"/>
      <c r="CE55" s="2"/>
    </row>
    <row r="56" spans="8:83" ht="13.5" thickBot="1">
      <c r="H56" s="2"/>
      <c r="I56" s="2"/>
      <c r="J56" s="2"/>
      <c r="K56" s="2"/>
      <c r="M56" s="2"/>
      <c r="Q56" s="1"/>
      <c r="R56" s="1"/>
      <c r="S56" s="85"/>
      <c r="T56" s="85"/>
      <c r="U56" s="85"/>
      <c r="V56" s="85"/>
      <c r="W56" s="85"/>
      <c r="X56" s="85"/>
      <c r="Y56" s="86"/>
      <c r="Z56" s="1"/>
      <c r="AA56" s="1"/>
      <c r="AB56" s="1"/>
      <c r="AC56" s="1"/>
      <c r="AD56" s="1"/>
      <c r="AE56" s="6"/>
      <c r="AF56" s="9"/>
      <c r="AG56" s="1"/>
      <c r="AH56" s="1"/>
      <c r="AO56" s="1"/>
      <c r="BH56" s="2"/>
      <c r="BI56" s="2"/>
      <c r="BJ56" s="2"/>
      <c r="BK56" s="2"/>
      <c r="BM56" s="2"/>
      <c r="BS56" s="2"/>
      <c r="BT56" s="2"/>
      <c r="BU56" s="2"/>
      <c r="BV56" s="2"/>
      <c r="BW56" s="2"/>
      <c r="BX56" s="2"/>
      <c r="BY56" s="2"/>
      <c r="CE56" s="2"/>
    </row>
    <row r="57" spans="2:83" ht="14.25" thickBot="1" thickTop="1">
      <c r="B57" s="94" t="s">
        <v>27</v>
      </c>
      <c r="C57" s="1" t="s">
        <v>20</v>
      </c>
      <c r="H57" s="112"/>
      <c r="I57" s="2"/>
      <c r="J57" s="2"/>
      <c r="K57" s="2"/>
      <c r="M57" s="2"/>
      <c r="Q57" s="1"/>
      <c r="R57" s="1"/>
      <c r="S57" s="85"/>
      <c r="T57" s="85"/>
      <c r="U57" s="85"/>
      <c r="V57" s="85"/>
      <c r="W57" s="85"/>
      <c r="X57" s="85"/>
      <c r="Y57" s="86"/>
      <c r="Z57" s="1"/>
      <c r="AA57" s="1"/>
      <c r="AB57" s="1"/>
      <c r="AC57" s="1"/>
      <c r="AD57" s="1"/>
      <c r="AE57" s="6"/>
      <c r="AF57" s="9"/>
      <c r="AG57" s="1"/>
      <c r="AH57" s="1"/>
      <c r="AO57" s="1"/>
      <c r="BH57" s="2"/>
      <c r="BI57" s="2"/>
      <c r="BJ57" s="2"/>
      <c r="BK57" s="2"/>
      <c r="BM57" s="2"/>
      <c r="BS57" s="2"/>
      <c r="BT57" s="2"/>
      <c r="BU57" s="2"/>
      <c r="BV57" s="2"/>
      <c r="BW57" s="2"/>
      <c r="BX57" s="2"/>
      <c r="BY57" s="2"/>
      <c r="CE57" s="2"/>
    </row>
    <row r="58" spans="2:83" ht="14.25" thickBot="1" thickTop="1">
      <c r="B58" s="94" t="s">
        <v>126</v>
      </c>
      <c r="C58" s="1" t="s">
        <v>127</v>
      </c>
      <c r="H58" s="2"/>
      <c r="I58" s="2"/>
      <c r="J58" s="2"/>
      <c r="K58" s="2"/>
      <c r="M58" s="2"/>
      <c r="Q58" s="1"/>
      <c r="R58" s="1"/>
      <c r="S58" s="85"/>
      <c r="T58" s="85"/>
      <c r="U58" s="85"/>
      <c r="V58" s="85"/>
      <c r="W58" s="85"/>
      <c r="X58" s="85"/>
      <c r="Y58" s="86"/>
      <c r="Z58" s="1"/>
      <c r="AA58" s="1"/>
      <c r="AB58" s="1"/>
      <c r="AC58" s="1"/>
      <c r="AD58" s="1"/>
      <c r="AE58" s="6"/>
      <c r="AF58" s="9"/>
      <c r="AG58" s="1"/>
      <c r="AH58" s="1"/>
      <c r="AO58" s="1"/>
      <c r="BD58" s="12"/>
      <c r="BE58" s="21"/>
      <c r="BF58" s="12"/>
      <c r="BG58" s="12"/>
      <c r="BH58" s="29"/>
      <c r="BJ58" s="29"/>
      <c r="BK58" s="55"/>
      <c r="BM58" s="2"/>
      <c r="BS58" s="2"/>
      <c r="BT58" s="2"/>
      <c r="BU58" s="2"/>
      <c r="BV58" s="2"/>
      <c r="BW58" s="2"/>
      <c r="BX58" s="2"/>
      <c r="BY58" s="2"/>
      <c r="CE58" s="2"/>
    </row>
    <row r="59" spans="1:83" ht="14.25" thickBot="1" thickTop="1">
      <c r="A59" s="108"/>
      <c r="B59" s="113">
        <f ca="1">IF($B$58="",1,INT(RAND()*5)+INT(RAND()*3)*INT(RAND()*2))</f>
        <v>2</v>
      </c>
      <c r="C59" s="1" t="s">
        <v>86</v>
      </c>
      <c r="E59" s="3"/>
      <c r="H59" s="2"/>
      <c r="I59" s="2"/>
      <c r="J59" s="2"/>
      <c r="K59" s="2"/>
      <c r="M59" s="2"/>
      <c r="Q59" s="1"/>
      <c r="R59" s="1"/>
      <c r="S59" s="85"/>
      <c r="T59" s="85"/>
      <c r="U59" s="85"/>
      <c r="V59" s="85"/>
      <c r="W59" s="85"/>
      <c r="X59" s="85"/>
      <c r="Y59" s="86"/>
      <c r="Z59" s="1"/>
      <c r="AA59" s="1"/>
      <c r="AB59" s="1"/>
      <c r="AC59" s="1"/>
      <c r="AD59" s="1"/>
      <c r="AE59" s="6"/>
      <c r="AF59" s="9"/>
      <c r="AG59" s="1"/>
      <c r="AH59" s="1"/>
      <c r="AO59" s="1"/>
      <c r="BB59" s="1"/>
      <c r="BC59" s="1"/>
      <c r="BH59" s="2"/>
      <c r="BI59" s="2"/>
      <c r="BJ59" s="1"/>
      <c r="BK59" s="2"/>
      <c r="BM59" s="2"/>
      <c r="BS59" s="2"/>
      <c r="BT59" s="2"/>
      <c r="BU59" s="2"/>
      <c r="BV59" s="2"/>
      <c r="BW59" s="2"/>
      <c r="BX59" s="2"/>
      <c r="BY59" s="2"/>
      <c r="CE59" s="2"/>
    </row>
    <row r="60" spans="2:83" ht="14.25" thickBot="1" thickTop="1">
      <c r="B60" s="94" t="s">
        <v>126</v>
      </c>
      <c r="C60" s="109" t="s">
        <v>128</v>
      </c>
      <c r="H60" s="2"/>
      <c r="I60" s="2"/>
      <c r="J60" s="2"/>
      <c r="K60" s="2"/>
      <c r="M60" s="2"/>
      <c r="Q60" s="1"/>
      <c r="R60" s="1"/>
      <c r="S60" s="85"/>
      <c r="T60" s="85"/>
      <c r="U60" s="85"/>
      <c r="V60" s="85"/>
      <c r="W60" s="85"/>
      <c r="X60" s="85"/>
      <c r="Y60" s="86"/>
      <c r="Z60" s="1"/>
      <c r="AA60" s="1"/>
      <c r="AB60" s="1"/>
      <c r="AC60" s="1"/>
      <c r="AD60" s="1"/>
      <c r="AE60" s="6"/>
      <c r="AF60" s="9"/>
      <c r="AG60" s="1"/>
      <c r="AH60" s="1"/>
      <c r="AO60" s="1"/>
      <c r="BB60" s="1"/>
      <c r="BC60" s="1"/>
      <c r="BH60" s="2"/>
      <c r="BI60" s="2"/>
      <c r="BJ60" s="1"/>
      <c r="BK60" s="2"/>
      <c r="BM60" s="2"/>
      <c r="BS60" s="2"/>
      <c r="BT60" s="2"/>
      <c r="BU60" s="2"/>
      <c r="BV60" s="2"/>
      <c r="BW60" s="2"/>
      <c r="BX60" s="2"/>
      <c r="BY60" s="2"/>
      <c r="CE60" s="2"/>
    </row>
    <row r="61" spans="8:83" ht="13.5" thickTop="1">
      <c r="H61" s="2"/>
      <c r="I61" s="2"/>
      <c r="J61" s="2"/>
      <c r="K61" s="2"/>
      <c r="M61" s="2"/>
      <c r="Q61" s="1"/>
      <c r="R61" s="1"/>
      <c r="S61" s="85"/>
      <c r="T61" s="85"/>
      <c r="U61" s="85"/>
      <c r="V61" s="85"/>
      <c r="W61" s="85"/>
      <c r="X61" s="85"/>
      <c r="Y61" s="86"/>
      <c r="Z61" s="1"/>
      <c r="AA61" s="1"/>
      <c r="AB61" s="1"/>
      <c r="AC61" s="1"/>
      <c r="AD61" s="1"/>
      <c r="AE61" s="6"/>
      <c r="AF61" s="9"/>
      <c r="AG61" s="1"/>
      <c r="AH61" s="1"/>
      <c r="AO61" s="1"/>
      <c r="BB61" s="1"/>
      <c r="BC61" s="1"/>
      <c r="BH61" s="2"/>
      <c r="BI61" s="2"/>
      <c r="BJ61" s="1"/>
      <c r="BK61" s="2"/>
      <c r="BM61" s="2"/>
      <c r="BS61" s="2"/>
      <c r="BT61" s="2"/>
      <c r="BU61" s="2"/>
      <c r="BV61" s="2"/>
      <c r="BW61" s="2"/>
      <c r="BX61" s="2"/>
      <c r="BY61" s="2"/>
      <c r="CE61" s="2"/>
    </row>
    <row r="62" spans="8:83" ht="12.75">
      <c r="H62" s="2"/>
      <c r="I62" s="2"/>
      <c r="J62" s="2"/>
      <c r="K62" s="2"/>
      <c r="M62" s="2"/>
      <c r="Q62" s="1"/>
      <c r="R62" s="1"/>
      <c r="S62" s="85"/>
      <c r="T62" s="85"/>
      <c r="U62" s="85"/>
      <c r="V62" s="85"/>
      <c r="W62" s="85"/>
      <c r="X62" s="85"/>
      <c r="Y62" s="86"/>
      <c r="Z62" s="1"/>
      <c r="AA62" s="1"/>
      <c r="AB62" s="1"/>
      <c r="AC62" s="1"/>
      <c r="AD62" s="1"/>
      <c r="AE62" s="6"/>
      <c r="AF62" s="9"/>
      <c r="AG62" s="1"/>
      <c r="AH62" s="1"/>
      <c r="AO62" s="1"/>
      <c r="BB62" s="1"/>
      <c r="BC62" s="1"/>
      <c r="BH62" s="2"/>
      <c r="BI62" s="2"/>
      <c r="BJ62" s="1"/>
      <c r="BK62" s="2"/>
      <c r="BM62" s="2"/>
      <c r="BS62" s="2"/>
      <c r="BT62" s="2"/>
      <c r="BU62" s="2"/>
      <c r="BV62" s="2"/>
      <c r="BW62" s="2"/>
      <c r="BX62" s="2"/>
      <c r="BY62" s="2"/>
      <c r="CE62" s="2"/>
    </row>
    <row r="63" spans="8:83" ht="12.75">
      <c r="H63" s="2"/>
      <c r="I63" s="2"/>
      <c r="J63" s="2"/>
      <c r="K63" s="2"/>
      <c r="M63" s="2"/>
      <c r="Q63" s="1"/>
      <c r="R63" s="1"/>
      <c r="S63" s="85"/>
      <c r="T63" s="85"/>
      <c r="U63" s="85"/>
      <c r="V63" s="85"/>
      <c r="W63" s="85"/>
      <c r="X63" s="85"/>
      <c r="Y63" s="86"/>
      <c r="Z63" s="1"/>
      <c r="AA63" s="1"/>
      <c r="AB63" s="1"/>
      <c r="AC63" s="1"/>
      <c r="AD63" s="1"/>
      <c r="AE63" s="6"/>
      <c r="AF63" s="9"/>
      <c r="AG63" s="1"/>
      <c r="AH63" s="1"/>
      <c r="AO63" s="1"/>
      <c r="BB63" s="1"/>
      <c r="BC63" s="1"/>
      <c r="BH63" s="2"/>
      <c r="BI63" s="2"/>
      <c r="BJ63" s="1"/>
      <c r="BK63" s="2"/>
      <c r="BM63" s="2"/>
      <c r="BS63" s="2"/>
      <c r="BT63" s="2"/>
      <c r="BU63" s="2"/>
      <c r="BV63" s="2"/>
      <c r="BW63" s="2"/>
      <c r="BX63" s="2"/>
      <c r="BY63" s="2"/>
      <c r="CE63" s="2"/>
    </row>
    <row r="64" spans="1:83" ht="12.75">
      <c r="A64" s="18"/>
      <c r="B64" s="16" t="s">
        <v>87</v>
      </c>
      <c r="C64" s="19" t="s">
        <v>8</v>
      </c>
      <c r="D64" s="20" t="s">
        <v>88</v>
      </c>
      <c r="E64" s="21"/>
      <c r="F64" s="19" t="s">
        <v>4</v>
      </c>
      <c r="G64" s="17"/>
      <c r="H64" s="17"/>
      <c r="I64" s="17"/>
      <c r="J64" s="17"/>
      <c r="K64" s="17"/>
      <c r="L64" s="18"/>
      <c r="M64" s="53" t="s">
        <v>89</v>
      </c>
      <c r="Q64" s="1"/>
      <c r="R64" s="1"/>
      <c r="S64" s="85"/>
      <c r="T64" s="85"/>
      <c r="U64" s="85"/>
      <c r="V64" s="85"/>
      <c r="W64" s="85"/>
      <c r="X64" s="85"/>
      <c r="Y64" s="86"/>
      <c r="Z64" s="1"/>
      <c r="AA64" s="1"/>
      <c r="AB64" s="1"/>
      <c r="AC64" s="1"/>
      <c r="AD64" s="1"/>
      <c r="AE64" s="6"/>
      <c r="AF64" s="9"/>
      <c r="AG64" s="1"/>
      <c r="AH64" s="1"/>
      <c r="AO64" s="1"/>
      <c r="BB64" s="1"/>
      <c r="BC64" s="1"/>
      <c r="BH64" s="2"/>
      <c r="BI64" s="2"/>
      <c r="BJ64" s="1"/>
      <c r="BK64" s="2"/>
      <c r="BM64" s="2"/>
      <c r="BS64" s="2"/>
      <c r="BT64" s="2"/>
      <c r="BU64" s="2"/>
      <c r="BV64" s="2"/>
      <c r="BW64" s="2"/>
      <c r="BX64" s="2"/>
      <c r="BY64" s="2"/>
      <c r="CE64" s="2"/>
    </row>
    <row r="65" spans="2:83" ht="12.75">
      <c r="B65" s="2" t="str">
        <f>VLOOKUP(1,C$65:D$72,2,FALSE)</f>
        <v>Brasilien</v>
      </c>
      <c r="C65" s="1">
        <f aca="true" t="shared" si="3" ref="C65:C72">RANK(F65,$F$65:$F$72)</f>
        <v>1</v>
      </c>
      <c r="D65" s="3" t="str">
        <f>IF(B$60="","T1M1",M65)</f>
        <v>Brasilien</v>
      </c>
      <c r="E65" s="2">
        <v>8</v>
      </c>
      <c r="F65" s="8">
        <f>IF(B$60="",8,1000000)</f>
        <v>1000000</v>
      </c>
      <c r="H65" s="1"/>
      <c r="I65" s="1"/>
      <c r="J65" s="1"/>
      <c r="K65" s="1"/>
      <c r="M65" s="11" t="s">
        <v>90</v>
      </c>
      <c r="Q65" s="1"/>
      <c r="R65" s="1"/>
      <c r="S65" s="85"/>
      <c r="T65" s="85"/>
      <c r="U65" s="85"/>
      <c r="V65" s="85"/>
      <c r="W65" s="85"/>
      <c r="X65" s="85"/>
      <c r="Y65" s="86"/>
      <c r="Z65" s="1"/>
      <c r="AA65" s="1"/>
      <c r="AB65" s="1"/>
      <c r="AC65" s="1"/>
      <c r="AD65" s="1"/>
      <c r="AE65" s="6"/>
      <c r="AF65" s="9"/>
      <c r="AG65" s="1"/>
      <c r="AH65" s="1"/>
      <c r="AO65" s="1"/>
      <c r="BB65" s="1"/>
      <c r="BC65" s="1"/>
      <c r="BH65" s="2"/>
      <c r="BI65" s="2"/>
      <c r="BJ65" s="1"/>
      <c r="BK65" s="2"/>
      <c r="BM65" s="2"/>
      <c r="BS65" s="2"/>
      <c r="BT65" s="2"/>
      <c r="BU65" s="2"/>
      <c r="BV65" s="2"/>
      <c r="BW65" s="2"/>
      <c r="BX65" s="2"/>
      <c r="BY65" s="2"/>
      <c r="CE65" s="2"/>
    </row>
    <row r="66" spans="2:83" ht="12.75">
      <c r="B66" s="2" t="str">
        <f>VLOOKUP(2,C$65:D$72,2,FALSE)</f>
        <v>Uruguay</v>
      </c>
      <c r="C66" s="1">
        <f t="shared" si="3"/>
        <v>3</v>
      </c>
      <c r="D66" s="3" t="str">
        <f>IF(B$60="","T1M2",M66)</f>
        <v>Argentinien</v>
      </c>
      <c r="E66" s="2">
        <v>7</v>
      </c>
      <c r="F66" s="8">
        <f ca="1">IF(B$60="",7,INT(RAND()*1000000))</f>
        <v>487858</v>
      </c>
      <c r="H66" s="1"/>
      <c r="I66" s="1"/>
      <c r="J66" s="1"/>
      <c r="K66" s="1"/>
      <c r="M66" s="11" t="s">
        <v>91</v>
      </c>
      <c r="Q66" s="1"/>
      <c r="R66" s="1"/>
      <c r="S66" s="85"/>
      <c r="T66" s="85"/>
      <c r="U66" s="85"/>
      <c r="V66" s="85"/>
      <c r="W66" s="85"/>
      <c r="X66" s="85"/>
      <c r="Y66" s="86"/>
      <c r="Z66" s="1"/>
      <c r="AA66" s="1"/>
      <c r="AB66" s="1"/>
      <c r="AC66" s="1"/>
      <c r="AD66" s="1"/>
      <c r="AE66" s="6"/>
      <c r="AF66" s="9"/>
      <c r="AG66" s="1"/>
      <c r="AH66" s="1"/>
      <c r="AO66" s="1"/>
      <c r="BB66" s="1"/>
      <c r="BC66" s="1"/>
      <c r="BH66" s="2"/>
      <c r="BI66" s="2"/>
      <c r="BJ66" s="1"/>
      <c r="BK66" s="2"/>
      <c r="BM66" s="2"/>
      <c r="BS66" s="2"/>
      <c r="BT66" s="2"/>
      <c r="BU66" s="2"/>
      <c r="BV66" s="2"/>
      <c r="BW66" s="2"/>
      <c r="BX66" s="2"/>
      <c r="BY66" s="2"/>
      <c r="CE66" s="2"/>
    </row>
    <row r="67" spans="2:83" ht="12.75">
      <c r="B67" s="2" t="str">
        <f>VLOOKUP(3,C$65:D$72,2,FALSE)</f>
        <v>Argentinien</v>
      </c>
      <c r="C67" s="1">
        <f t="shared" si="3"/>
        <v>4</v>
      </c>
      <c r="D67" s="3" t="str">
        <f>IF(B$60="","T1M3",M67)</f>
        <v>Kolumbien</v>
      </c>
      <c r="E67" s="2">
        <v>6</v>
      </c>
      <c r="F67" s="8">
        <f ca="1">IF(B$60="",6,INT(RAND()*1000000))</f>
        <v>333462</v>
      </c>
      <c r="H67" s="1"/>
      <c r="I67" s="1"/>
      <c r="J67" s="1"/>
      <c r="K67" s="1"/>
      <c r="M67" s="11" t="s">
        <v>92</v>
      </c>
      <c r="Q67" s="1"/>
      <c r="R67" s="1"/>
      <c r="S67" s="85"/>
      <c r="T67" s="85"/>
      <c r="U67" s="85"/>
      <c r="V67" s="85"/>
      <c r="W67" s="85"/>
      <c r="X67" s="85"/>
      <c r="Y67" s="86"/>
      <c r="Z67" s="1"/>
      <c r="AA67" s="1"/>
      <c r="AB67" s="1"/>
      <c r="AC67" s="1"/>
      <c r="AD67" s="1"/>
      <c r="AE67" s="6"/>
      <c r="AF67" s="9"/>
      <c r="AG67" s="1"/>
      <c r="AH67" s="1"/>
      <c r="AO67" s="1"/>
      <c r="BB67" s="1"/>
      <c r="BC67" s="1"/>
      <c r="BH67" s="2"/>
      <c r="BI67" s="2"/>
      <c r="BJ67" s="1"/>
      <c r="BK67" s="2"/>
      <c r="BM67" s="2"/>
      <c r="BS67" s="2"/>
      <c r="BT67" s="2"/>
      <c r="BU67" s="2"/>
      <c r="BV67" s="2"/>
      <c r="BW67" s="2"/>
      <c r="BX67" s="2"/>
      <c r="BY67" s="2"/>
      <c r="CE67" s="2"/>
    </row>
    <row r="68" spans="2:83" ht="12.75">
      <c r="B68" s="2" t="str">
        <f>VLOOKUP(4,C$65:D$72,2,FALSE)</f>
        <v>Kolumbien</v>
      </c>
      <c r="C68" s="1">
        <f t="shared" si="3"/>
        <v>2</v>
      </c>
      <c r="D68" s="3" t="str">
        <f>IF(B$60="","T1M4",M68)</f>
        <v>Uruguay</v>
      </c>
      <c r="E68" s="2">
        <v>5</v>
      </c>
      <c r="F68" s="8">
        <f ca="1">IF(B$60="",5,INT(RAND()*1000000))</f>
        <v>518362</v>
      </c>
      <c r="H68" s="1"/>
      <c r="I68" s="1"/>
      <c r="J68" s="1"/>
      <c r="K68" s="1"/>
      <c r="M68" s="11" t="s">
        <v>93</v>
      </c>
      <c r="AE68" s="3"/>
      <c r="AF68" s="10"/>
      <c r="BH68" s="2"/>
      <c r="BI68" s="2"/>
      <c r="BJ68" s="2"/>
      <c r="BK68" s="2"/>
      <c r="BM68" s="2"/>
      <c r="BS68" s="2"/>
      <c r="BT68" s="2"/>
      <c r="BU68" s="2"/>
      <c r="BV68" s="2"/>
      <c r="BW68" s="2"/>
      <c r="BX68" s="2"/>
      <c r="BY68" s="2"/>
      <c r="CE68" s="2"/>
    </row>
    <row r="69" spans="2:83" ht="12.75">
      <c r="B69" s="2" t="str">
        <f>VLOOKUP(5,C$65:D$72,2,FALSE)</f>
        <v>Belgien</v>
      </c>
      <c r="C69" s="1">
        <f t="shared" si="3"/>
        <v>8</v>
      </c>
      <c r="D69" s="3" t="str">
        <f>IF(B$60="","T1M5",M69)</f>
        <v>Spanien</v>
      </c>
      <c r="E69" s="2">
        <v>4</v>
      </c>
      <c r="F69" s="8">
        <f ca="1">IF(B$60="",4,INT(RAND()*1000000))</f>
        <v>19790</v>
      </c>
      <c r="H69" s="1"/>
      <c r="I69" s="1"/>
      <c r="J69" s="1"/>
      <c r="K69" s="1"/>
      <c r="M69" s="11" t="s">
        <v>94</v>
      </c>
      <c r="Q69" s="1"/>
      <c r="R69" s="1"/>
      <c r="S69" s="85"/>
      <c r="T69" s="85"/>
      <c r="U69" s="85"/>
      <c r="V69" s="85"/>
      <c r="W69" s="85"/>
      <c r="AE69" s="1"/>
      <c r="AF69" s="9"/>
      <c r="AG69" s="1"/>
      <c r="AH69" s="1"/>
      <c r="AO69" s="1"/>
      <c r="BB69" s="1"/>
      <c r="BC69" s="1"/>
      <c r="BH69" s="2"/>
      <c r="BI69" s="2"/>
      <c r="BJ69" s="1"/>
      <c r="BK69" s="2"/>
      <c r="BM69" s="2"/>
      <c r="BS69" s="2"/>
      <c r="BT69" s="2"/>
      <c r="BU69" s="2"/>
      <c r="BV69" s="2"/>
      <c r="BW69" s="2"/>
      <c r="BX69" s="2"/>
      <c r="BY69" s="2"/>
      <c r="CE69" s="2"/>
    </row>
    <row r="70" spans="2:83" ht="12.75">
      <c r="B70" s="2" t="str">
        <f>VLOOKUP(6,C$65:D$72,2,FALSE)</f>
        <v>Deutschland</v>
      </c>
      <c r="C70" s="1">
        <f t="shared" si="3"/>
        <v>6</v>
      </c>
      <c r="D70" s="3" t="str">
        <f>IF(B$60="","T1M6",M70)</f>
        <v>Deutschland</v>
      </c>
      <c r="E70" s="2">
        <v>3</v>
      </c>
      <c r="F70" s="8">
        <f ca="1">IF(B$60="",3,INT(RAND()*1000000))</f>
        <v>138155</v>
      </c>
      <c r="H70" s="1"/>
      <c r="I70" s="1"/>
      <c r="J70" s="1"/>
      <c r="K70" s="1"/>
      <c r="M70" s="11" t="s">
        <v>95</v>
      </c>
      <c r="Q70" s="1"/>
      <c r="R70" s="1"/>
      <c r="S70" s="85"/>
      <c r="T70" s="85"/>
      <c r="U70" s="85"/>
      <c r="V70" s="85"/>
      <c r="W70" s="85"/>
      <c r="AE70" s="1"/>
      <c r="AF70" s="9"/>
      <c r="AG70" s="1"/>
      <c r="AH70" s="1"/>
      <c r="AO70" s="1"/>
      <c r="BB70" s="1"/>
      <c r="BC70" s="1"/>
      <c r="BH70" s="2"/>
      <c r="BI70" s="2"/>
      <c r="BJ70" s="1"/>
      <c r="BK70" s="2"/>
      <c r="BM70" s="2"/>
      <c r="BS70" s="2"/>
      <c r="BT70" s="2"/>
      <c r="BU70" s="2"/>
      <c r="BV70" s="2"/>
      <c r="BW70" s="2"/>
      <c r="BX70" s="2"/>
      <c r="BY70" s="2"/>
      <c r="CE70" s="2"/>
    </row>
    <row r="71" spans="2:83" ht="12.75">
      <c r="B71" s="2" t="str">
        <f>VLOOKUP(7,C$65:D$72,2,FALSE)</f>
        <v>Schweiz</v>
      </c>
      <c r="C71" s="1">
        <f t="shared" si="3"/>
        <v>7</v>
      </c>
      <c r="D71" s="3" t="str">
        <f>IF(B$60="","T1M7",M71)</f>
        <v>Schweiz</v>
      </c>
      <c r="E71" s="2">
        <v>2</v>
      </c>
      <c r="F71" s="8">
        <f ca="1">IF(B$60="",2,INT(RAND()*1000000))</f>
        <v>133476</v>
      </c>
      <c r="H71" s="1"/>
      <c r="I71" s="1"/>
      <c r="J71" s="1"/>
      <c r="K71" s="1"/>
      <c r="M71" s="11" t="s">
        <v>96</v>
      </c>
      <c r="Q71" s="1"/>
      <c r="R71" s="1"/>
      <c r="S71" s="85"/>
      <c r="T71" s="85"/>
      <c r="U71" s="85"/>
      <c r="V71" s="85"/>
      <c r="W71" s="85"/>
      <c r="AE71" s="1"/>
      <c r="AF71" s="9"/>
      <c r="AG71" s="1"/>
      <c r="AH71" s="1"/>
      <c r="AO71" s="1"/>
      <c r="BB71" s="1"/>
      <c r="BC71" s="1"/>
      <c r="BH71" s="2"/>
      <c r="BI71" s="2"/>
      <c r="BJ71" s="1"/>
      <c r="BK71" s="2"/>
      <c r="BM71" s="2"/>
      <c r="BS71" s="2"/>
      <c r="BT71" s="2"/>
      <c r="BU71" s="2"/>
      <c r="BV71" s="2"/>
      <c r="BW71" s="2"/>
      <c r="BX71" s="2"/>
      <c r="BY71" s="2"/>
      <c r="CE71" s="2"/>
    </row>
    <row r="72" spans="2:83" ht="12.75">
      <c r="B72" s="2" t="str">
        <f>VLOOKUP(8,C$65:D$72,2,FALSE)</f>
        <v>Spanien</v>
      </c>
      <c r="C72" s="1">
        <f t="shared" si="3"/>
        <v>5</v>
      </c>
      <c r="D72" s="3" t="str">
        <f>IF(B$60="","T1M8",M72)</f>
        <v>Belgien</v>
      </c>
      <c r="E72" s="2">
        <v>1</v>
      </c>
      <c r="F72" s="8">
        <f ca="1">IF(B$60="",1,INT(RAND()*1000000))</f>
        <v>216149</v>
      </c>
      <c r="H72" s="1"/>
      <c r="I72" s="1"/>
      <c r="J72" s="1"/>
      <c r="K72" s="1"/>
      <c r="M72" s="11" t="s">
        <v>97</v>
      </c>
      <c r="P72" s="1"/>
      <c r="AE72" s="3"/>
      <c r="AF72" s="10"/>
      <c r="BH72" s="2"/>
      <c r="BI72" s="2"/>
      <c r="BJ72" s="2"/>
      <c r="BK72" s="2"/>
      <c r="BM72" s="2"/>
      <c r="BS72" s="2"/>
      <c r="BT72" s="2"/>
      <c r="BU72" s="2"/>
      <c r="BV72" s="2"/>
      <c r="BW72" s="2"/>
      <c r="BX72" s="2"/>
      <c r="BY72" s="2"/>
      <c r="CE72" s="2"/>
    </row>
    <row r="73" spans="3:83" ht="12.75">
      <c r="C73" s="1"/>
      <c r="D73" s="3"/>
      <c r="F73" s="8"/>
      <c r="H73" s="1"/>
      <c r="I73" s="1"/>
      <c r="J73" s="1"/>
      <c r="K73" s="1"/>
      <c r="P73" s="1"/>
      <c r="Q73" s="1"/>
      <c r="R73" s="1"/>
      <c r="S73" s="85"/>
      <c r="T73" s="85"/>
      <c r="U73" s="85"/>
      <c r="V73" s="85"/>
      <c r="W73" s="85"/>
      <c r="AE73" s="1"/>
      <c r="AF73" s="9"/>
      <c r="AG73" s="1"/>
      <c r="AH73" s="1"/>
      <c r="AO73" s="1"/>
      <c r="BB73" s="1"/>
      <c r="BC73" s="1"/>
      <c r="BH73" s="2"/>
      <c r="BI73" s="2"/>
      <c r="BJ73" s="1"/>
      <c r="BK73" s="2"/>
      <c r="BM73" s="2"/>
      <c r="BS73" s="2"/>
      <c r="BT73" s="2"/>
      <c r="BU73" s="2"/>
      <c r="BV73" s="2"/>
      <c r="BW73" s="2"/>
      <c r="BX73" s="2"/>
      <c r="BY73" s="2"/>
      <c r="CE73" s="2"/>
    </row>
    <row r="74" spans="2:83" ht="12.75">
      <c r="B74" s="16" t="s">
        <v>98</v>
      </c>
      <c r="C74" s="19" t="s">
        <v>8</v>
      </c>
      <c r="D74" s="20" t="s">
        <v>88</v>
      </c>
      <c r="E74" s="21"/>
      <c r="F74" s="19" t="s">
        <v>4</v>
      </c>
      <c r="M74" s="53" t="s">
        <v>89</v>
      </c>
      <c r="Q74" s="1"/>
      <c r="R74" s="1"/>
      <c r="S74" s="85"/>
      <c r="T74" s="85"/>
      <c r="U74" s="85"/>
      <c r="V74" s="85"/>
      <c r="W74" s="85"/>
      <c r="AE74" s="1"/>
      <c r="AF74" s="9"/>
      <c r="AG74" s="1"/>
      <c r="AH74" s="1"/>
      <c r="AO74" s="1"/>
      <c r="BB74" s="1"/>
      <c r="BC74" s="1"/>
      <c r="BH74" s="2"/>
      <c r="BI74" s="2"/>
      <c r="BJ74" s="1"/>
      <c r="BK74" s="2"/>
      <c r="BM74" s="2"/>
      <c r="BS74" s="2"/>
      <c r="BT74" s="2"/>
      <c r="BU74" s="2"/>
      <c r="BV74" s="2"/>
      <c r="BW74" s="2"/>
      <c r="BX74" s="2"/>
      <c r="BY74" s="2"/>
      <c r="CE74" s="2"/>
    </row>
    <row r="75" spans="1:83" ht="12.75">
      <c r="A75" s="18"/>
      <c r="B75" s="2" t="str">
        <f>VLOOKUP(1,C$75:D$82,2,FALSE)</f>
        <v>Kamerun</v>
      </c>
      <c r="C75" s="1">
        <f aca="true" t="shared" si="4" ref="C75:C82">RANK(F75,$F$75:$F$82)</f>
        <v>7</v>
      </c>
      <c r="D75" s="3" t="str">
        <f>IF(B$60="","T2M1",M75)</f>
        <v>Algerien</v>
      </c>
      <c r="E75" s="2">
        <v>8</v>
      </c>
      <c r="F75" s="8">
        <f ca="1">IF(B$60="",8,INT(RAND()*1000000))</f>
        <v>159346</v>
      </c>
      <c r="G75" s="17"/>
      <c r="H75" s="17"/>
      <c r="I75" s="17"/>
      <c r="J75" s="17"/>
      <c r="K75" s="17"/>
      <c r="L75" s="18"/>
      <c r="M75" s="54" t="s">
        <v>99</v>
      </c>
      <c r="N75" s="1"/>
      <c r="O75" s="1"/>
      <c r="Q75" s="1"/>
      <c r="R75" s="1"/>
      <c r="S75" s="85"/>
      <c r="T75" s="85"/>
      <c r="U75" s="85"/>
      <c r="V75" s="85"/>
      <c r="W75" s="85"/>
      <c r="AE75" s="1"/>
      <c r="AF75" s="9"/>
      <c r="AG75" s="1"/>
      <c r="AH75" s="1"/>
      <c r="AO75" s="1"/>
      <c r="BB75" s="1"/>
      <c r="BC75" s="1"/>
      <c r="BH75" s="2"/>
      <c r="BI75" s="2"/>
      <c r="BJ75" s="1"/>
      <c r="BK75" s="2"/>
      <c r="BM75" s="2"/>
      <c r="BS75" s="2"/>
      <c r="BT75" s="2"/>
      <c r="BU75" s="2"/>
      <c r="BV75" s="2"/>
      <c r="BW75" s="2"/>
      <c r="BX75" s="2"/>
      <c r="BY75" s="2"/>
      <c r="CE75" s="2"/>
    </row>
    <row r="76" spans="2:83" ht="12.75">
      <c r="B76" s="2" t="str">
        <f>VLOOKUP(2,C$75:D$82,2,FALSE)</f>
        <v>Chile</v>
      </c>
      <c r="C76" s="1">
        <f t="shared" si="4"/>
        <v>5</v>
      </c>
      <c r="D76" s="3" t="str">
        <f>IF(B$60="","T2M2",M76)</f>
        <v>Elfenbeinküste</v>
      </c>
      <c r="E76" s="2">
        <v>7</v>
      </c>
      <c r="F76" s="8">
        <f ca="1">IF(B$60="",7,INT(RAND()*1000000))</f>
        <v>193636</v>
      </c>
      <c r="H76" s="1"/>
      <c r="I76" s="1"/>
      <c r="J76" s="1"/>
      <c r="K76" s="1"/>
      <c r="M76" s="11" t="s">
        <v>100</v>
      </c>
      <c r="N76" s="1"/>
      <c r="O76" s="1"/>
      <c r="P76" s="1"/>
      <c r="Q76" s="1"/>
      <c r="R76" s="1"/>
      <c r="S76" s="85"/>
      <c r="T76" s="85"/>
      <c r="U76" s="85"/>
      <c r="V76" s="85"/>
      <c r="X76" s="85"/>
      <c r="Y76" s="86"/>
      <c r="Z76" s="1"/>
      <c r="AA76" s="1"/>
      <c r="AB76" s="1"/>
      <c r="AC76" s="1"/>
      <c r="AE76" s="2"/>
      <c r="BH76" s="2"/>
      <c r="BI76" s="2"/>
      <c r="BJ76" s="2"/>
      <c r="BK76" s="2"/>
      <c r="BM76" s="2"/>
      <c r="BS76" s="2"/>
      <c r="BT76" s="2"/>
      <c r="BU76" s="2"/>
      <c r="BV76" s="2"/>
      <c r="BW76" s="2"/>
      <c r="BX76" s="2"/>
      <c r="BY76" s="2"/>
      <c r="CE76" s="2"/>
    </row>
    <row r="77" spans="2:83" ht="12.75">
      <c r="B77" s="2" t="str">
        <f>VLOOKUP(3,C$75:D$82,2,FALSE)</f>
        <v>Nigeria</v>
      </c>
      <c r="C77" s="1">
        <f t="shared" si="4"/>
        <v>6</v>
      </c>
      <c r="D77" s="3" t="str">
        <f>IF(B$60="","T2M3",M77)</f>
        <v>Ghana</v>
      </c>
      <c r="E77" s="2">
        <v>6</v>
      </c>
      <c r="F77" s="8">
        <f ca="1">IF(B$60="",6,INT(RAND()*1000000))</f>
        <v>181026</v>
      </c>
      <c r="H77" s="1"/>
      <c r="I77" s="1"/>
      <c r="J77" s="1"/>
      <c r="K77" s="1"/>
      <c r="M77" s="11" t="s">
        <v>101</v>
      </c>
      <c r="AE77" s="2"/>
      <c r="BH77" s="2"/>
      <c r="BI77" s="2"/>
      <c r="BJ77" s="2"/>
      <c r="BK77" s="2"/>
      <c r="BM77" s="2"/>
      <c r="BS77" s="2"/>
      <c r="BT77" s="2"/>
      <c r="BU77" s="2"/>
      <c r="BV77" s="2"/>
      <c r="BW77" s="2"/>
      <c r="BX77" s="2"/>
      <c r="BY77" s="2"/>
      <c r="CE77" s="2"/>
    </row>
    <row r="78" spans="2:83" ht="12.75">
      <c r="B78" s="2" t="str">
        <f>VLOOKUP(4,C$75:D$82,2,FALSE)</f>
        <v>Ecuador</v>
      </c>
      <c r="C78" s="1">
        <f t="shared" si="4"/>
        <v>1</v>
      </c>
      <c r="D78" s="3" t="str">
        <f>IF(B$60="","T2M4",M78)</f>
        <v>Kamerun</v>
      </c>
      <c r="E78" s="2">
        <v>5</v>
      </c>
      <c r="F78" s="8">
        <f ca="1">IF(B$60="",5,INT(RAND()*1000000))</f>
        <v>991972</v>
      </c>
      <c r="H78" s="1"/>
      <c r="I78" s="1"/>
      <c r="J78" s="1"/>
      <c r="K78" s="1"/>
      <c r="M78" s="11" t="s">
        <v>102</v>
      </c>
      <c r="AD78" s="3"/>
      <c r="BH78" s="2"/>
      <c r="BI78" s="2"/>
      <c r="BJ78" s="2"/>
      <c r="BK78" s="2"/>
      <c r="BM78" s="2"/>
      <c r="BS78" s="2"/>
      <c r="BT78" s="2"/>
      <c r="BU78" s="2"/>
      <c r="BV78" s="2"/>
      <c r="BW78" s="2"/>
      <c r="BX78" s="2"/>
      <c r="BY78" s="2"/>
      <c r="CE78" s="2"/>
    </row>
    <row r="79" spans="2:83" ht="12.75">
      <c r="B79" s="2" t="str">
        <f>VLOOKUP(5,C$75:D$82,2,FALSE)</f>
        <v>Elfenbeinküste</v>
      </c>
      <c r="C79" s="1">
        <f t="shared" si="4"/>
        <v>3</v>
      </c>
      <c r="D79" s="3" t="str">
        <f>IF(B$60="","T2M5",M79)</f>
        <v>Nigeria</v>
      </c>
      <c r="E79" s="2">
        <v>4</v>
      </c>
      <c r="F79" s="8">
        <f ca="1">IF(B$60="",4,INT(RAND()*1000000))</f>
        <v>767996</v>
      </c>
      <c r="H79" s="1"/>
      <c r="I79" s="1"/>
      <c r="J79" s="1"/>
      <c r="K79" s="1"/>
      <c r="M79" s="11" t="s">
        <v>103</v>
      </c>
      <c r="AD79" s="3"/>
      <c r="AE79" s="2"/>
      <c r="BH79" s="2"/>
      <c r="BI79" s="2"/>
      <c r="BJ79" s="2"/>
      <c r="BK79" s="2"/>
      <c r="BM79" s="2"/>
      <c r="BS79" s="2"/>
      <c r="BT79" s="2"/>
      <c r="BU79" s="2"/>
      <c r="BV79" s="2"/>
      <c r="BW79" s="2"/>
      <c r="BX79" s="2"/>
      <c r="BY79" s="2"/>
      <c r="CE79" s="2"/>
    </row>
    <row r="80" spans="2:83" ht="12.75">
      <c r="B80" s="2" t="str">
        <f>VLOOKUP(6,C$75:D$82,2,FALSE)</f>
        <v>Ghana</v>
      </c>
      <c r="C80" s="1">
        <f t="shared" si="4"/>
        <v>2</v>
      </c>
      <c r="D80" s="3" t="str">
        <f>IF(B$60="","T2M6",M80)</f>
        <v>Chile</v>
      </c>
      <c r="E80" s="2">
        <v>3</v>
      </c>
      <c r="F80" s="8">
        <f ca="1">IF(B$60="",3,INT(RAND()*1000000))</f>
        <v>794601</v>
      </c>
      <c r="M80" s="11" t="s">
        <v>104</v>
      </c>
      <c r="AD80" s="3"/>
      <c r="AE80" s="2"/>
      <c r="BC80" s="3"/>
      <c r="BD80" s="3"/>
      <c r="BE80" s="3"/>
      <c r="BF80" s="3"/>
      <c r="CD80" s="3"/>
      <c r="CE80" s="2"/>
    </row>
    <row r="81" spans="1:84" s="1" customFormat="1" ht="12.75">
      <c r="A81" s="18"/>
      <c r="B81" s="2" t="str">
        <f>VLOOKUP(7,C$75:D$82,2,FALSE)</f>
        <v>Algerien</v>
      </c>
      <c r="C81" s="1">
        <f t="shared" si="4"/>
        <v>4</v>
      </c>
      <c r="D81" s="3" t="str">
        <f>IF(B$60="","T2M7",M81)</f>
        <v>Ecuador</v>
      </c>
      <c r="E81" s="2">
        <v>2</v>
      </c>
      <c r="F81" s="8">
        <f ca="1">IF(B$60="",2,INT(RAND()*1000000))</f>
        <v>715831</v>
      </c>
      <c r="G81" s="17"/>
      <c r="H81" s="17"/>
      <c r="I81" s="17"/>
      <c r="J81" s="17"/>
      <c r="K81" s="17"/>
      <c r="L81" s="18"/>
      <c r="M81" s="54" t="s">
        <v>105</v>
      </c>
      <c r="S81" s="85"/>
      <c r="T81" s="85"/>
      <c r="U81" s="85"/>
      <c r="V81" s="85"/>
      <c r="W81" s="85"/>
      <c r="X81" s="85"/>
      <c r="Y81" s="85"/>
      <c r="AF81" s="2"/>
      <c r="BH81" s="14"/>
      <c r="BI81" s="14"/>
      <c r="BJ81" s="14"/>
      <c r="BK81" s="9"/>
      <c r="BM81" s="11"/>
      <c r="BS81" s="85"/>
      <c r="BT81" s="85"/>
      <c r="BU81" s="85"/>
      <c r="BV81" s="85"/>
      <c r="BW81" s="85"/>
      <c r="BX81" s="85"/>
      <c r="BY81" s="85"/>
      <c r="CF81" s="2"/>
    </row>
    <row r="82" spans="2:13" ht="12.75">
      <c r="B82" s="2" t="str">
        <f>VLOOKUP(8,C$75:D$82,2,FALSE)</f>
        <v>England</v>
      </c>
      <c r="C82" s="1">
        <f t="shared" si="4"/>
        <v>8</v>
      </c>
      <c r="D82" s="3" t="str">
        <f>IF(B$60="","T2M8",M82)</f>
        <v>England</v>
      </c>
      <c r="E82" s="2">
        <v>1</v>
      </c>
      <c r="F82" s="8">
        <f ca="1">IF(B$60="",1,INT(RAND()*1000000))</f>
        <v>35722</v>
      </c>
      <c r="H82" s="1"/>
      <c r="I82" s="1"/>
      <c r="J82" s="1"/>
      <c r="K82" s="1"/>
      <c r="M82" s="54" t="s">
        <v>118</v>
      </c>
    </row>
    <row r="83" spans="3:11" ht="12.75">
      <c r="C83" s="1"/>
      <c r="D83" s="3"/>
      <c r="F83" s="8"/>
      <c r="H83" s="1"/>
      <c r="I83" s="1"/>
      <c r="J83" s="1"/>
      <c r="K83" s="1"/>
    </row>
    <row r="84" spans="2:13" ht="12.75">
      <c r="B84" s="16" t="s">
        <v>107</v>
      </c>
      <c r="C84" s="19" t="s">
        <v>8</v>
      </c>
      <c r="D84" s="20" t="s">
        <v>88</v>
      </c>
      <c r="E84" s="21"/>
      <c r="F84" s="19" t="s">
        <v>4</v>
      </c>
      <c r="H84" s="1"/>
      <c r="I84" s="1"/>
      <c r="J84" s="1"/>
      <c r="K84" s="1"/>
      <c r="M84" s="53" t="s">
        <v>89</v>
      </c>
    </row>
    <row r="85" spans="1:84" s="18" customFormat="1" ht="12.75">
      <c r="A85" s="2"/>
      <c r="B85" s="2" t="str">
        <f>VLOOKUP(1,C$85:D$92,2,FALSE)</f>
        <v>Mexico</v>
      </c>
      <c r="C85" s="1">
        <f aca="true" t="shared" si="5" ref="C85:C92">RANK(F85,$F$85:$F$92)</f>
        <v>6</v>
      </c>
      <c r="D85" s="3" t="str">
        <f>IF(B$60="","T3M1",M85)</f>
        <v>Australien</v>
      </c>
      <c r="E85" s="2">
        <v>8</v>
      </c>
      <c r="F85" s="8">
        <f ca="1">IF(B$60="",8,INT(RAND()*1000000))</f>
        <v>252770</v>
      </c>
      <c r="G85" s="2"/>
      <c r="H85" s="1"/>
      <c r="I85" s="1"/>
      <c r="J85" s="1"/>
      <c r="K85" s="1"/>
      <c r="L85" s="2"/>
      <c r="M85" s="11" t="s">
        <v>108</v>
      </c>
      <c r="P85" s="17"/>
      <c r="Q85" s="17"/>
      <c r="R85" s="17"/>
      <c r="S85" s="89"/>
      <c r="T85" s="90"/>
      <c r="U85" s="89"/>
      <c r="V85" s="91"/>
      <c r="W85" s="91"/>
      <c r="X85" s="91"/>
      <c r="Y85" s="91"/>
      <c r="AD85" s="2"/>
      <c r="AE85" s="10"/>
      <c r="AF85" s="2"/>
      <c r="AX85" s="17"/>
      <c r="AY85" s="17"/>
      <c r="BB85" s="16"/>
      <c r="BC85" s="19"/>
      <c r="BD85" s="20"/>
      <c r="BE85" s="21"/>
      <c r="BF85" s="19"/>
      <c r="BG85" s="17"/>
      <c r="BH85" s="17"/>
      <c r="BI85" s="17"/>
      <c r="BJ85" s="17"/>
      <c r="BK85" s="17"/>
      <c r="BM85" s="53"/>
      <c r="BP85" s="17"/>
      <c r="BQ85" s="17"/>
      <c r="BR85" s="17"/>
      <c r="BS85" s="89"/>
      <c r="BT85" s="90"/>
      <c r="BU85" s="89"/>
      <c r="BV85" s="91"/>
      <c r="BW85" s="91"/>
      <c r="BX85" s="91"/>
      <c r="BY85" s="91"/>
      <c r="CD85" s="2"/>
      <c r="CE85" s="10"/>
      <c r="CF85" s="2"/>
    </row>
    <row r="86" spans="2:73" ht="12.75">
      <c r="B86" s="2" t="str">
        <f>VLOOKUP(2,C$85:D$92,2,FALSE)</f>
        <v>Japan</v>
      </c>
      <c r="C86" s="1">
        <f t="shared" si="5"/>
        <v>2</v>
      </c>
      <c r="D86" s="3" t="str">
        <f>IF(B$60="","T3M2",M86)</f>
        <v>Japan</v>
      </c>
      <c r="E86" s="2">
        <v>7</v>
      </c>
      <c r="F86" s="8">
        <f ca="1">IF(B$60="",7,INT(RAND()*1000000))</f>
        <v>835664</v>
      </c>
      <c r="M86" s="11" t="s">
        <v>109</v>
      </c>
      <c r="P86" s="1"/>
      <c r="Q86" s="1"/>
      <c r="R86" s="1"/>
      <c r="S86" s="92"/>
      <c r="T86" s="85"/>
      <c r="U86" s="85"/>
      <c r="BC86" s="1"/>
      <c r="BD86" s="3"/>
      <c r="BF86" s="8"/>
      <c r="BH86" s="1"/>
      <c r="BI86" s="1"/>
      <c r="BJ86" s="1"/>
      <c r="BK86" s="1"/>
      <c r="BP86" s="1"/>
      <c r="BQ86" s="1"/>
      <c r="BR86" s="1"/>
      <c r="BS86" s="92"/>
      <c r="BT86" s="85"/>
      <c r="BU86" s="85"/>
    </row>
    <row r="87" spans="1:73" ht="12.75">
      <c r="A87" s="18"/>
      <c r="B87" s="2" t="str">
        <f>VLOOKUP(3,C$85:D$92,2,FALSE)</f>
        <v>Iran</v>
      </c>
      <c r="C87" s="1">
        <f t="shared" si="5"/>
        <v>3</v>
      </c>
      <c r="D87" s="3" t="str">
        <f>IF(B$60="","T3M3",M87)</f>
        <v>Iran</v>
      </c>
      <c r="E87" s="2">
        <v>6</v>
      </c>
      <c r="F87" s="8">
        <f ca="1">IF(B$60="",6,INT(RAND()*1000000))</f>
        <v>384075</v>
      </c>
      <c r="G87" s="17"/>
      <c r="H87" s="17"/>
      <c r="I87" s="17"/>
      <c r="J87" s="17"/>
      <c r="K87" s="17"/>
      <c r="L87" s="18"/>
      <c r="M87" s="54" t="s">
        <v>110</v>
      </c>
      <c r="P87" s="1"/>
      <c r="Q87" s="1"/>
      <c r="R87" s="1"/>
      <c r="S87" s="92"/>
      <c r="T87" s="85"/>
      <c r="U87" s="85"/>
      <c r="BC87" s="1"/>
      <c r="BD87" s="3"/>
      <c r="BF87" s="8"/>
      <c r="BH87" s="1"/>
      <c r="BI87" s="1"/>
      <c r="BJ87" s="1"/>
      <c r="BK87" s="1"/>
      <c r="BP87" s="1"/>
      <c r="BQ87" s="1"/>
      <c r="BR87" s="1"/>
      <c r="BS87" s="92"/>
      <c r="BT87" s="85"/>
      <c r="BU87" s="85"/>
    </row>
    <row r="88" spans="2:73" ht="12.75">
      <c r="B88" s="2" t="str">
        <f>VLOOKUP(4,C$85:D$92,2,FALSE)</f>
        <v>USA</v>
      </c>
      <c r="C88" s="1">
        <f t="shared" si="5"/>
        <v>5</v>
      </c>
      <c r="D88" s="3" t="str">
        <f>IF(B$60="","T3M4",M88)</f>
        <v>Südkorea</v>
      </c>
      <c r="E88" s="2">
        <v>5</v>
      </c>
      <c r="F88" s="8">
        <f ca="1">IF(B$60="",5,INT(RAND()*1000000))</f>
        <v>255370</v>
      </c>
      <c r="H88" s="1"/>
      <c r="I88" s="1"/>
      <c r="J88" s="1"/>
      <c r="K88" s="1"/>
      <c r="M88" s="11" t="s">
        <v>111</v>
      </c>
      <c r="P88" s="1"/>
      <c r="Q88" s="1"/>
      <c r="R88" s="1"/>
      <c r="S88" s="92"/>
      <c r="T88" s="85"/>
      <c r="U88" s="85"/>
      <c r="BC88" s="1"/>
      <c r="BD88" s="3"/>
      <c r="BF88" s="8"/>
      <c r="BH88" s="1"/>
      <c r="BI88" s="1"/>
      <c r="BJ88" s="1"/>
      <c r="BK88" s="1"/>
      <c r="BP88" s="1"/>
      <c r="BQ88" s="1"/>
      <c r="BR88" s="1"/>
      <c r="BS88" s="92"/>
      <c r="BT88" s="85"/>
      <c r="BU88" s="85"/>
    </row>
    <row r="89" spans="2:73" ht="12.75">
      <c r="B89" s="2" t="str">
        <f>VLOOKUP(5,C$85:D$92,2,FALSE)</f>
        <v>Südkorea</v>
      </c>
      <c r="C89" s="1">
        <f t="shared" si="5"/>
        <v>7</v>
      </c>
      <c r="D89" s="3" t="str">
        <f>IF(B$60="","T3M5",M89)</f>
        <v>Costa Rica</v>
      </c>
      <c r="E89" s="2">
        <v>4</v>
      </c>
      <c r="F89" s="8">
        <f ca="1">IF(B$60="",4,INT(RAND()*1000000))</f>
        <v>153323</v>
      </c>
      <c r="H89" s="1"/>
      <c r="I89" s="1"/>
      <c r="J89" s="1"/>
      <c r="K89" s="1"/>
      <c r="M89" s="11" t="s">
        <v>112</v>
      </c>
      <c r="P89" s="1"/>
      <c r="Q89" s="1"/>
      <c r="R89" s="1"/>
      <c r="S89" s="92"/>
      <c r="T89" s="85"/>
      <c r="U89" s="85"/>
      <c r="BC89" s="1"/>
      <c r="BD89" s="3"/>
      <c r="BF89" s="8"/>
      <c r="BH89" s="1"/>
      <c r="BI89" s="1"/>
      <c r="BJ89" s="1"/>
      <c r="BK89" s="1"/>
      <c r="BP89" s="1"/>
      <c r="BQ89" s="1"/>
      <c r="BR89" s="1"/>
      <c r="BS89" s="92"/>
      <c r="BT89" s="85"/>
      <c r="BU89" s="85"/>
    </row>
    <row r="90" spans="2:73" ht="12.75">
      <c r="B90" s="2" t="str">
        <f>VLOOKUP(6,C$85:D$92,2,FALSE)</f>
        <v>Australien</v>
      </c>
      <c r="C90" s="1">
        <f t="shared" si="5"/>
        <v>8</v>
      </c>
      <c r="D90" s="3" t="str">
        <f>IF(B$60="","T3M6",M90)</f>
        <v>Honduras</v>
      </c>
      <c r="E90" s="2">
        <v>3</v>
      </c>
      <c r="F90" s="8">
        <f ca="1">IF(B$60="",3,INT(RAND()*1000000))</f>
        <v>49403</v>
      </c>
      <c r="H90" s="1"/>
      <c r="I90" s="1"/>
      <c r="J90" s="1"/>
      <c r="K90" s="1"/>
      <c r="M90" s="11" t="s">
        <v>113</v>
      </c>
      <c r="P90" s="1"/>
      <c r="Q90" s="1"/>
      <c r="R90" s="1"/>
      <c r="S90" s="92"/>
      <c r="T90" s="85"/>
      <c r="U90" s="85"/>
      <c r="BC90" s="1"/>
      <c r="BD90" s="3"/>
      <c r="BF90" s="8"/>
      <c r="BH90" s="1"/>
      <c r="BI90" s="1"/>
      <c r="BJ90" s="1"/>
      <c r="BK90" s="1"/>
      <c r="BP90" s="1"/>
      <c r="BQ90" s="1"/>
      <c r="BR90" s="1"/>
      <c r="BS90" s="92"/>
      <c r="BT90" s="85"/>
      <c r="BU90" s="85"/>
    </row>
    <row r="91" spans="2:73" ht="12.75">
      <c r="B91" s="2" t="str">
        <f>VLOOKUP(7,C$85:D$92,2,FALSE)</f>
        <v>Costa Rica</v>
      </c>
      <c r="C91" s="1">
        <f t="shared" si="5"/>
        <v>1</v>
      </c>
      <c r="D91" s="3" t="str">
        <f>IF(B$60="","T3M7",M91)</f>
        <v>Mexico</v>
      </c>
      <c r="E91" s="2">
        <v>2</v>
      </c>
      <c r="F91" s="8">
        <f ca="1">IF(B$60="",2,INT(RAND()*1000000))</f>
        <v>850396</v>
      </c>
      <c r="H91" s="1"/>
      <c r="I91" s="1"/>
      <c r="J91" s="1"/>
      <c r="K91" s="1"/>
      <c r="M91" s="11" t="s">
        <v>114</v>
      </c>
      <c r="P91" s="1"/>
      <c r="Q91" s="1"/>
      <c r="R91" s="1"/>
      <c r="S91" s="92"/>
      <c r="T91" s="85"/>
      <c r="U91" s="85"/>
      <c r="BC91" s="1"/>
      <c r="BD91" s="3"/>
      <c r="BF91" s="8"/>
      <c r="BH91" s="1"/>
      <c r="BI91" s="1"/>
      <c r="BJ91" s="1"/>
      <c r="BK91" s="1"/>
      <c r="BP91" s="1"/>
      <c r="BQ91" s="1"/>
      <c r="BR91" s="1"/>
      <c r="BS91" s="92"/>
      <c r="BT91" s="85"/>
      <c r="BU91" s="85"/>
    </row>
    <row r="92" spans="2:73" ht="12.75">
      <c r="B92" s="2" t="str">
        <f>VLOOKUP(8,C$85:D$92,2,FALSE)</f>
        <v>Honduras</v>
      </c>
      <c r="C92" s="1">
        <f t="shared" si="5"/>
        <v>4</v>
      </c>
      <c r="D92" s="3" t="str">
        <f>IF(B$60="","T3M8",M92)</f>
        <v>USA</v>
      </c>
      <c r="E92" s="2">
        <v>1</v>
      </c>
      <c r="F92" s="8">
        <f ca="1">IF(B$60="",1,INT(RAND()*1000000))</f>
        <v>302956</v>
      </c>
      <c r="M92" s="11" t="s">
        <v>115</v>
      </c>
      <c r="P92" s="1"/>
      <c r="Q92" s="1"/>
      <c r="R92" s="1"/>
      <c r="S92" s="92"/>
      <c r="T92" s="85"/>
      <c r="U92" s="85"/>
      <c r="BC92" s="1"/>
      <c r="BD92" s="3"/>
      <c r="BF92" s="8"/>
      <c r="BH92" s="1"/>
      <c r="BI92" s="1"/>
      <c r="BJ92" s="1"/>
      <c r="BK92" s="1"/>
      <c r="BP92" s="1"/>
      <c r="BQ92" s="1"/>
      <c r="BR92" s="1"/>
      <c r="BS92" s="92"/>
      <c r="BT92" s="85"/>
      <c r="BU92" s="85"/>
    </row>
    <row r="93" spans="3:73" ht="12.75">
      <c r="C93" s="1"/>
      <c r="D93" s="3"/>
      <c r="F93" s="8"/>
      <c r="P93" s="1"/>
      <c r="Q93" s="1"/>
      <c r="R93" s="1"/>
      <c r="S93" s="92"/>
      <c r="T93" s="85"/>
      <c r="U93" s="85"/>
      <c r="BC93" s="1"/>
      <c r="BD93" s="3"/>
      <c r="BF93" s="8"/>
      <c r="BH93" s="1"/>
      <c r="BI93" s="1"/>
      <c r="BJ93" s="1"/>
      <c r="BK93" s="1"/>
      <c r="BP93" s="1"/>
      <c r="BQ93" s="1"/>
      <c r="BR93" s="1"/>
      <c r="BS93" s="92"/>
      <c r="BT93" s="85"/>
      <c r="BU93" s="85"/>
    </row>
    <row r="94" spans="2:73" ht="12.75">
      <c r="B94" s="16" t="s">
        <v>116</v>
      </c>
      <c r="C94" s="19" t="s">
        <v>8</v>
      </c>
      <c r="D94" s="20" t="s">
        <v>88</v>
      </c>
      <c r="E94" s="21"/>
      <c r="F94" s="19" t="s">
        <v>4</v>
      </c>
      <c r="M94" s="53" t="s">
        <v>89</v>
      </c>
      <c r="P94" s="1"/>
      <c r="Q94" s="1"/>
      <c r="R94" s="1"/>
      <c r="S94" s="92"/>
      <c r="T94" s="85"/>
      <c r="U94" s="85"/>
      <c r="BC94" s="1"/>
      <c r="BD94" s="3"/>
      <c r="BF94" s="8"/>
      <c r="BH94" s="1"/>
      <c r="BI94" s="1"/>
      <c r="BJ94" s="1"/>
      <c r="BK94" s="1"/>
      <c r="BP94" s="1"/>
      <c r="BQ94" s="1"/>
      <c r="BR94" s="1"/>
      <c r="BS94" s="92"/>
      <c r="BT94" s="85"/>
      <c r="BU94" s="85"/>
    </row>
    <row r="95" spans="2:65" ht="12.75">
      <c r="B95" s="2" t="str">
        <f>VLOOKUP(1,C$95:D$102,2,FALSE)</f>
        <v>Russland</v>
      </c>
      <c r="C95" s="1">
        <f aca="true" t="shared" si="6" ref="C95:C102">RANK(F95,$F$95:$F$102)</f>
        <v>4</v>
      </c>
      <c r="D95" s="3" t="str">
        <f>IF(B$60="","T4M1",M95)</f>
        <v>Bosnien-Herzg.</v>
      </c>
      <c r="E95" s="2">
        <v>8</v>
      </c>
      <c r="F95" s="8">
        <f ca="1">IF(B$60="",8,INT(RAND()*1000000))</f>
        <v>558510</v>
      </c>
      <c r="M95" s="11" t="s">
        <v>117</v>
      </c>
      <c r="BB95" s="16"/>
      <c r="BC95" s="19"/>
      <c r="BD95" s="20"/>
      <c r="BE95" s="21"/>
      <c r="BF95" s="19"/>
      <c r="BM95" s="53"/>
    </row>
    <row r="96" spans="1:84" s="18" customFormat="1" ht="12.75">
      <c r="A96" s="2"/>
      <c r="B96" s="2" t="str">
        <f>VLOOKUP(2,C$95:D$102,2,FALSE)</f>
        <v>Niederlande</v>
      </c>
      <c r="C96" s="1">
        <f t="shared" si="6"/>
        <v>6</v>
      </c>
      <c r="D96" s="3" t="str">
        <f>IF(B$60="","T4M2",M96)</f>
        <v>Frankreich</v>
      </c>
      <c r="E96" s="2">
        <v>7</v>
      </c>
      <c r="F96" s="8">
        <f ca="1">IF(B$60="",7,INT(RAND()*1000000))</f>
        <v>388662</v>
      </c>
      <c r="G96" s="2"/>
      <c r="H96" s="15"/>
      <c r="I96" s="15"/>
      <c r="J96" s="15"/>
      <c r="K96" s="9"/>
      <c r="L96" s="2"/>
      <c r="M96" s="11" t="s">
        <v>106</v>
      </c>
      <c r="P96" s="17"/>
      <c r="Q96" s="17"/>
      <c r="R96" s="17"/>
      <c r="S96" s="89"/>
      <c r="T96" s="90"/>
      <c r="U96" s="89"/>
      <c r="V96" s="91"/>
      <c r="W96" s="91"/>
      <c r="X96" s="91"/>
      <c r="Y96" s="91"/>
      <c r="AD96" s="2"/>
      <c r="AE96" s="10"/>
      <c r="AF96" s="2"/>
      <c r="AX96" s="17"/>
      <c r="AY96" s="17"/>
      <c r="BB96" s="2"/>
      <c r="BC96" s="1"/>
      <c r="BD96" s="3"/>
      <c r="BE96" s="2"/>
      <c r="BF96" s="8"/>
      <c r="BG96" s="17"/>
      <c r="BH96" s="17"/>
      <c r="BI96" s="17"/>
      <c r="BJ96" s="17"/>
      <c r="BK96" s="17"/>
      <c r="BM96" s="54"/>
      <c r="BP96" s="17"/>
      <c r="BQ96" s="17"/>
      <c r="BR96" s="17"/>
      <c r="BS96" s="89"/>
      <c r="BT96" s="90"/>
      <c r="BU96" s="89"/>
      <c r="BV96" s="91"/>
      <c r="BW96" s="91"/>
      <c r="BX96" s="91"/>
      <c r="BY96" s="91"/>
      <c r="CD96" s="2"/>
      <c r="CE96" s="10"/>
      <c r="CF96" s="2"/>
    </row>
    <row r="97" spans="2:73" ht="12.75">
      <c r="B97" s="2" t="str">
        <f>VLOOKUP(3,C$95:D$102,2,FALSE)</f>
        <v>Portugal</v>
      </c>
      <c r="C97" s="1">
        <f t="shared" si="6"/>
        <v>5</v>
      </c>
      <c r="D97" s="3" t="str">
        <f>IF(B$60="","T4M3",M97)</f>
        <v>Griechenland</v>
      </c>
      <c r="E97" s="2">
        <v>6</v>
      </c>
      <c r="F97" s="8">
        <f ca="1">IF(B$60="",6,INT(RAND()*1000000))</f>
        <v>531626</v>
      </c>
      <c r="M97" s="11" t="s">
        <v>119</v>
      </c>
      <c r="P97" s="1"/>
      <c r="Q97" s="1"/>
      <c r="R97" s="1"/>
      <c r="S97" s="92"/>
      <c r="T97" s="85"/>
      <c r="U97" s="85"/>
      <c r="BC97" s="1"/>
      <c r="BD97" s="3"/>
      <c r="BF97" s="8"/>
      <c r="BH97" s="1"/>
      <c r="BI97" s="1"/>
      <c r="BJ97" s="1"/>
      <c r="BK97" s="1"/>
      <c r="BP97" s="1"/>
      <c r="BQ97" s="1"/>
      <c r="BR97" s="1"/>
      <c r="BS97" s="92"/>
      <c r="BT97" s="85"/>
      <c r="BU97" s="85"/>
    </row>
    <row r="98" spans="2:73" ht="12.75">
      <c r="B98" s="2" t="str">
        <f>VLOOKUP(4,C$95:D$102,2,FALSE)</f>
        <v>Bosnien-Herzg.</v>
      </c>
      <c r="C98" s="1">
        <f t="shared" si="6"/>
        <v>7</v>
      </c>
      <c r="D98" s="3" t="str">
        <f>IF(B$60="","T4M4",M98)</f>
        <v>Kroatien</v>
      </c>
      <c r="E98" s="2">
        <v>5</v>
      </c>
      <c r="F98" s="8">
        <f ca="1">IF(B$60="",5,INT(RAND()*1000000))</f>
        <v>216087</v>
      </c>
      <c r="M98" s="11" t="s">
        <v>120</v>
      </c>
      <c r="P98" s="1"/>
      <c r="Q98" s="1"/>
      <c r="R98" s="1"/>
      <c r="S98" s="92"/>
      <c r="T98" s="85"/>
      <c r="U98" s="85"/>
      <c r="BC98" s="1"/>
      <c r="BD98" s="3"/>
      <c r="BF98" s="8"/>
      <c r="BH98" s="1"/>
      <c r="BI98" s="1"/>
      <c r="BJ98" s="1"/>
      <c r="BK98" s="1"/>
      <c r="BP98" s="1"/>
      <c r="BQ98" s="1"/>
      <c r="BR98" s="1"/>
      <c r="BS98" s="92"/>
      <c r="BT98" s="85"/>
      <c r="BU98" s="85"/>
    </row>
    <row r="99" spans="2:73" ht="12.75">
      <c r="B99" s="2" t="str">
        <f>VLOOKUP(5,C$95:D$102,2,FALSE)</f>
        <v>Griechenland</v>
      </c>
      <c r="C99" s="1">
        <f t="shared" si="6"/>
        <v>8</v>
      </c>
      <c r="D99" s="3" t="str">
        <f>IF(B$60="","T4M5",M99)</f>
        <v>Italien</v>
      </c>
      <c r="E99" s="2">
        <v>4</v>
      </c>
      <c r="F99" s="8">
        <f ca="1">IF(B$60="",4,INT(RAND()*1000000))</f>
        <v>67545</v>
      </c>
      <c r="M99" s="11" t="s">
        <v>121</v>
      </c>
      <c r="P99" s="1"/>
      <c r="Q99" s="1"/>
      <c r="R99" s="1"/>
      <c r="S99" s="92"/>
      <c r="T99" s="85"/>
      <c r="U99" s="85"/>
      <c r="BC99" s="1"/>
      <c r="BD99" s="3"/>
      <c r="BF99" s="8"/>
      <c r="BH99" s="1"/>
      <c r="BI99" s="1"/>
      <c r="BJ99" s="1"/>
      <c r="BK99" s="1"/>
      <c r="BP99" s="1"/>
      <c r="BQ99" s="1"/>
      <c r="BR99" s="1"/>
      <c r="BS99" s="92"/>
      <c r="BT99" s="85"/>
      <c r="BU99" s="85"/>
    </row>
    <row r="100" spans="2:73" ht="12.75">
      <c r="B100" s="2" t="str">
        <f>VLOOKUP(6,C$95:D$102,2,FALSE)</f>
        <v>Frankreich</v>
      </c>
      <c r="C100" s="1">
        <f t="shared" si="6"/>
        <v>2</v>
      </c>
      <c r="D100" s="3" t="str">
        <f>IF(B$60="","T4M6",M100)</f>
        <v>Niederlande</v>
      </c>
      <c r="E100" s="2">
        <v>3</v>
      </c>
      <c r="F100" s="8">
        <f ca="1">IF(B$60="",3,INT(RAND()*1000000))</f>
        <v>668878</v>
      </c>
      <c r="M100" s="11" t="s">
        <v>122</v>
      </c>
      <c r="P100" s="1"/>
      <c r="Q100" s="1"/>
      <c r="R100" s="1"/>
      <c r="S100" s="92"/>
      <c r="T100" s="85"/>
      <c r="U100" s="85"/>
      <c r="BC100" s="1"/>
      <c r="BD100" s="3"/>
      <c r="BF100" s="8"/>
      <c r="BH100" s="1"/>
      <c r="BI100" s="1"/>
      <c r="BJ100" s="1"/>
      <c r="BK100" s="1"/>
      <c r="BP100" s="1"/>
      <c r="BQ100" s="1"/>
      <c r="BR100" s="1"/>
      <c r="BS100" s="92"/>
      <c r="BT100" s="85"/>
      <c r="BU100" s="85"/>
    </row>
    <row r="101" spans="2:58" ht="12.75">
      <c r="B101" s="2" t="str">
        <f>VLOOKUP(7,C$95:D$102,2,FALSE)</f>
        <v>Kroatien</v>
      </c>
      <c r="C101" s="1">
        <f t="shared" si="6"/>
        <v>3</v>
      </c>
      <c r="D101" s="3" t="str">
        <f>IF(B$60="","T4M7",M101)</f>
        <v>Portugal</v>
      </c>
      <c r="E101" s="2">
        <v>2</v>
      </c>
      <c r="F101" s="8">
        <f ca="1">IF(B$60="",2,INT(RAND()*1000000))</f>
        <v>560918</v>
      </c>
      <c r="M101" s="11" t="s">
        <v>123</v>
      </c>
      <c r="BC101" s="1"/>
      <c r="BD101" s="3"/>
      <c r="BF101" s="8"/>
    </row>
    <row r="102" spans="1:84" s="18" customFormat="1" ht="12.75">
      <c r="A102" s="2"/>
      <c r="B102" s="2" t="str">
        <f>VLOOKUP(8,C$95:D$102,2,FALSE)</f>
        <v>Italien</v>
      </c>
      <c r="C102" s="1">
        <f t="shared" si="6"/>
        <v>1</v>
      </c>
      <c r="D102" s="3" t="str">
        <f>IF(B$60="","T4M8",M102)</f>
        <v>Russland</v>
      </c>
      <c r="E102" s="2">
        <v>1</v>
      </c>
      <c r="F102" s="8">
        <f ca="1">IF(B$60="",1,INT(RAND()*1000000))</f>
        <v>789800</v>
      </c>
      <c r="G102" s="2"/>
      <c r="H102" s="15"/>
      <c r="I102" s="15"/>
      <c r="J102" s="15"/>
      <c r="K102" s="9"/>
      <c r="L102" s="2"/>
      <c r="M102" s="11" t="s">
        <v>124</v>
      </c>
      <c r="P102" s="17"/>
      <c r="Q102" s="17"/>
      <c r="R102" s="17"/>
      <c r="S102" s="89"/>
      <c r="T102" s="90"/>
      <c r="U102" s="89"/>
      <c r="V102" s="91"/>
      <c r="W102" s="91"/>
      <c r="X102" s="91"/>
      <c r="Y102" s="91"/>
      <c r="AD102" s="2"/>
      <c r="AE102" s="10"/>
      <c r="AF102" s="2"/>
      <c r="AX102" s="17"/>
      <c r="AY102" s="17"/>
      <c r="BB102" s="2"/>
      <c r="BC102" s="1"/>
      <c r="BD102" s="3"/>
      <c r="BE102" s="2"/>
      <c r="BF102" s="8"/>
      <c r="BG102" s="17"/>
      <c r="BH102" s="17"/>
      <c r="BI102" s="17"/>
      <c r="BJ102" s="17"/>
      <c r="BK102" s="17"/>
      <c r="BM102" s="54"/>
      <c r="BP102" s="17"/>
      <c r="BQ102" s="17"/>
      <c r="BR102" s="17"/>
      <c r="BS102" s="89"/>
      <c r="BT102" s="90"/>
      <c r="BU102" s="89"/>
      <c r="BV102" s="91"/>
      <c r="BW102" s="91"/>
      <c r="BX102" s="91"/>
      <c r="BY102" s="91"/>
      <c r="CD102" s="2"/>
      <c r="CE102" s="10"/>
      <c r="CF102" s="2"/>
    </row>
    <row r="103" spans="8:73" ht="12.75">
      <c r="H103" s="2"/>
      <c r="I103" s="2"/>
      <c r="J103" s="2"/>
      <c r="K103" s="2"/>
      <c r="M103" s="2"/>
      <c r="P103" s="1"/>
      <c r="Q103" s="1"/>
      <c r="R103" s="1"/>
      <c r="S103" s="92"/>
      <c r="T103" s="85"/>
      <c r="U103" s="85"/>
      <c r="BC103" s="1"/>
      <c r="BD103" s="3"/>
      <c r="BF103" s="8"/>
      <c r="BH103" s="1"/>
      <c r="BI103" s="1"/>
      <c r="BJ103" s="1"/>
      <c r="BK103" s="1"/>
      <c r="BP103" s="1"/>
      <c r="BQ103" s="1"/>
      <c r="BR103" s="1"/>
      <c r="BS103" s="92"/>
      <c r="BT103" s="85"/>
      <c r="BU103" s="85"/>
    </row>
    <row r="104" spans="8:73" ht="12.75">
      <c r="H104" s="2"/>
      <c r="I104" s="2"/>
      <c r="J104" s="2"/>
      <c r="K104" s="2"/>
      <c r="M104" s="2"/>
      <c r="P104" s="1"/>
      <c r="Q104" s="1"/>
      <c r="R104" s="1"/>
      <c r="S104" s="92"/>
      <c r="T104" s="85"/>
      <c r="U104" s="85"/>
      <c r="BC104" s="1"/>
      <c r="BD104" s="3"/>
      <c r="BF104" s="8"/>
      <c r="BH104" s="1"/>
      <c r="BI104" s="1"/>
      <c r="BJ104" s="1"/>
      <c r="BK104" s="1"/>
      <c r="BP104" s="1"/>
      <c r="BQ104" s="1"/>
      <c r="BR104" s="1"/>
      <c r="BS104" s="92"/>
      <c r="BT104" s="85"/>
      <c r="BU104" s="85"/>
    </row>
    <row r="105" spans="8:73" ht="12.75">
      <c r="H105" s="2"/>
      <c r="I105" s="2"/>
      <c r="J105" s="2"/>
      <c r="K105" s="2"/>
      <c r="M105" s="2"/>
      <c r="P105" s="1"/>
      <c r="Q105" s="1"/>
      <c r="R105" s="1"/>
      <c r="S105" s="92"/>
      <c r="T105" s="85"/>
      <c r="U105" s="85"/>
      <c r="BB105" s="16"/>
      <c r="BC105" s="19"/>
      <c r="BD105" s="20"/>
      <c r="BE105" s="21"/>
      <c r="BF105" s="19"/>
      <c r="BH105" s="1"/>
      <c r="BI105" s="1"/>
      <c r="BJ105" s="1"/>
      <c r="BK105" s="1"/>
      <c r="BM105" s="53"/>
      <c r="BP105" s="1"/>
      <c r="BQ105" s="1"/>
      <c r="BR105" s="1"/>
      <c r="BS105" s="92"/>
      <c r="BT105" s="85"/>
      <c r="BU105" s="85"/>
    </row>
    <row r="106" spans="8:73" ht="12.75">
      <c r="H106" s="2"/>
      <c r="I106" s="2"/>
      <c r="J106" s="2"/>
      <c r="K106" s="2"/>
      <c r="M106" s="2"/>
      <c r="P106" s="1"/>
      <c r="Q106" s="1"/>
      <c r="R106" s="1"/>
      <c r="S106" s="92"/>
      <c r="T106" s="85"/>
      <c r="U106" s="85"/>
      <c r="BC106" s="1"/>
      <c r="BD106" s="3"/>
      <c r="BF106" s="8"/>
      <c r="BH106" s="1"/>
      <c r="BI106" s="1"/>
      <c r="BJ106" s="1"/>
      <c r="BK106" s="1"/>
      <c r="BP106" s="1"/>
      <c r="BQ106" s="1"/>
      <c r="BR106" s="1"/>
      <c r="BS106" s="92"/>
      <c r="BT106" s="85"/>
      <c r="BU106" s="85"/>
    </row>
    <row r="107" spans="8:58" ht="12.75">
      <c r="H107" s="2"/>
      <c r="I107" s="2"/>
      <c r="J107" s="2"/>
      <c r="K107" s="2"/>
      <c r="M107" s="2"/>
      <c r="BC107" s="1"/>
      <c r="BD107" s="3"/>
      <c r="BF107" s="8"/>
    </row>
    <row r="108" spans="16:84" s="18" customFormat="1" ht="12.75">
      <c r="P108" s="17"/>
      <c r="Q108" s="17"/>
      <c r="R108" s="17"/>
      <c r="S108" s="89"/>
      <c r="T108" s="90"/>
      <c r="U108" s="89"/>
      <c r="V108" s="91"/>
      <c r="W108" s="91"/>
      <c r="X108" s="91"/>
      <c r="Y108" s="91"/>
      <c r="AD108" s="2"/>
      <c r="AE108" s="10"/>
      <c r="AF108" s="2"/>
      <c r="AX108" s="17"/>
      <c r="AY108" s="17"/>
      <c r="BB108" s="2"/>
      <c r="BC108" s="1"/>
      <c r="BD108" s="3"/>
      <c r="BE108" s="2"/>
      <c r="BF108" s="8"/>
      <c r="BG108" s="17"/>
      <c r="BH108" s="17"/>
      <c r="BI108" s="17"/>
      <c r="BJ108" s="17"/>
      <c r="BK108" s="17"/>
      <c r="BM108" s="54"/>
      <c r="BP108" s="17"/>
      <c r="BQ108" s="17"/>
      <c r="BR108" s="17"/>
      <c r="BS108" s="89"/>
      <c r="BT108" s="90"/>
      <c r="BU108" s="89"/>
      <c r="BV108" s="91"/>
      <c r="BW108" s="91"/>
      <c r="BX108" s="91"/>
      <c r="BY108" s="91"/>
      <c r="CD108" s="2"/>
      <c r="CE108" s="10"/>
      <c r="CF108" s="2"/>
    </row>
    <row r="109" spans="8:73" ht="12.75">
      <c r="H109" s="2"/>
      <c r="I109" s="2"/>
      <c r="J109" s="2"/>
      <c r="K109" s="2"/>
      <c r="M109" s="2"/>
      <c r="P109" s="1"/>
      <c r="Q109" s="1"/>
      <c r="R109" s="1"/>
      <c r="S109" s="92"/>
      <c r="T109" s="85"/>
      <c r="U109" s="85"/>
      <c r="BC109" s="1"/>
      <c r="BD109" s="3"/>
      <c r="BF109" s="8"/>
      <c r="BH109" s="1"/>
      <c r="BI109" s="1"/>
      <c r="BJ109" s="1"/>
      <c r="BK109" s="1"/>
      <c r="BP109" s="1"/>
      <c r="BQ109" s="1"/>
      <c r="BR109" s="1"/>
      <c r="BS109" s="92"/>
      <c r="BT109" s="85"/>
      <c r="BU109" s="85"/>
    </row>
    <row r="110" spans="8:73" ht="12.75">
      <c r="H110" s="2"/>
      <c r="I110" s="2"/>
      <c r="J110" s="2"/>
      <c r="K110" s="2"/>
      <c r="M110" s="2"/>
      <c r="P110" s="1"/>
      <c r="Q110" s="1"/>
      <c r="R110" s="1"/>
      <c r="S110" s="92"/>
      <c r="T110" s="85"/>
      <c r="U110" s="85"/>
      <c r="BC110" s="1"/>
      <c r="BD110" s="3"/>
      <c r="BF110" s="8"/>
      <c r="BH110" s="1"/>
      <c r="BI110" s="1"/>
      <c r="BJ110" s="1"/>
      <c r="BK110" s="1"/>
      <c r="BP110" s="1"/>
      <c r="BQ110" s="1"/>
      <c r="BR110" s="1"/>
      <c r="BS110" s="92"/>
      <c r="BT110" s="85"/>
      <c r="BU110" s="85"/>
    </row>
    <row r="111" spans="8:73" ht="12.75">
      <c r="H111" s="2"/>
      <c r="I111" s="2"/>
      <c r="J111" s="2"/>
      <c r="K111" s="2"/>
      <c r="M111" s="2"/>
      <c r="P111" s="1"/>
      <c r="Q111" s="1"/>
      <c r="R111" s="1"/>
      <c r="S111" s="92"/>
      <c r="T111" s="85"/>
      <c r="U111" s="85"/>
      <c r="BC111" s="1"/>
      <c r="BD111" s="3"/>
      <c r="BF111" s="8"/>
      <c r="BH111" s="1"/>
      <c r="BI111" s="1"/>
      <c r="BJ111" s="1"/>
      <c r="BK111" s="1"/>
      <c r="BP111" s="1"/>
      <c r="BQ111" s="1"/>
      <c r="BR111" s="1"/>
      <c r="BS111" s="92"/>
      <c r="BT111" s="85"/>
      <c r="BU111" s="85"/>
    </row>
    <row r="112" spans="8:73" ht="12.75">
      <c r="H112" s="2"/>
      <c r="I112" s="2"/>
      <c r="J112" s="2"/>
      <c r="K112" s="2"/>
      <c r="M112" s="2"/>
      <c r="P112" s="1"/>
      <c r="Q112" s="1"/>
      <c r="R112" s="1"/>
      <c r="S112" s="92"/>
      <c r="T112" s="85"/>
      <c r="U112" s="85"/>
      <c r="BC112" s="1"/>
      <c r="BD112" s="3"/>
      <c r="BF112" s="8"/>
      <c r="BH112" s="1"/>
      <c r="BI112" s="1"/>
      <c r="BJ112" s="1"/>
      <c r="BK112" s="1"/>
      <c r="BP112" s="1"/>
      <c r="BQ112" s="1"/>
      <c r="BR112" s="1"/>
      <c r="BS112" s="92"/>
      <c r="BT112" s="85"/>
      <c r="BU112" s="85"/>
    </row>
    <row r="113" spans="8:58" ht="12.75">
      <c r="H113" s="2"/>
      <c r="I113" s="2"/>
      <c r="J113" s="2"/>
      <c r="K113" s="2"/>
      <c r="M113" s="2"/>
      <c r="BC113" s="1"/>
      <c r="BD113" s="3"/>
      <c r="BF113" s="8"/>
    </row>
    <row r="114" spans="8:58" ht="12.75">
      <c r="H114" s="2"/>
      <c r="I114" s="2"/>
      <c r="J114" s="2"/>
      <c r="K114" s="2"/>
      <c r="M114" s="2"/>
      <c r="BC114" s="1"/>
      <c r="BD114" s="3"/>
      <c r="BF114" s="8"/>
    </row>
    <row r="115" spans="8:65" ht="12.75">
      <c r="H115" s="2"/>
      <c r="I115" s="2"/>
      <c r="J115" s="2"/>
      <c r="K115" s="2"/>
      <c r="M115" s="2"/>
      <c r="BB115" s="16"/>
      <c r="BC115" s="19"/>
      <c r="BD115" s="20"/>
      <c r="BE115" s="21"/>
      <c r="BF115" s="19"/>
      <c r="BM115" s="53"/>
    </row>
    <row r="116" spans="8:58" ht="12.75">
      <c r="H116" s="2"/>
      <c r="I116" s="2"/>
      <c r="J116" s="2"/>
      <c r="K116" s="2"/>
      <c r="M116" s="2"/>
      <c r="BC116" s="1"/>
      <c r="BD116" s="3"/>
      <c r="BF116" s="8"/>
    </row>
    <row r="117" spans="8:58" ht="12.75">
      <c r="H117" s="2"/>
      <c r="I117" s="2"/>
      <c r="J117" s="2"/>
      <c r="K117" s="2"/>
      <c r="M117" s="2"/>
      <c r="BC117" s="1"/>
      <c r="BD117" s="3"/>
      <c r="BF117" s="8"/>
    </row>
    <row r="118" spans="8:58" ht="12.75">
      <c r="H118" s="2"/>
      <c r="I118" s="2"/>
      <c r="J118" s="2"/>
      <c r="K118" s="2"/>
      <c r="M118" s="2"/>
      <c r="BC118" s="1"/>
      <c r="BD118" s="3"/>
      <c r="BF118" s="8"/>
    </row>
    <row r="119" spans="8:58" ht="12.75">
      <c r="H119" s="2"/>
      <c r="I119" s="2"/>
      <c r="J119" s="2"/>
      <c r="K119" s="2"/>
      <c r="M119" s="2"/>
      <c r="BC119" s="1"/>
      <c r="BD119" s="3"/>
      <c r="BF119" s="8"/>
    </row>
    <row r="120" spans="8:58" ht="12.75">
      <c r="H120" s="2"/>
      <c r="I120" s="2"/>
      <c r="J120" s="2"/>
      <c r="K120" s="2"/>
      <c r="M120" s="2"/>
      <c r="BC120" s="1"/>
      <c r="BD120" s="3"/>
      <c r="BF120" s="8"/>
    </row>
    <row r="121" spans="8:58" ht="12.75">
      <c r="H121" s="2"/>
      <c r="I121" s="2"/>
      <c r="J121" s="2"/>
      <c r="K121" s="2"/>
      <c r="M121" s="2"/>
      <c r="BC121" s="1"/>
      <c r="BD121" s="3"/>
      <c r="BF121" s="8"/>
    </row>
    <row r="122" spans="8:58" ht="12.75">
      <c r="H122" s="2"/>
      <c r="I122" s="2"/>
      <c r="J122" s="2"/>
      <c r="K122" s="2"/>
      <c r="M122" s="2"/>
      <c r="BC122" s="1"/>
      <c r="BD122" s="3"/>
      <c r="BF122" s="8"/>
    </row>
    <row r="123" spans="8:58" ht="12.75">
      <c r="H123" s="2"/>
      <c r="I123" s="2"/>
      <c r="J123" s="2"/>
      <c r="K123" s="2"/>
      <c r="M123" s="2"/>
      <c r="BC123" s="1"/>
      <c r="BD123" s="3"/>
      <c r="BF123" s="8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alfware Bernd Schubert</cp:lastModifiedBy>
  <cp:lastPrinted>2006-05-21T10:46:31Z</cp:lastPrinted>
  <dcterms:created xsi:type="dcterms:W3CDTF">2000-06-07T05:43:06Z</dcterms:created>
  <dcterms:modified xsi:type="dcterms:W3CDTF">2013-12-15T20:29:00Z</dcterms:modified>
  <cp:category/>
  <cp:version/>
  <cp:contentType/>
  <cp:contentStatus/>
</cp:coreProperties>
</file>