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650" tabRatio="597" activeTab="1"/>
  </bookViews>
  <sheets>
    <sheet name="Liesmich" sheetId="1" r:id="rId1"/>
    <sheet name="Dein Tip" sheetId="2" r:id="rId2"/>
    <sheet name="Bernds Tip" sheetId="3" r:id="rId3"/>
  </sheets>
  <definedNames>
    <definedName name="_xlnm.Print_Area" localSheetId="2">'Bernds Tip'!$A$1:$Q$62</definedName>
    <definedName name="_xlnm.Print_Area" localSheetId="1">'Dein Tip'!$A$1:$P$62</definedName>
  </definedNames>
  <calcPr fullCalcOnLoad="1"/>
</workbook>
</file>

<file path=xl/sharedStrings.xml><?xml version="1.0" encoding="utf-8"?>
<sst xmlns="http://schemas.openxmlformats.org/spreadsheetml/2006/main" count="1232" uniqueCount="219">
  <si>
    <t>Punkteverteilung</t>
  </si>
  <si>
    <t>Die Ergebnisse der Spiele dieses Turniers vorauszusagen, ist doch sicher nicht schwer.</t>
  </si>
  <si>
    <t>In allen Vorrundenspielen</t>
  </si>
  <si>
    <t>Man muß nicht viel vom Fußball verstehen (es geht auch ohne, wie man am FC Hansa sieht).</t>
  </si>
  <si>
    <t xml:space="preserve">Es reicht ein wenig Glück (Grübeln schadet nur, wie die recht erfolgreichen Voraussagen vom Zufallsgenerator zeigten). </t>
  </si>
  <si>
    <t>Bitte nur in der Arbeitsmappe "Dein Tip" eintragen.</t>
  </si>
  <si>
    <t>Bis zum Stichtag werde auch ich mir vorbehalten, meinen "Bernds Tip" noch geringfügig anzupassen, wenn mir so ist.</t>
  </si>
  <si>
    <t>maximal mögliche Punkte</t>
  </si>
  <si>
    <t>Mindestens jedoch nach der Vorrunde und nach dem Finale gibt es einen Stand auch per E-Mail.</t>
  </si>
  <si>
    <t>In den Viertelfinalen</t>
  </si>
  <si>
    <t>Anzahl Spiele</t>
  </si>
  <si>
    <t>Aber Nobody und Random kriegen keine Preise.</t>
  </si>
  <si>
    <t>Gleiches gilt für die, die nichts eingezahlt haben. Hier bekommen dann die Nächstplazierten.</t>
  </si>
  <si>
    <t>Die Einsätze sollten natürlich bis zum Stichtag auch bezahlt sein.</t>
  </si>
  <si>
    <t>In den Halbfinalen</t>
  </si>
  <si>
    <t>Noch ein paar Tips, aus der Erfahrung des letzten Spiels:</t>
  </si>
  <si>
    <t>was Ihr bei offengelassenen Feldern gewollt hattet.</t>
  </si>
  <si>
    <t>Formeln kaputt machen kann ja jeder.</t>
  </si>
  <si>
    <t>wieder Experten mit Remis bei den K.O.-Spielen gab, habe ich nun einen Hinweis in die Tiptabelle eingebaut :-(</t>
  </si>
  <si>
    <t>Ich mache das für Euch (in der Mappe "Ergebnisse" der neuen, gemeinsamen Tabelle.</t>
  </si>
  <si>
    <t>Schummeln oder die Punkte selber verbiegen bringt also gar nichts.</t>
  </si>
  <si>
    <t>Wenn jemand mal nicht einverstanden ist, melde er sich bei mir per Email und wir klären das dann, wo ggf. der Fehler liegt.</t>
  </si>
  <si>
    <t>Nun freue ich mich auf Eure rege Teilnahme!</t>
  </si>
  <si>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</si>
  <si>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</si>
  <si>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</si>
  <si>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</si>
  <si>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</si>
  <si>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</si>
  <si>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</si>
  <si>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</si>
  <si>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</si>
  <si>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</si>
  <si>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Datum/Zeit</t>
  </si>
  <si>
    <t>Spielort</t>
  </si>
  <si>
    <t>-</t>
  </si>
  <si>
    <t>:</t>
  </si>
  <si>
    <t>1A</t>
  </si>
  <si>
    <t>2A</t>
  </si>
  <si>
    <t>Gruppe B</t>
  </si>
  <si>
    <t>Niederlande</t>
  </si>
  <si>
    <t>Deutschland</t>
  </si>
  <si>
    <t>1B</t>
  </si>
  <si>
    <t>2B</t>
  </si>
  <si>
    <t>Gruppe C</t>
  </si>
  <si>
    <t>Spanien</t>
  </si>
  <si>
    <t>1C</t>
  </si>
  <si>
    <t>2C</t>
  </si>
  <si>
    <t>Gruppe D</t>
  </si>
  <si>
    <t>Frankreich</t>
  </si>
  <si>
    <t>England</t>
  </si>
  <si>
    <t>1D</t>
  </si>
  <si>
    <t>2D</t>
  </si>
  <si>
    <t>Viertelfinale</t>
  </si>
  <si>
    <t>VF1</t>
  </si>
  <si>
    <t>VF2</t>
  </si>
  <si>
    <t>VF3</t>
  </si>
  <si>
    <t>VF4</t>
  </si>
  <si>
    <t>Halbfinale</t>
  </si>
  <si>
    <t>F1</t>
  </si>
  <si>
    <t>F2</t>
  </si>
  <si>
    <t>Finale</t>
  </si>
  <si>
    <t>ok</t>
  </si>
  <si>
    <t>OK</t>
  </si>
  <si>
    <t>SP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</si>
  <si>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</si>
  <si>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</si>
  <si>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</si>
  <si>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</si>
  <si>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</si>
  <si>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</si>
  <si>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</si>
  <si>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</si>
  <si>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</si>
  <si>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Gruppe E</t>
  </si>
  <si>
    <t>1E</t>
  </si>
  <si>
    <t>2E</t>
  </si>
  <si>
    <t>Gruppe F</t>
  </si>
  <si>
    <t>1F</t>
  </si>
  <si>
    <t>2F</t>
  </si>
  <si>
    <t>Achtelfinale</t>
  </si>
  <si>
    <t>AF1</t>
  </si>
  <si>
    <t>AF2</t>
  </si>
  <si>
    <t>AF3</t>
  </si>
  <si>
    <t>AF4</t>
  </si>
  <si>
    <t>AF5</t>
  </si>
  <si>
    <t>AF6</t>
  </si>
  <si>
    <t>AF7</t>
  </si>
  <si>
    <t>AF8</t>
  </si>
  <si>
    <t>HF1</t>
  </si>
  <si>
    <t>HF2</t>
  </si>
  <si>
    <t>Um Platz 3</t>
  </si>
  <si>
    <t xml:space="preserve">Richtiges Ergebnis </t>
  </si>
  <si>
    <t xml:space="preserve">Richtige Differenz  </t>
  </si>
  <si>
    <t xml:space="preserve">Sieg/Remis richtig  </t>
  </si>
  <si>
    <t>Mannschaft kommt weiter</t>
  </si>
  <si>
    <t>Anzahl Achtelfinalisten</t>
  </si>
  <si>
    <t>In den Achtelfinalen</t>
  </si>
  <si>
    <t xml:space="preserve">Sieger richtig      </t>
  </si>
  <si>
    <t>Im Finale, Spiel um Platz 3</t>
  </si>
  <si>
    <t>Da ich unsere Tipspiele bisher mit Excel-Format 95 schrieb, weiß ich, das funktioniert auch noch prima.</t>
  </si>
  <si>
    <t>Ich verspreche aber: alles, was Ihr mir schickt, werde ich versuchen zu öffnen/konvertieren und es wird auch eine Lösung</t>
  </si>
  <si>
    <t>geben, daß Ihr alle Excel-Tabellen von mir lesen/verändern werden könnt.</t>
  </si>
  <si>
    <t>Die jeweiligen Punkte erscheinen in Spalte AX und CX Eurer Tips sowie als Summe in unserer Tiprunden-Mappe!</t>
  </si>
  <si>
    <t>Für die Spiele ab Achtelfinale bitte das Ergebnisse nach Verlängerung und ggf. Elfmeterschießen berücksichtigen,</t>
  </si>
  <si>
    <t>Zur Technik, eigentlich sollte alles bei jedem ganz einfach mit Standard Excel funktionieren, ich habe keine</t>
  </si>
  <si>
    <t>zusammenfassen und eine neue Tabelle daraus erstellen.</t>
  </si>
  <si>
    <t>dann den automatisch angesetzten KO-Runden folgen und die jeweiligen Sieger bestimmen.</t>
  </si>
  <si>
    <t>Das Ergebnis kann natürlich auch richtig werden, wenn Du ganz andere Mannschaften getippt hattest,</t>
  </si>
  <si>
    <t>Die Summe der Punkte wird automatisch bestimmt, auch die/der Spieler(in) mit den meisten Punkten .</t>
  </si>
  <si>
    <r>
      <t>Es ist also jetzt keine unlösbare Excel-Augabe zu erledigen</t>
    </r>
    <r>
      <rPr>
        <b/>
        <sz val="10"/>
        <color indexed="12"/>
        <rFont val="Arial"/>
        <family val="2"/>
      </rPr>
      <t xml:space="preserve"> - einfach nur die Ergebnisse der Vorrunde eintragen,</t>
    </r>
  </si>
  <si>
    <t>Wer 200 Punkte hat, wird zur Doping-Kontrolle gebeten.</t>
  </si>
  <si>
    <r>
      <t xml:space="preserve">Anders als in der Vorrunde ist aber die Differenz egal </t>
    </r>
    <r>
      <rPr>
        <b/>
        <sz val="10"/>
        <color indexed="12"/>
        <rFont val="Arial"/>
        <family val="2"/>
      </rPr>
      <t xml:space="preserve">(ein 2:1 ist gleichwertig einem 3:0), </t>
    </r>
  </si>
  <si>
    <t>Bitte alles durch tippen, Gruppen- und Final-Runden, vollständig und korrekt - gleiches Recht für alle.</t>
  </si>
  <si>
    <t>In der Vorrunde gibt es 5, 3 oder 1 Punkt.</t>
  </si>
  <si>
    <r>
      <t>Punkte vergeben.</t>
    </r>
    <r>
      <rPr>
        <b/>
        <sz val="10"/>
        <rFont val="Arial"/>
        <family val="2"/>
      </rPr>
      <t xml:space="preserve"> Ich werde versuchen, immer alles zeitnah zu aktualisieren und stelle es ins Internet;</t>
    </r>
  </si>
  <si>
    <r>
      <t>Die besten 5 bekommen Preise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(35 ,25, 20, 12 bzw. 8% der eingezahlten Beiträge).</t>
    </r>
  </si>
  <si>
    <r>
      <t xml:space="preserve">Normalerweise sind </t>
    </r>
    <r>
      <rPr>
        <b/>
        <sz val="10"/>
        <color indexed="10"/>
        <rFont val="Arial"/>
        <family val="2"/>
      </rPr>
      <t>die umrandeten Felder eingabefähig</t>
    </r>
    <r>
      <rPr>
        <b/>
        <sz val="10"/>
        <rFont val="Arial"/>
        <family val="2"/>
      </rPr>
      <t xml:space="preserve"> - Ihr müßt also die anderen, geschützten, nicht öffnen -</t>
    </r>
  </si>
  <si>
    <r>
      <t xml:space="preserve">d.h. hier gewinnt auf jeden Fall ein Team </t>
    </r>
    <r>
      <rPr>
        <b/>
        <sz val="10"/>
        <color indexed="12"/>
        <rFont val="Arial"/>
        <family val="2"/>
      </rPr>
      <t>(Remis verschenkt nur Punkte</t>
    </r>
    <r>
      <rPr>
        <b/>
        <sz val="10"/>
        <rFont val="Arial"/>
        <family val="2"/>
      </rPr>
      <t>). Da es im letzten Jahr trotz aller Hinweise</t>
    </r>
  </si>
  <si>
    <r>
      <t xml:space="preserve">und </t>
    </r>
    <r>
      <rPr>
        <b/>
        <sz val="10"/>
        <color indexed="10"/>
        <rFont val="Arial"/>
        <family val="2"/>
      </rPr>
      <t>möglicherweise kann dann sonst ich</t>
    </r>
    <r>
      <rPr>
        <b/>
        <sz val="10"/>
        <rFont val="Arial"/>
        <family val="2"/>
      </rPr>
      <t xml:space="preserve"> oder jemand anderes </t>
    </r>
    <r>
      <rPr>
        <b/>
        <sz val="10"/>
        <color indexed="10"/>
        <rFont val="Arial"/>
        <family val="2"/>
      </rPr>
      <t>es nicht lesen</t>
    </r>
    <r>
      <rPr>
        <b/>
        <sz val="10"/>
        <rFont val="Arial"/>
        <family val="2"/>
      </rPr>
      <t xml:space="preserve"> (beim letzten Mal gab es so einen Fall).</t>
    </r>
  </si>
  <si>
    <r>
      <t xml:space="preserve">Die kann ich immer abrufen, </t>
    </r>
    <r>
      <rPr>
        <b/>
        <sz val="10"/>
        <color indexed="12"/>
        <rFont val="Arial"/>
        <family val="2"/>
      </rPr>
      <t>auch wenn ich selbst zur Verwirrung vielleicht von unterwegs mal eine andere benutze.</t>
    </r>
  </si>
  <si>
    <r>
      <t xml:space="preserve">Hier noch ein paar </t>
    </r>
    <r>
      <rPr>
        <b/>
        <sz val="10"/>
        <color indexed="10"/>
        <rFont val="Arial"/>
        <family val="2"/>
      </rPr>
      <t>Hinweise für das Punktesystem</t>
    </r>
    <r>
      <rPr>
        <b/>
        <sz val="10"/>
        <rFont val="Arial"/>
        <family val="2"/>
      </rPr>
      <t xml:space="preserve"> (Erklärungen siehe Spalte B/C, später in den gemeinsamen Tips DA/DB).</t>
    </r>
  </si>
  <si>
    <r>
      <t xml:space="preserve">Die </t>
    </r>
    <r>
      <rPr>
        <b/>
        <sz val="10"/>
        <color indexed="10"/>
        <rFont val="Arial"/>
        <family val="2"/>
      </rPr>
      <t>Punkte werden automatisch berechnet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sobald das Ergebnis eingetragen und mit einem OK gültig gemacht wurde.</t>
    </r>
  </si>
  <si>
    <r>
      <t xml:space="preserve">Für den </t>
    </r>
    <r>
      <rPr>
        <b/>
        <sz val="10"/>
        <color indexed="10"/>
        <rFont val="Arial"/>
        <family val="2"/>
      </rPr>
      <t>Einzug ins Achtelfinale</t>
    </r>
    <r>
      <rPr>
        <b/>
        <sz val="10"/>
        <rFont val="Arial"/>
        <family val="2"/>
      </rPr>
      <t xml:space="preserve"> (Platz 1 oder 2 in der Vorrunde) </t>
    </r>
    <r>
      <rPr>
        <b/>
        <sz val="10"/>
        <color indexed="10"/>
        <rFont val="Arial"/>
        <family val="2"/>
      </rPr>
      <t>gibt es 1 Punkt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(wird automatisch berechnet, nichts eingeben!)</t>
    </r>
  </si>
  <si>
    <r>
      <t xml:space="preserve">es zählt nur wer gewonnen hat, </t>
    </r>
    <r>
      <rPr>
        <b/>
        <sz val="10"/>
        <rFont val="Arial"/>
        <family val="2"/>
      </rPr>
      <t>das Team vorn oder hinten.</t>
    </r>
  </si>
  <si>
    <r>
      <t>speziellen Tricks verwendet.</t>
    </r>
    <r>
      <rPr>
        <b/>
        <sz val="10"/>
        <color indexed="12"/>
        <rFont val="Arial"/>
        <family val="2"/>
      </rPr>
      <t xml:space="preserve"> Die Frage "Speichern" am Ende ist legitim, auch wenn nichts verändert wurde -</t>
    </r>
  </si>
  <si>
    <t>das liegt an dem Zufallsspiel, welches auf jeden Tastendruck in nicht gesperrten Zellen (H1 z.B.) reagiert.</t>
  </si>
  <si>
    <t xml:space="preserve">Nobody wird immer die Maximalanzahl erreichen, </t>
  </si>
  <si>
    <t>Random war in den vergangenen Jahren gar nicht mal zufällig schlecht also gut :-))</t>
  </si>
  <si>
    <r>
      <t>Und wer lieb ist, läßt bitte auch das</t>
    </r>
    <r>
      <rPr>
        <b/>
        <sz val="10"/>
        <color indexed="10"/>
        <rFont val="Arial"/>
        <family val="2"/>
      </rPr>
      <t xml:space="preserve"> Format (Excel 2003)</t>
    </r>
    <r>
      <rPr>
        <b/>
        <sz val="10"/>
        <rFont val="Arial"/>
        <family val="2"/>
      </rPr>
      <t xml:space="preserve"> so. </t>
    </r>
  </si>
  <si>
    <t>Sicher kann der Eine oder Andere mehr, aber es ist nicht notwendig</t>
  </si>
  <si>
    <t xml:space="preserve">Bei Fehlern nicht verzweifeln oder hauen - einfach Bescheid sagen. </t>
  </si>
  <si>
    <t>Und noch etwas: alles wurde von mir selbst nach bestem Wissen und Gewissen programmiert.</t>
  </si>
  <si>
    <t>Pro Mannschaft richtig im AF</t>
  </si>
  <si>
    <t>Pro Mannschaft richtig im VF</t>
  </si>
  <si>
    <t>Pro Mannschaft in anderem VF</t>
  </si>
  <si>
    <t>Pro Mannschaft richtig im HF</t>
  </si>
  <si>
    <t>Pro Mannschaft in anderem HF</t>
  </si>
  <si>
    <t>Pro Mannschaft richtig im Spiel</t>
  </si>
  <si>
    <t>Schweden</t>
  </si>
  <si>
    <t>L0=AE hebelt Berechnung aus (top level Losen)</t>
  </si>
  <si>
    <t>L1=AK hebelt Direktvergleich (S1) aus</t>
  </si>
  <si>
    <r>
      <t>Landet ein Team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wie von Euch vorhergesagt</t>
    </r>
    <r>
      <rPr>
        <b/>
        <sz val="10"/>
        <color indexed="10"/>
        <rFont val="Arial"/>
        <family val="2"/>
      </rPr>
      <t xml:space="preserve"> im entsprechenden Achtel-, Viertel-, Halbfinale </t>
    </r>
    <r>
      <rPr>
        <b/>
        <sz val="10"/>
        <rFont val="Arial"/>
        <family val="2"/>
      </rPr>
      <t>oder in den Endspielen,</t>
    </r>
  </si>
  <si>
    <r>
      <t xml:space="preserve">Die Reihenfolge und welches Finale es genau ist, spielt also keine Rolle - </t>
    </r>
    <r>
      <rPr>
        <b/>
        <sz val="10"/>
        <color indexed="10"/>
        <rFont val="Arial"/>
        <family val="2"/>
      </rPr>
      <t>das ist gut für Euch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seit dem letzten Jahr.</t>
    </r>
  </si>
  <si>
    <r>
      <t xml:space="preserve">Es gibt ja auch nach den Gruppenspielen </t>
    </r>
    <r>
      <rPr>
        <b/>
        <sz val="10"/>
        <color indexed="10"/>
        <rFont val="Arial"/>
        <family val="2"/>
      </rPr>
      <t>noch ganz viele Punkte</t>
    </r>
    <r>
      <rPr>
        <b/>
        <sz val="10"/>
        <color indexed="12"/>
        <rFont val="Arial"/>
        <family val="2"/>
      </rPr>
      <t xml:space="preserve"> - und nicht immer werde ich sonst erkennen können,</t>
    </r>
  </si>
  <si>
    <r>
      <t xml:space="preserve">so gibt es </t>
    </r>
    <r>
      <rPr>
        <b/>
        <sz val="10"/>
        <color indexed="10"/>
        <rFont val="Arial"/>
        <family val="2"/>
      </rPr>
      <t>jeweils 1 bis 4 Punkte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ist es ein anderes Achtel-, Viertel oder Halbfinale, 1-2 Punkte.</t>
    </r>
  </si>
  <si>
    <t>In allen Spielen</t>
  </si>
  <si>
    <t>Pro Mannschaft, Toranzahl richtig</t>
  </si>
  <si>
    <t>Anzahl Spiele*</t>
  </si>
  <si>
    <r>
      <t xml:space="preserve">Jedoch werden </t>
    </r>
    <r>
      <rPr>
        <b/>
        <sz val="10"/>
        <color indexed="10"/>
        <rFont val="Arial"/>
        <family val="2"/>
      </rPr>
      <t>nicht mehr als 5 Punkte</t>
    </r>
    <r>
      <rPr>
        <b/>
        <sz val="10"/>
        <rFont val="Arial"/>
        <family val="2"/>
      </rPr>
      <t xml:space="preserve"> vergeben maximal </t>
    </r>
    <r>
      <rPr>
        <b/>
        <sz val="10"/>
        <color indexed="10"/>
        <rFont val="Arial"/>
        <family val="2"/>
      </rPr>
      <t>bei richtigem Ergebnis</t>
    </r>
    <r>
      <rPr>
        <b/>
        <sz val="10"/>
        <rFont val="Arial"/>
        <family val="2"/>
      </rPr>
      <t>)</t>
    </r>
  </si>
  <si>
    <t>Und ich habe noch einen Zusatzpunkt bei Kantersiegen eingeführt: Tippt Ihr mindestens 7 Tore Unterschied und es werden</t>
  </si>
  <si>
    <t>auch mindestens 7, gibt es einen Zusatzpunkt (auch) wenn die 3 oder 5 Punkte nicht erreicht werden können.</t>
  </si>
  <si>
    <r>
      <t>Bei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8:0</t>
    </r>
    <r>
      <rPr>
        <b/>
        <sz val="10"/>
        <color indexed="12"/>
        <rFont val="Arial"/>
        <family val="2"/>
      </rPr>
      <t xml:space="preserve"> natürlich immer noch </t>
    </r>
    <r>
      <rPr>
        <b/>
        <sz val="10"/>
        <color indexed="10"/>
        <rFont val="Arial"/>
        <family val="2"/>
      </rPr>
      <t xml:space="preserve">5 Punkte </t>
    </r>
    <r>
      <rPr>
        <b/>
        <sz val="10"/>
        <color indexed="12"/>
        <rFont val="Arial"/>
        <family val="2"/>
      </rPr>
      <t>und bei</t>
    </r>
    <r>
      <rPr>
        <b/>
        <sz val="10"/>
        <color indexed="10"/>
        <rFont val="Arial"/>
        <family val="2"/>
      </rPr>
      <t xml:space="preserve"> 9:1 </t>
    </r>
    <r>
      <rPr>
        <b/>
        <sz val="10"/>
        <color indexed="12"/>
        <rFont val="Arial"/>
        <family val="2"/>
      </rPr>
      <t>gibt’s</t>
    </r>
    <r>
      <rPr>
        <b/>
        <sz val="10"/>
        <color indexed="10"/>
        <rFont val="Arial"/>
        <family val="2"/>
      </rPr>
      <t xml:space="preserve"> 3 Punkte</t>
    </r>
    <r>
      <rPr>
        <b/>
        <sz val="10"/>
        <color indexed="12"/>
        <rFont val="Arial"/>
        <family val="2"/>
      </rPr>
      <t>.</t>
    </r>
  </si>
  <si>
    <t>Italien</t>
  </si>
  <si>
    <t>Schweiz</t>
  </si>
  <si>
    <t>Dänemark</t>
  </si>
  <si>
    <t>Portugal</t>
  </si>
  <si>
    <t>Oder eben auch weibliche Intuition (meine Teilnehmerinnen gewannen bisher 6 von 10 Tipspielen :-)</t>
  </si>
  <si>
    <t>Sowohl bei den Männern als auch bei den Frauen (und nun den Geistern) sind sie oft beängstigend treffsicher</t>
  </si>
  <si>
    <t>das geht anscheinend. Was ich von dem neuen Experiment Google Docs halten soll, wird sich zeigen.</t>
  </si>
  <si>
    <r>
      <t xml:space="preserve">In den vergangenen beiden Spielen habe ich auch </t>
    </r>
    <r>
      <rPr>
        <b/>
        <sz val="10"/>
        <color indexed="10"/>
        <rFont val="Arial"/>
        <family val="2"/>
      </rPr>
      <t>LibreOffice 4.x unter Linux und Windows</t>
    </r>
    <r>
      <rPr>
        <b/>
        <sz val="10"/>
        <rFont val="Arial"/>
        <family val="2"/>
      </rPr>
      <t xml:space="preserve"> probiert, </t>
    </r>
  </si>
  <si>
    <t>Neuseeland</t>
  </si>
  <si>
    <t>USA</t>
  </si>
  <si>
    <t>Auckland</t>
  </si>
  <si>
    <t>Norwegen</t>
  </si>
  <si>
    <t>Vietnam</t>
  </si>
  <si>
    <t>Dunedin</t>
  </si>
  <si>
    <t>Philippinen</t>
  </si>
  <si>
    <t>Wellington</t>
  </si>
  <si>
    <t>Hamilton</t>
  </si>
  <si>
    <t>dv</t>
  </si>
  <si>
    <t>L4=AV Losen UEFA-Koeffizient, Fairplay oder Münzwurf, vorbelegt mit DV</t>
  </si>
  <si>
    <t>Australien</t>
  </si>
  <si>
    <t>Sydney</t>
  </si>
  <si>
    <t>Irland</t>
  </si>
  <si>
    <t>Jamaika</t>
  </si>
  <si>
    <t>Melbourne</t>
  </si>
  <si>
    <t>Nigeria</t>
  </si>
  <si>
    <t>Adelaide</t>
  </si>
  <si>
    <t>Brasilien</t>
  </si>
  <si>
    <t>Brisbane</t>
  </si>
  <si>
    <t>Kanada</t>
  </si>
  <si>
    <t>Panama</t>
  </si>
  <si>
    <t>Perth</t>
  </si>
  <si>
    <t>Gruppe G</t>
  </si>
  <si>
    <t>Costa Rica</t>
  </si>
  <si>
    <t>Südafrika</t>
  </si>
  <si>
    <t>Sambia</t>
  </si>
  <si>
    <t>Japan</t>
  </si>
  <si>
    <t>Argentinien</t>
  </si>
  <si>
    <t>1G</t>
  </si>
  <si>
    <t>2G</t>
  </si>
  <si>
    <t>Gruppe H</t>
  </si>
  <si>
    <t>Haiti</t>
  </si>
  <si>
    <t>Marokko</t>
  </si>
  <si>
    <t>Kolumbien</t>
  </si>
  <si>
    <t>China</t>
  </si>
  <si>
    <t>Südkorea</t>
  </si>
  <si>
    <t>1H</t>
  </si>
  <si>
    <t>2H</t>
  </si>
  <si>
    <t>Weltmeister</t>
  </si>
  <si>
    <t>Anzahl Spiele (8 Gruppen)</t>
  </si>
  <si>
    <t>(Gruppen-1.+2.)</t>
  </si>
  <si>
    <t>www.alfware.de/fussball/wm23.xls</t>
  </si>
  <si>
    <r>
      <t xml:space="preserve">Bitte nutzt für alle Korrespondenz mit mir meine Email-Adresse </t>
    </r>
    <r>
      <rPr>
        <b/>
        <sz val="12"/>
        <color indexed="10"/>
        <rFont val="Arial"/>
        <family val="2"/>
      </rPr>
      <t>wm23spiel@alfware.de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(extra eingerichtet...)</t>
    </r>
  </si>
  <si>
    <t>Das Tipspiel zur Fußball WM der Frauen 2023</t>
  </si>
  <si>
    <r>
      <t xml:space="preserve">Das richtige </t>
    </r>
    <r>
      <rPr>
        <b/>
        <sz val="10"/>
        <color indexed="10"/>
        <rFont val="Arial"/>
        <family val="2"/>
      </rPr>
      <t xml:space="preserve">Weltmeisterteam </t>
    </r>
    <r>
      <rPr>
        <b/>
        <sz val="10"/>
        <rFont val="Arial"/>
        <family val="2"/>
      </rPr>
      <t>bringt noch einmal 20</t>
    </r>
    <r>
      <rPr>
        <b/>
        <sz val="10"/>
        <color indexed="10"/>
        <rFont val="Arial"/>
        <family val="2"/>
      </rPr>
      <t xml:space="preserve"> Punkte</t>
    </r>
    <r>
      <rPr>
        <b/>
        <sz val="10"/>
        <rFont val="Arial"/>
        <family val="2"/>
      </rPr>
      <t>.</t>
    </r>
  </si>
  <si>
    <t>Ich werde dann alle bis zum Stichtag (19.07.2023 23:59) bei mir eingegangenen Tips von Euch (Excel, Email, gedruckt)</t>
  </si>
  <si>
    <t xml:space="preserve">Diese neue Tabelle kann dann die wahren Ergebnisse der WM mit Euren Tips vergleichen und es werden automatisch </t>
  </si>
  <si>
    <t xml:space="preserve">An der Struktur/dem Spielplan braucht nichts geändert zu werden, die Auswerte-Mathematik ist schon in unserer </t>
  </si>
  <si>
    <t>gemeinsamen Tabelle. Das was Ihr mir schickt, wird natürlich sicher aufbewahrt</t>
  </si>
  <si>
    <t>Maximal sind 450 Punkte zu erreichen. Wer 120 und mehr schafft, darf mit mir wieder Eis essen gehen.</t>
  </si>
  <si>
    <r>
      <t xml:space="preserve">Beispiel: England-Dänemark </t>
    </r>
    <r>
      <rPr>
        <b/>
        <sz val="10"/>
        <color indexed="10"/>
        <rFont val="Arial"/>
        <family val="2"/>
      </rPr>
      <t>endet 2:1</t>
    </r>
    <r>
      <rPr>
        <b/>
        <sz val="10"/>
        <rFont val="Arial"/>
        <family val="2"/>
      </rPr>
      <t xml:space="preserve">.  </t>
    </r>
    <r>
      <rPr>
        <b/>
        <sz val="10"/>
        <color indexed="10"/>
        <rFont val="Arial"/>
        <family val="2"/>
      </rPr>
      <t xml:space="preserve"> Bei getipptem 2:1 gibt es 5 Punkte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bei 1:0 oder 3:2 noch 3 Punkte.</t>
    </r>
    <r>
      <rPr>
        <b/>
        <sz val="10"/>
        <rFont val="Arial"/>
        <family val="2"/>
      </rPr>
      <t xml:space="preserve"> Bei 2:0, 3:1 usw. 1 Punkt.</t>
    </r>
  </si>
  <si>
    <r>
      <t xml:space="preserve">Beispiel: England-Dänemark </t>
    </r>
    <r>
      <rPr>
        <b/>
        <sz val="10"/>
        <color indexed="10"/>
        <rFont val="Arial"/>
        <family val="2"/>
      </rPr>
      <t>endet 1:1</t>
    </r>
    <r>
      <rPr>
        <b/>
        <sz val="10"/>
        <rFont val="Arial"/>
        <family val="2"/>
      </rPr>
      <t xml:space="preserve">.   </t>
    </r>
    <r>
      <rPr>
        <b/>
        <sz val="10"/>
        <color indexed="10"/>
        <rFont val="Arial"/>
        <family val="2"/>
      </rPr>
      <t>Bei getipptem 1:1 gibt es 5 Punkte</t>
    </r>
    <r>
      <rPr>
        <b/>
        <sz val="10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bei 0:0 oder 2:2 usw. 3(!) Punkte,</t>
    </r>
    <r>
      <rPr>
        <b/>
        <sz val="10"/>
        <rFont val="Arial"/>
        <family val="2"/>
      </rPr>
      <t xml:space="preserve"> sonst nichts.</t>
    </r>
  </si>
  <si>
    <r>
      <t xml:space="preserve">Für den </t>
    </r>
    <r>
      <rPr>
        <b/>
        <sz val="10"/>
        <color indexed="10"/>
        <rFont val="Arial"/>
        <family val="2"/>
      </rPr>
      <t>Sieger der KO-Spiele</t>
    </r>
    <r>
      <rPr>
        <b/>
        <sz val="10"/>
        <rFont val="Arial"/>
        <family val="2"/>
      </rPr>
      <t xml:space="preserve"> gibt es 4</t>
    </r>
    <r>
      <rPr>
        <b/>
        <sz val="10"/>
        <color indexed="10"/>
        <rFont val="Arial"/>
        <family val="2"/>
      </rPr>
      <t xml:space="preserve"> bis 7 Punkte</t>
    </r>
    <r>
      <rPr>
        <b/>
        <sz val="10"/>
        <color indexed="12"/>
        <rFont val="Arial"/>
        <family val="2"/>
      </rPr>
      <t xml:space="preserve"> (daher hier Verlängerung und ggf Elfmeter wichtig)</t>
    </r>
    <r>
      <rPr>
        <b/>
        <sz val="10"/>
        <rFont val="Arial"/>
        <family val="2"/>
      </rPr>
      <t>.</t>
    </r>
  </si>
  <si>
    <r>
      <t xml:space="preserve">Beispiel: Japan-Spanien </t>
    </r>
    <r>
      <rPr>
        <b/>
        <sz val="10"/>
        <color indexed="10"/>
        <rFont val="Arial"/>
        <family val="2"/>
      </rPr>
      <t>endet 2:1</t>
    </r>
    <r>
      <rPr>
        <b/>
        <sz val="10"/>
        <rFont val="Arial"/>
        <family val="2"/>
      </rPr>
      <t xml:space="preserve">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Bei getipptem</t>
    </r>
    <r>
      <rPr>
        <b/>
        <sz val="10"/>
        <rFont val="Arial"/>
        <family val="2"/>
      </rPr>
      <t xml:space="preserve"> 3: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oder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 xml:space="preserve">:0 gibt es </t>
    </r>
    <r>
      <rPr>
        <b/>
        <sz val="10"/>
        <color indexed="10"/>
        <rFont val="Arial"/>
        <family val="2"/>
      </rPr>
      <t>1 Zusatzpunkt</t>
    </r>
    <r>
      <rPr>
        <b/>
        <sz val="10"/>
        <rFont val="Arial"/>
        <family val="2"/>
      </rPr>
      <t xml:space="preserve">. </t>
    </r>
  </si>
  <si>
    <r>
      <t xml:space="preserve">Beispiel: China-Haiti </t>
    </r>
    <r>
      <rPr>
        <b/>
        <sz val="10"/>
        <color indexed="10"/>
        <rFont val="Arial"/>
        <family val="2"/>
      </rPr>
      <t>endet 8:0</t>
    </r>
    <r>
      <rPr>
        <b/>
        <sz val="10"/>
        <rFont val="Arial"/>
        <family val="2"/>
      </rPr>
      <t xml:space="preserve">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Bei getipptem 6:0 gibt es 1 Punkt</t>
    </r>
    <r>
      <rPr>
        <b/>
        <sz val="10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bei 7:0 oder 8:1 oder 10:0 gibt es 2 Punkte.</t>
    </r>
    <r>
      <rPr>
        <b/>
        <sz val="10"/>
        <rFont val="Arial"/>
        <family val="2"/>
      </rPr>
      <t xml:space="preserve"> </t>
    </r>
  </si>
  <si>
    <t>die 4 bis 7 Punkte für den richtigen Spielausgang gibt es immer.</t>
  </si>
  <si>
    <t>Es werden auch erzielte Tore honoriert, sofern sie richtig getippt wurden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</si>
</sst>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48"/>
      <name val="Verdana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1" applyNumberFormat="0" applyAlignment="0" applyProtection="0"/>
    <xf numFmtId="0" fontId="11" fillId="31" borderId="2" applyNumberFormat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18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0" fillId="10" borderId="4" applyNumberFormat="0" applyFont="0" applyAlignment="0" applyProtection="0"/>
    <xf numFmtId="9" fontId="0" fillId="0" borderId="0" applyFont="0" applyFill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4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left"/>
      <protection/>
    </xf>
    <xf numFmtId="0" fontId="1" fillId="18" borderId="0" xfId="0" applyFont="1" applyFill="1" applyAlignment="1" applyProtection="1">
      <alignment horizontal="center"/>
      <protection/>
    </xf>
    <xf numFmtId="0" fontId="1" fillId="18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18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7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 applyProtection="1">
      <alignment horizontal="left"/>
      <protection/>
    </xf>
    <xf numFmtId="0" fontId="26" fillId="18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7" borderId="0" xfId="0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" fillId="37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19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/>
      <protection/>
    </xf>
    <xf numFmtId="0" fontId="1" fillId="30" borderId="0" xfId="0" applyFont="1" applyFill="1" applyAlignment="1" applyProtection="1">
      <alignment horizontal="center"/>
      <protection/>
    </xf>
    <xf numFmtId="0" fontId="1" fillId="30" borderId="0" xfId="0" applyFont="1" applyFill="1" applyAlignment="1" applyProtection="1">
      <alignment horizontal="left"/>
      <protection/>
    </xf>
    <xf numFmtId="0" fontId="1" fillId="30" borderId="0" xfId="0" applyFont="1" applyFill="1" applyAlignment="1" applyProtection="1">
      <alignment/>
      <protection/>
    </xf>
    <xf numFmtId="0" fontId="7" fillId="38" borderId="0" xfId="0" applyFont="1" applyFill="1" applyAlignment="1" applyProtection="1">
      <alignment horizontal="left"/>
      <protection/>
    </xf>
    <xf numFmtId="0" fontId="2" fillId="38" borderId="0" xfId="0" applyFont="1" applyFill="1" applyAlignment="1" applyProtection="1">
      <alignment horizontal="left"/>
      <protection/>
    </xf>
    <xf numFmtId="0" fontId="3" fillId="38" borderId="0" xfId="0" applyFont="1" applyFill="1" applyAlignment="1" applyProtection="1">
      <alignment horizontal="left"/>
      <protection/>
    </xf>
    <xf numFmtId="0" fontId="29" fillId="18" borderId="0" xfId="0" applyFont="1" applyFill="1" applyAlignment="1" applyProtection="1">
      <alignment horizontal="left"/>
      <protection/>
    </xf>
    <xf numFmtId="0" fontId="0" fillId="38" borderId="0" xfId="0" applyFont="1" applyFill="1" applyAlignment="1" applyProtection="1">
      <alignment horizontal="left"/>
      <protection/>
    </xf>
    <xf numFmtId="0" fontId="1" fillId="38" borderId="0" xfId="0" applyFont="1" applyFill="1" applyAlignment="1" applyProtection="1">
      <alignment horizontal="left"/>
      <protection/>
    </xf>
    <xf numFmtId="0" fontId="4" fillId="38" borderId="0" xfId="0" applyFont="1" applyFill="1" applyAlignment="1" applyProtection="1">
      <alignment horizontal="left"/>
      <protection/>
    </xf>
    <xf numFmtId="0" fontId="29" fillId="38" borderId="0" xfId="0" applyFont="1" applyFill="1" applyAlignment="1" applyProtection="1">
      <alignment horizontal="left"/>
      <protection/>
    </xf>
    <xf numFmtId="0" fontId="26" fillId="3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1" fontId="2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/>
      <protection/>
    </xf>
    <xf numFmtId="0" fontId="30" fillId="0" borderId="0" xfId="0" applyFont="1" applyFill="1" applyAlignment="1" applyProtection="1">
      <alignment/>
      <protection/>
    </xf>
    <xf numFmtId="1" fontId="3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 quotePrefix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31" fillId="0" borderId="0" xfId="0" applyNumberFormat="1" applyFont="1" applyFill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18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30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39" borderId="0" xfId="0" applyFont="1" applyFill="1" applyAlignment="1" applyProtection="1">
      <alignment/>
      <protection/>
    </xf>
    <xf numFmtId="0" fontId="1" fillId="39" borderId="0" xfId="0" applyFont="1" applyFill="1" applyAlignment="1" applyProtection="1">
      <alignment horizontal="center"/>
      <protection/>
    </xf>
    <xf numFmtId="0" fontId="38" fillId="0" borderId="0" xfId="67" applyFont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19" borderId="0" xfId="0" applyFont="1" applyFill="1" applyAlignment="1" applyProtection="1">
      <alignment horizontal="left"/>
      <protection/>
    </xf>
    <xf numFmtId="0" fontId="1" fillId="40" borderId="0" xfId="0" applyFont="1" applyFill="1" applyAlignment="1" applyProtection="1">
      <alignment horizontal="center"/>
      <protection/>
    </xf>
    <xf numFmtId="0" fontId="1" fillId="40" borderId="0" xfId="0" applyFont="1" applyFill="1" applyAlignment="1" applyProtection="1">
      <alignment horizontal="left"/>
      <protection/>
    </xf>
    <xf numFmtId="22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2" fillId="18" borderId="0" xfId="0" applyFont="1" applyFill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ware.de/fussball/em20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2.140625" style="74" customWidth="1"/>
    <col min="2" max="2" width="36.7109375" style="2" bestFit="1" customWidth="1"/>
    <col min="3" max="3" width="5.140625" style="2" bestFit="1" customWidth="1"/>
    <col min="4" max="4" width="29.421875" style="0" customWidth="1"/>
    <col min="5" max="5" width="27.00390625" style="0" customWidth="1"/>
  </cols>
  <sheetData>
    <row r="1" spans="1:3" ht="12.75">
      <c r="A1" s="28" t="s">
        <v>205</v>
      </c>
      <c r="B1" s="76" t="s">
        <v>0</v>
      </c>
      <c r="C1" s="77"/>
    </row>
    <row r="2" spans="2:3" ht="12.75">
      <c r="B2" s="76"/>
      <c r="C2" s="77"/>
    </row>
    <row r="3" spans="1:3" ht="12.75">
      <c r="A3" s="74" t="s">
        <v>1</v>
      </c>
      <c r="B3" s="78" t="s">
        <v>2</v>
      </c>
      <c r="C3" s="79">
        <f>C7*C4</f>
        <v>240</v>
      </c>
    </row>
    <row r="4" spans="1:3" ht="12.75">
      <c r="A4" s="72" t="s">
        <v>3</v>
      </c>
      <c r="B4" s="80" t="s">
        <v>92</v>
      </c>
      <c r="C4" s="77">
        <v>5</v>
      </c>
    </row>
    <row r="5" spans="1:3" ht="12.75">
      <c r="A5" s="74" t="s">
        <v>4</v>
      </c>
      <c r="B5" s="80" t="s">
        <v>93</v>
      </c>
      <c r="C5" s="77">
        <v>3</v>
      </c>
    </row>
    <row r="6" spans="1:3" ht="12.75">
      <c r="A6" s="72" t="s">
        <v>157</v>
      </c>
      <c r="B6" s="80" t="s">
        <v>94</v>
      </c>
      <c r="C6" s="77">
        <v>1</v>
      </c>
    </row>
    <row r="7" spans="1:3" ht="12.75">
      <c r="A7" s="72" t="s">
        <v>158</v>
      </c>
      <c r="B7" s="81" t="s">
        <v>201</v>
      </c>
      <c r="C7" s="82">
        <v>48</v>
      </c>
    </row>
    <row r="8" spans="2:3" ht="12.75">
      <c r="B8" s="76"/>
      <c r="C8" s="77"/>
    </row>
    <row r="9" spans="1:3" ht="12.75">
      <c r="A9" s="28" t="s">
        <v>5</v>
      </c>
      <c r="B9" s="81"/>
      <c r="C9" s="77"/>
    </row>
    <row r="10" spans="1:3" ht="12.75">
      <c r="A10" s="74" t="s">
        <v>6</v>
      </c>
      <c r="B10" s="76"/>
      <c r="C10" s="77"/>
    </row>
    <row r="11" spans="2:3" ht="12.75">
      <c r="B11" s="78" t="s">
        <v>95</v>
      </c>
      <c r="C11" s="79">
        <f>C13*C12</f>
        <v>16</v>
      </c>
    </row>
    <row r="12" spans="1:3" ht="12.75">
      <c r="A12" s="72" t="s">
        <v>207</v>
      </c>
      <c r="B12" s="76" t="s">
        <v>202</v>
      </c>
      <c r="C12" s="77">
        <v>1</v>
      </c>
    </row>
    <row r="13" spans="1:3" ht="12.75">
      <c r="A13" s="72" t="s">
        <v>106</v>
      </c>
      <c r="B13" s="81" t="s">
        <v>96</v>
      </c>
      <c r="C13" s="82">
        <v>16</v>
      </c>
    </row>
    <row r="14" spans="2:3" ht="12.75">
      <c r="B14" s="81"/>
      <c r="C14" s="77"/>
    </row>
    <row r="15" spans="1:3" ht="12.75">
      <c r="A15" s="72" t="s">
        <v>208</v>
      </c>
      <c r="B15" s="83" t="s">
        <v>97</v>
      </c>
      <c r="C15" s="79">
        <f>C20*(C18+2*C16)</f>
        <v>48</v>
      </c>
    </row>
    <row r="16" spans="1:3" ht="12.75">
      <c r="A16" s="72" t="s">
        <v>115</v>
      </c>
      <c r="B16" s="80" t="s">
        <v>133</v>
      </c>
      <c r="C16" s="77">
        <v>1</v>
      </c>
    </row>
    <row r="17" spans="1:3" ht="12.75">
      <c r="A17" s="72"/>
      <c r="B17" s="80"/>
      <c r="C17" s="77"/>
    </row>
    <row r="18" spans="1:3" ht="14.25">
      <c r="A18" s="110" t="s">
        <v>203</v>
      </c>
      <c r="B18" s="84" t="s">
        <v>98</v>
      </c>
      <c r="C18" s="77">
        <v>4</v>
      </c>
    </row>
    <row r="19" spans="1:3" ht="14.25">
      <c r="A19" s="110"/>
      <c r="B19" s="84"/>
      <c r="C19" s="77"/>
    </row>
    <row r="20" spans="1:3" ht="12.75">
      <c r="A20" s="74" t="s">
        <v>8</v>
      </c>
      <c r="B20" s="81" t="s">
        <v>10</v>
      </c>
      <c r="C20" s="82">
        <v>8</v>
      </c>
    </row>
    <row r="21" spans="2:3" ht="12.75">
      <c r="B21" s="76"/>
      <c r="C21" s="77"/>
    </row>
    <row r="22" spans="1:3" ht="12.75">
      <c r="A22" s="28" t="s">
        <v>110</v>
      </c>
      <c r="B22" s="76"/>
      <c r="C22" s="77"/>
    </row>
    <row r="23" spans="1:3" ht="12.75">
      <c r="A23" s="72" t="s">
        <v>107</v>
      </c>
      <c r="B23" s="81"/>
      <c r="C23" s="85"/>
    </row>
    <row r="24" spans="1:3" ht="12.75">
      <c r="A24" s="74" t="s">
        <v>209</v>
      </c>
      <c r="B24" s="83" t="s">
        <v>9</v>
      </c>
      <c r="C24" s="79">
        <f>C28*(C27+2*C25)</f>
        <v>36</v>
      </c>
    </row>
    <row r="25" spans="1:3" ht="12.75">
      <c r="A25" s="74" t="s">
        <v>210</v>
      </c>
      <c r="B25" s="80" t="s">
        <v>134</v>
      </c>
      <c r="C25" s="77">
        <v>2</v>
      </c>
    </row>
    <row r="26" spans="2:3" ht="12.75">
      <c r="B26" s="80" t="s">
        <v>135</v>
      </c>
      <c r="C26" s="77">
        <v>1</v>
      </c>
    </row>
    <row r="27" spans="1:3" ht="12.75">
      <c r="A27" s="28" t="s">
        <v>211</v>
      </c>
      <c r="B27" s="84" t="s">
        <v>98</v>
      </c>
      <c r="C27" s="77">
        <v>5</v>
      </c>
    </row>
    <row r="28" spans="1:3" ht="12.75">
      <c r="A28" s="72" t="s">
        <v>111</v>
      </c>
      <c r="B28" s="81" t="s">
        <v>10</v>
      </c>
      <c r="C28" s="82">
        <v>4</v>
      </c>
    </row>
    <row r="29" spans="1:3" ht="12.75">
      <c r="A29" s="28" t="s">
        <v>116</v>
      </c>
      <c r="B29" s="76"/>
      <c r="C29" s="77"/>
    </row>
    <row r="30" spans="1:3" ht="12.75">
      <c r="A30" s="74" t="s">
        <v>127</v>
      </c>
      <c r="B30" s="76"/>
      <c r="C30" s="82"/>
    </row>
    <row r="31" spans="1:3" ht="12.75">
      <c r="A31" s="74" t="s">
        <v>128</v>
      </c>
      <c r="B31" s="76"/>
      <c r="C31" s="77"/>
    </row>
    <row r="32" spans="1:7" ht="12.75">
      <c r="A32" s="72" t="s">
        <v>11</v>
      </c>
      <c r="B32" s="83" t="s">
        <v>14</v>
      </c>
      <c r="C32" s="79">
        <f>C36*(C35+2*C33)</f>
        <v>26</v>
      </c>
      <c r="G32" s="27"/>
    </row>
    <row r="33" spans="1:3" ht="12.75">
      <c r="A33" s="72" t="s">
        <v>12</v>
      </c>
      <c r="B33" s="80" t="s">
        <v>136</v>
      </c>
      <c r="C33" s="77">
        <v>3</v>
      </c>
    </row>
    <row r="34" spans="1:3" ht="12.75">
      <c r="A34" s="28" t="s">
        <v>13</v>
      </c>
      <c r="B34" s="80" t="s">
        <v>137</v>
      </c>
      <c r="C34" s="77">
        <v>2</v>
      </c>
    </row>
    <row r="35" spans="2:3" ht="12.75">
      <c r="B35" s="84" t="s">
        <v>98</v>
      </c>
      <c r="C35" s="77">
        <v>7</v>
      </c>
    </row>
    <row r="36" spans="1:3" ht="12.75">
      <c r="A36" s="74" t="s">
        <v>15</v>
      </c>
      <c r="B36" s="81" t="s">
        <v>10</v>
      </c>
      <c r="C36" s="82">
        <v>2</v>
      </c>
    </row>
    <row r="37" spans="1:3" ht="12.75">
      <c r="A37" s="28" t="s">
        <v>113</v>
      </c>
      <c r="B37" s="76"/>
      <c r="C37" s="77"/>
    </row>
    <row r="38" spans="1:3" ht="12.75">
      <c r="A38" s="72" t="s">
        <v>144</v>
      </c>
      <c r="B38" s="76"/>
      <c r="C38" s="77"/>
    </row>
    <row r="39" spans="1:3" ht="12.75">
      <c r="A39" s="72" t="s">
        <v>16</v>
      </c>
      <c r="B39" s="76"/>
      <c r="C39" s="77"/>
    </row>
    <row r="40" spans="1:3" ht="12.75">
      <c r="A40" s="74" t="s">
        <v>117</v>
      </c>
      <c r="B40" s="78" t="s">
        <v>99</v>
      </c>
      <c r="C40" s="79">
        <f>C43*(C42+2*C41)</f>
        <v>32</v>
      </c>
    </row>
    <row r="41" spans="1:3" ht="12.75">
      <c r="A41" s="74" t="s">
        <v>17</v>
      </c>
      <c r="B41" s="80" t="s">
        <v>138</v>
      </c>
      <c r="C41" s="77">
        <v>4</v>
      </c>
    </row>
    <row r="42" spans="2:3" ht="12.75">
      <c r="B42" s="84" t="s">
        <v>98</v>
      </c>
      <c r="C42" s="82">
        <v>8</v>
      </c>
    </row>
    <row r="43" spans="1:3" ht="12.75">
      <c r="A43" s="28" t="s">
        <v>104</v>
      </c>
      <c r="B43" s="81" t="s">
        <v>10</v>
      </c>
      <c r="C43" s="82">
        <v>2</v>
      </c>
    </row>
    <row r="44" ht="12.75">
      <c r="A44" s="28" t="s">
        <v>118</v>
      </c>
    </row>
    <row r="45" ht="12.75">
      <c r="A45" s="74" t="s">
        <v>18</v>
      </c>
    </row>
    <row r="46" spans="1:3" ht="12.75">
      <c r="A46" s="28"/>
      <c r="B46" s="76"/>
      <c r="C46" s="77"/>
    </row>
    <row r="47" spans="1:3" ht="12.75">
      <c r="A47" s="74" t="s">
        <v>105</v>
      </c>
      <c r="B47" s="78" t="s">
        <v>200</v>
      </c>
      <c r="C47" s="79">
        <v>20</v>
      </c>
    </row>
    <row r="48" ht="12.75">
      <c r="A48" s="74" t="s">
        <v>125</v>
      </c>
    </row>
    <row r="49" spans="1:3" ht="12.75">
      <c r="A49" s="74" t="s">
        <v>126</v>
      </c>
      <c r="B49" s="78" t="s">
        <v>146</v>
      </c>
      <c r="C49" s="98">
        <f>C51*(2*C50)</f>
        <v>32</v>
      </c>
    </row>
    <row r="50" spans="2:3" ht="12.75">
      <c r="B50" s="80" t="s">
        <v>147</v>
      </c>
      <c r="C50" s="99">
        <v>1</v>
      </c>
    </row>
    <row r="51" spans="1:3" ht="12.75">
      <c r="A51" s="10" t="s">
        <v>129</v>
      </c>
      <c r="B51" s="81" t="s">
        <v>148</v>
      </c>
      <c r="C51" s="100">
        <v>16</v>
      </c>
    </row>
    <row r="52" spans="1:3" ht="12.75">
      <c r="A52" s="73" t="s">
        <v>130</v>
      </c>
      <c r="B52" s="76"/>
      <c r="C52" s="99"/>
    </row>
    <row r="53" spans="1:3" ht="12.75">
      <c r="A53" s="10" t="s">
        <v>119</v>
      </c>
      <c r="B53" s="78" t="s">
        <v>7</v>
      </c>
      <c r="C53" s="98">
        <f>C3+C11+C15+C24+C32+C40+C47+C49</f>
        <v>450</v>
      </c>
    </row>
    <row r="54" ht="12.75">
      <c r="A54" s="73" t="s">
        <v>100</v>
      </c>
    </row>
    <row r="55" ht="12.75">
      <c r="A55" s="10" t="s">
        <v>160</v>
      </c>
    </row>
    <row r="56" ht="12.75">
      <c r="A56" s="10" t="s">
        <v>159</v>
      </c>
    </row>
    <row r="57" ht="12.75">
      <c r="A57" s="28" t="s">
        <v>101</v>
      </c>
    </row>
    <row r="58" ht="12.75">
      <c r="A58" s="28" t="s">
        <v>102</v>
      </c>
    </row>
    <row r="60" ht="12.75">
      <c r="A60" s="10" t="s">
        <v>132</v>
      </c>
    </row>
    <row r="61" ht="12.75">
      <c r="A61" s="73" t="s">
        <v>131</v>
      </c>
    </row>
    <row r="63" ht="15.75">
      <c r="A63" s="75" t="s">
        <v>204</v>
      </c>
    </row>
    <row r="64" spans="1:5" ht="12.75">
      <c r="A64" s="75" t="s">
        <v>120</v>
      </c>
      <c r="D64" s="76"/>
      <c r="E64" s="77"/>
    </row>
    <row r="65" spans="1:5" ht="12.75">
      <c r="A65" s="75"/>
      <c r="D65" s="76"/>
      <c r="E65" s="77"/>
    </row>
    <row r="66" spans="1:5" ht="12.75">
      <c r="A66" s="74" t="s">
        <v>121</v>
      </c>
      <c r="D66" s="78"/>
      <c r="E66" s="79"/>
    </row>
    <row r="67" spans="1:5" ht="12.75">
      <c r="A67" s="74" t="s">
        <v>122</v>
      </c>
      <c r="D67" s="80"/>
      <c r="E67" s="77"/>
    </row>
    <row r="68" spans="1:5" ht="12.75">
      <c r="A68" s="74" t="s">
        <v>19</v>
      </c>
      <c r="D68" s="80"/>
      <c r="E68" s="77"/>
    </row>
    <row r="69" spans="1:5" ht="12.75">
      <c r="A69" s="74" t="s">
        <v>103</v>
      </c>
      <c r="D69" s="80"/>
      <c r="E69" s="77"/>
    </row>
    <row r="70" spans="1:5" ht="12.75">
      <c r="A70" s="28" t="s">
        <v>20</v>
      </c>
      <c r="D70" s="81"/>
      <c r="E70" s="82"/>
    </row>
    <row r="71" spans="1:5" ht="12.75">
      <c r="A71" s="72" t="s">
        <v>21</v>
      </c>
      <c r="D71" s="76"/>
      <c r="E71" s="77"/>
    </row>
    <row r="72" spans="4:5" ht="12.75">
      <c r="D72" s="81"/>
      <c r="E72" s="77"/>
    </row>
    <row r="73" spans="1:5" ht="12.75">
      <c r="A73" s="28" t="s">
        <v>114</v>
      </c>
      <c r="D73" s="76"/>
      <c r="E73" s="77"/>
    </row>
    <row r="74" spans="1:5" ht="12.75">
      <c r="A74" s="74" t="s">
        <v>212</v>
      </c>
      <c r="D74" s="78"/>
      <c r="E74" s="79"/>
    </row>
    <row r="75" spans="1:5" ht="12.75">
      <c r="A75" s="74" t="s">
        <v>213</v>
      </c>
      <c r="D75" s="76"/>
      <c r="E75" s="77"/>
    </row>
    <row r="76" spans="4:5" ht="12.75">
      <c r="D76" s="81"/>
      <c r="E76" s="82"/>
    </row>
    <row r="77" spans="1:5" ht="12.75">
      <c r="A77" s="74" t="s">
        <v>123</v>
      </c>
      <c r="D77" s="81"/>
      <c r="E77" s="77"/>
    </row>
    <row r="78" spans="1:5" ht="12.75">
      <c r="A78" s="74" t="s">
        <v>142</v>
      </c>
      <c r="D78" s="83"/>
      <c r="E78" s="79"/>
    </row>
    <row r="79" spans="1:5" ht="12.75">
      <c r="A79" s="74" t="s">
        <v>145</v>
      </c>
      <c r="D79" s="80"/>
      <c r="E79" s="77"/>
    </row>
    <row r="80" spans="1:5" ht="12.75">
      <c r="A80" s="74" t="s">
        <v>143</v>
      </c>
      <c r="D80" s="84"/>
      <c r="E80" s="77"/>
    </row>
    <row r="81" spans="4:5" ht="12.75">
      <c r="D81" s="81"/>
      <c r="E81" s="82"/>
    </row>
    <row r="82" spans="1:5" ht="12.75">
      <c r="A82" s="74" t="s">
        <v>214</v>
      </c>
      <c r="D82" s="76"/>
      <c r="E82" s="77"/>
    </row>
    <row r="83" spans="1:5" ht="12.75">
      <c r="A83" s="28" t="s">
        <v>112</v>
      </c>
      <c r="D83" s="76"/>
      <c r="E83" s="77"/>
    </row>
    <row r="84" spans="1:5" ht="12.75">
      <c r="A84" s="28" t="s">
        <v>124</v>
      </c>
      <c r="D84" s="81"/>
      <c r="E84" s="85"/>
    </row>
    <row r="85" spans="1:5" ht="12.75">
      <c r="A85" s="72" t="s">
        <v>108</v>
      </c>
      <c r="D85" s="83"/>
      <c r="E85" s="79"/>
    </row>
    <row r="86" spans="1:5" ht="12.75">
      <c r="A86" s="28" t="s">
        <v>217</v>
      </c>
      <c r="D86" s="80"/>
      <c r="E86" s="77"/>
    </row>
    <row r="87" spans="4:5" ht="12.75">
      <c r="D87" s="80"/>
      <c r="E87" s="77"/>
    </row>
    <row r="88" spans="1:5" ht="12.75">
      <c r="A88" s="74" t="s">
        <v>206</v>
      </c>
      <c r="D88" s="84"/>
      <c r="E88" s="77"/>
    </row>
    <row r="89" spans="4:5" ht="12.75">
      <c r="D89" s="81"/>
      <c r="E89" s="82"/>
    </row>
    <row r="90" spans="1:5" ht="12.75">
      <c r="A90" s="74" t="s">
        <v>218</v>
      </c>
      <c r="D90" s="76"/>
      <c r="E90" s="77"/>
    </row>
    <row r="91" spans="1:5" ht="12.75">
      <c r="A91" s="74" t="s">
        <v>215</v>
      </c>
      <c r="D91" s="76"/>
      <c r="E91" s="82"/>
    </row>
    <row r="92" spans="1:5" ht="12.75">
      <c r="A92" s="74" t="s">
        <v>149</v>
      </c>
      <c r="D92" s="76"/>
      <c r="E92" s="77"/>
    </row>
    <row r="93" spans="4:5" ht="12.75">
      <c r="D93" s="76"/>
      <c r="E93" s="77"/>
    </row>
    <row r="94" spans="1:5" ht="12.75">
      <c r="A94" s="74" t="s">
        <v>150</v>
      </c>
      <c r="D94" s="83"/>
      <c r="E94" s="79"/>
    </row>
    <row r="95" spans="1:5" ht="12.75">
      <c r="A95" s="74" t="s">
        <v>151</v>
      </c>
      <c r="D95" s="83"/>
      <c r="E95" s="79"/>
    </row>
    <row r="96" spans="1:5" ht="12.75">
      <c r="A96" s="74" t="s">
        <v>216</v>
      </c>
      <c r="D96" s="80"/>
      <c r="E96" s="77"/>
    </row>
    <row r="97" spans="1:5" ht="12.75">
      <c r="A97" s="28" t="s">
        <v>152</v>
      </c>
      <c r="D97" s="80"/>
      <c r="E97" s="77"/>
    </row>
    <row r="98" spans="4:5" ht="12.75">
      <c r="D98" s="84"/>
      <c r="E98" s="77"/>
    </row>
    <row r="99" spans="1:5" ht="12.75">
      <c r="A99" s="72" t="s">
        <v>109</v>
      </c>
      <c r="D99" s="76"/>
      <c r="E99" s="77"/>
    </row>
    <row r="100" spans="4:5" ht="12.75">
      <c r="D100" s="76"/>
      <c r="E100" s="77"/>
    </row>
    <row r="101" spans="1:5" ht="12.75">
      <c r="A101" s="28" t="s">
        <v>22</v>
      </c>
      <c r="D101" s="76"/>
      <c r="E101" s="77"/>
    </row>
    <row r="102" spans="4:5" ht="12.75">
      <c r="D102" s="76"/>
      <c r="E102" s="77"/>
    </row>
    <row r="103" spans="4:5" ht="12.75">
      <c r="D103" s="76"/>
      <c r="E103" s="77"/>
    </row>
    <row r="104" spans="4:5" ht="12.75">
      <c r="D104" s="84"/>
      <c r="E104" s="77"/>
    </row>
    <row r="105" spans="4:5" ht="12.75">
      <c r="D105" s="81"/>
      <c r="E105" s="82"/>
    </row>
    <row r="106" spans="4:5" ht="12.75">
      <c r="D106" s="76"/>
      <c r="E106" s="77"/>
    </row>
    <row r="107" spans="4:5" ht="12.75">
      <c r="D107" s="81"/>
      <c r="E107" s="77"/>
    </row>
    <row r="108" spans="4:5" ht="12.75">
      <c r="D108" s="78"/>
      <c r="E108" s="79"/>
    </row>
    <row r="109" spans="4:5" ht="12.75">
      <c r="D109" s="80"/>
      <c r="E109" s="77"/>
    </row>
    <row r="110" spans="4:5" ht="12.75">
      <c r="D110" s="84"/>
      <c r="E110" s="82"/>
    </row>
    <row r="111" spans="4:5" ht="12.75">
      <c r="D111" s="81"/>
      <c r="E111" s="82"/>
    </row>
    <row r="112" spans="4:5" ht="12.75">
      <c r="D112" s="76"/>
      <c r="E112" s="77"/>
    </row>
    <row r="113" spans="4:5" ht="12.75">
      <c r="D113" s="76"/>
      <c r="E113" s="77"/>
    </row>
    <row r="114" spans="4:5" ht="12.75">
      <c r="D114" s="76"/>
      <c r="E114" s="77"/>
    </row>
    <row r="115" spans="4:5" ht="12.75">
      <c r="D115" s="76"/>
      <c r="E115" s="77"/>
    </row>
    <row r="116" spans="4:5" ht="12.75">
      <c r="D116" s="81"/>
      <c r="E116" s="77"/>
    </row>
    <row r="117" spans="4:5" ht="12.75">
      <c r="D117" s="76"/>
      <c r="E117" s="77"/>
    </row>
    <row r="118" spans="4:5" ht="12.75">
      <c r="D118" s="78"/>
      <c r="E118" s="79"/>
    </row>
    <row r="119" spans="4:5" ht="12.75">
      <c r="D119" s="76"/>
      <c r="E119" s="77"/>
    </row>
    <row r="120" spans="4:5" ht="12.75">
      <c r="D120" s="78"/>
      <c r="E120" s="79"/>
    </row>
  </sheetData>
  <sheetProtection sheet="1"/>
  <hyperlinks>
    <hyperlink ref="A18" r:id="rId1" display="www.alfware.de/fussball/em20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7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02" customWidth="1"/>
    <col min="9" max="9" width="1.57421875" style="102" customWidth="1"/>
    <col min="10" max="10" width="3.57421875" style="102" customWidth="1"/>
    <col min="11" max="11" width="3.00390625" style="6" customWidth="1"/>
    <col min="12" max="12" width="2.00390625" style="2" customWidth="1"/>
    <col min="13" max="13" width="14.28125" style="39" customWidth="1"/>
    <col min="14" max="17" width="4.28125" style="2" customWidth="1"/>
    <col min="18" max="18" width="3.8515625" style="2" customWidth="1"/>
    <col min="19" max="22" width="2.00390625" style="42" hidden="1" customWidth="1"/>
    <col min="23" max="23" width="1.7109375" style="42" hidden="1" customWidth="1"/>
    <col min="24" max="24" width="3.00390625" style="42" hidden="1" customWidth="1"/>
    <col min="25" max="25" width="14.28125" style="42" hidden="1" customWidth="1"/>
    <col min="26" max="26" width="2.28125" style="42" hidden="1" customWidth="1"/>
    <col min="27" max="27" width="3.28125" style="42" hidden="1" customWidth="1"/>
    <col min="28" max="28" width="3.00390625" style="42" hidden="1" customWidth="1"/>
    <col min="29" max="29" width="4.421875" style="42" hidden="1" customWidth="1"/>
    <col min="30" max="30" width="19.28125" style="42" hidden="1" customWidth="1"/>
    <col min="31" max="31" width="3.140625" style="54" hidden="1" customWidth="1"/>
    <col min="32" max="32" width="3.57421875" style="42" hidden="1" customWidth="1"/>
    <col min="33" max="36" width="2.8515625" style="42" hidden="1" customWidth="1"/>
    <col min="37" max="37" width="3.140625" style="42" hidden="1" customWidth="1"/>
    <col min="38" max="38" width="6.421875" style="42" hidden="1" customWidth="1"/>
    <col min="39" max="42" width="2.8515625" style="42" hidden="1" customWidth="1"/>
    <col min="43" max="43" width="7.7109375" style="42" hidden="1" customWidth="1"/>
    <col min="44" max="47" width="3.00390625" style="42" hidden="1" customWidth="1"/>
    <col min="48" max="48" width="3.140625" style="42" hidden="1" customWidth="1"/>
    <col min="49" max="49" width="11.421875" style="42" hidden="1" customWidth="1"/>
    <col min="50" max="52" width="11.421875" style="2" hidden="1" customWidth="1"/>
    <col min="53" max="53" width="3.57421875" style="2" customWidth="1"/>
    <col min="54" max="54" width="15.28125" style="2" customWidth="1"/>
    <col min="55" max="55" width="15.421875" style="2" customWidth="1"/>
    <col min="56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02" customWidth="1"/>
    <col min="61" max="61" width="1.57421875" style="102" customWidth="1"/>
    <col min="62" max="62" width="3.57421875" style="102" customWidth="1"/>
    <col min="63" max="63" width="3.00390625" style="6" customWidth="1"/>
    <col min="64" max="64" width="2.00390625" style="2" customWidth="1"/>
    <col min="65" max="65" width="14.28125" style="39" customWidth="1"/>
    <col min="66" max="69" width="4.28125" style="2" customWidth="1"/>
    <col min="70" max="70" width="3.8515625" style="2" customWidth="1"/>
    <col min="71" max="74" width="2.00390625" style="42" customWidth="1"/>
    <col min="75" max="75" width="1.7109375" style="42" customWidth="1"/>
    <col min="76" max="76" width="3.00390625" style="42" customWidth="1"/>
    <col min="77" max="77" width="14.28125" style="42" customWidth="1"/>
    <col min="78" max="78" width="2.28125" style="42" customWidth="1"/>
    <col min="79" max="79" width="3.28125" style="42" customWidth="1"/>
    <col min="80" max="80" width="3.00390625" style="42" customWidth="1"/>
    <col min="81" max="81" width="4.421875" style="42" customWidth="1"/>
    <col min="82" max="82" width="19.28125" style="42" customWidth="1"/>
    <col min="83" max="83" width="3.140625" style="54" customWidth="1"/>
    <col min="84" max="84" width="3.57421875" style="42" customWidth="1"/>
    <col min="85" max="86" width="2.8515625" style="42" customWidth="1"/>
    <col min="87" max="88" width="2.8515625" style="2" customWidth="1"/>
    <col min="89" max="89" width="3.140625" style="2" customWidth="1"/>
    <col min="90" max="90" width="6.421875" style="2" customWidth="1"/>
    <col min="91" max="94" width="2.8515625" style="2" customWidth="1"/>
    <col min="95" max="95" width="7.7109375" style="2" customWidth="1"/>
    <col min="96" max="99" width="3.00390625" style="2" customWidth="1"/>
    <col min="100" max="100" width="3.140625" style="2" customWidth="1"/>
    <col min="101" max="104" width="11.421875" style="2" customWidth="1"/>
    <col min="105" max="16384" width="11.421875" style="2" customWidth="1"/>
  </cols>
  <sheetData>
    <row r="1" spans="1:101" s="10" customFormat="1" ht="14.25" thickBot="1" thickTop="1">
      <c r="A1" s="10" t="s">
        <v>64</v>
      </c>
      <c r="B1" s="40" t="s">
        <v>23</v>
      </c>
      <c r="C1" s="41" t="s">
        <v>24</v>
      </c>
      <c r="D1" s="7"/>
      <c r="E1" s="9"/>
      <c r="F1" s="7"/>
      <c r="G1" s="86"/>
      <c r="H1" s="101"/>
      <c r="I1" s="92"/>
      <c r="J1" s="104"/>
      <c r="K1" s="93"/>
      <c r="L1" s="7"/>
      <c r="M1" s="31" t="s">
        <v>26</v>
      </c>
      <c r="N1" s="7" t="s">
        <v>27</v>
      </c>
      <c r="O1" s="7" t="s">
        <v>28</v>
      </c>
      <c r="P1" s="7" t="s">
        <v>29</v>
      </c>
      <c r="Q1" s="7" t="s">
        <v>30</v>
      </c>
      <c r="R1" s="7"/>
      <c r="S1" s="42"/>
      <c r="T1" s="42"/>
      <c r="U1" s="42"/>
      <c r="V1" s="42"/>
      <c r="W1" s="35"/>
      <c r="X1" s="35" t="s">
        <v>31</v>
      </c>
      <c r="Y1" s="43" t="s">
        <v>32</v>
      </c>
      <c r="Z1" s="35" t="s">
        <v>27</v>
      </c>
      <c r="AA1" s="35" t="s">
        <v>28</v>
      </c>
      <c r="AB1" s="35" t="s">
        <v>29</v>
      </c>
      <c r="AC1" s="35" t="s">
        <v>30</v>
      </c>
      <c r="AD1" s="35"/>
      <c r="AE1" s="92" t="s">
        <v>65</v>
      </c>
      <c r="AF1" s="50" t="s">
        <v>66</v>
      </c>
      <c r="AG1" s="50"/>
      <c r="AH1" s="50"/>
      <c r="AI1" s="50"/>
      <c r="AJ1" s="50" t="s">
        <v>67</v>
      </c>
      <c r="AK1" s="43" t="s">
        <v>68</v>
      </c>
      <c r="AL1" s="50" t="s">
        <v>69</v>
      </c>
      <c r="AM1" s="50"/>
      <c r="AN1" s="50"/>
      <c r="AO1" s="50"/>
      <c r="AP1" s="50" t="s">
        <v>70</v>
      </c>
      <c r="AQ1" s="50" t="s">
        <v>71</v>
      </c>
      <c r="AR1" s="50"/>
      <c r="AS1" s="50"/>
      <c r="AT1" s="50"/>
      <c r="AU1" s="38" t="s">
        <v>72</v>
      </c>
      <c r="AV1" s="43" t="s">
        <v>73</v>
      </c>
      <c r="AW1" s="87"/>
      <c r="BB1" s="18" t="s">
        <v>23</v>
      </c>
      <c r="BC1" s="19" t="s">
        <v>74</v>
      </c>
      <c r="BD1" s="35" t="s">
        <v>25</v>
      </c>
      <c r="BE1" s="36"/>
      <c r="BF1" s="35"/>
      <c r="BG1" s="111"/>
      <c r="BH1" s="101"/>
      <c r="BI1" s="92"/>
      <c r="BJ1" s="104"/>
      <c r="BK1" s="93"/>
      <c r="BL1" s="7"/>
      <c r="BM1" s="31" t="s">
        <v>26</v>
      </c>
      <c r="BN1" s="7" t="s">
        <v>27</v>
      </c>
      <c r="BO1" s="7" t="s">
        <v>28</v>
      </c>
      <c r="BP1" s="7" t="s">
        <v>29</v>
      </c>
      <c r="BQ1" s="7" t="s">
        <v>30</v>
      </c>
      <c r="BR1" s="7"/>
      <c r="BS1" s="42"/>
      <c r="BT1" s="42"/>
      <c r="BU1" s="42"/>
      <c r="BV1" s="42"/>
      <c r="BW1" s="35"/>
      <c r="BX1" s="35" t="s">
        <v>31</v>
      </c>
      <c r="BY1" s="43" t="s">
        <v>32</v>
      </c>
      <c r="BZ1" s="35" t="s">
        <v>27</v>
      </c>
      <c r="CA1" s="35" t="s">
        <v>28</v>
      </c>
      <c r="CB1" s="35" t="s">
        <v>29</v>
      </c>
      <c r="CC1" s="35" t="s">
        <v>30</v>
      </c>
      <c r="CD1" s="35"/>
      <c r="CE1" s="92" t="s">
        <v>65</v>
      </c>
      <c r="CF1" s="50" t="s">
        <v>66</v>
      </c>
      <c r="CG1" s="50"/>
      <c r="CH1" s="50"/>
      <c r="CI1" s="11"/>
      <c r="CJ1" s="11" t="s">
        <v>67</v>
      </c>
      <c r="CK1" s="8" t="s">
        <v>68</v>
      </c>
      <c r="CL1" s="11" t="s">
        <v>69</v>
      </c>
      <c r="CM1" s="11"/>
      <c r="CN1" s="11"/>
      <c r="CO1" s="11"/>
      <c r="CP1" s="11" t="s">
        <v>70</v>
      </c>
      <c r="CQ1" s="11" t="s">
        <v>71</v>
      </c>
      <c r="CR1" s="11"/>
      <c r="CS1" s="11"/>
      <c r="CT1" s="11"/>
      <c r="CU1" s="13" t="s">
        <v>72</v>
      </c>
      <c r="CV1" s="8" t="s">
        <v>73</v>
      </c>
      <c r="CW1" s="44"/>
    </row>
    <row r="2" spans="2:101" ht="13.5" thickTop="1">
      <c r="B2" s="3" t="s">
        <v>33</v>
      </c>
      <c r="C2" s="3" t="s">
        <v>34</v>
      </c>
      <c r="L2" s="1"/>
      <c r="M2" s="39" t="str">
        <f>VLOOKUP(1,$X$2:$AC$5,2,FALSE)</f>
        <v>Neuseeland</v>
      </c>
      <c r="N2" s="2">
        <f>VLOOKUP(1,$X$2:$AC$5,3,FALSE)</f>
        <v>0</v>
      </c>
      <c r="O2" s="2">
        <f>VLOOKUP(1,$X$2:$AC$5,4,FALSE)</f>
        <v>0</v>
      </c>
      <c r="P2" s="2">
        <f>VLOOKUP(1,$X$2:$AC$5,5,FALSE)</f>
        <v>0</v>
      </c>
      <c r="Q2" s="2">
        <f>VLOOKUP(1,$X$2:$AC$5,6,FALSE)</f>
        <v>0</v>
      </c>
      <c r="S2" s="45"/>
      <c r="T2" s="46">
        <f>IF(H3="",0,IF(K3=$B$57,IF(H3&gt;J3,3,IF(H3=J3,1,0)),0))</f>
        <v>0</v>
      </c>
      <c r="U2" s="46">
        <f>IF(H5="",0,IF(K5=$B$57,IF(H5&gt;J5,3,IF(H5=J5,1,0)),0))</f>
        <v>0</v>
      </c>
      <c r="V2" s="46">
        <f>IF(J7="",0,IF(K7=$B$57,IF(H7&lt;J7,3,IF(H7=J7,1,0)),0))</f>
        <v>0</v>
      </c>
      <c r="W2" s="47"/>
      <c r="X2" s="112">
        <f>RANK(AD2,AD2:AD5)+COUNTIF(AD2:AD2,AD2)-1</f>
        <v>1</v>
      </c>
      <c r="Y2" s="48" t="s">
        <v>161</v>
      </c>
      <c r="Z2" s="47">
        <f>SUM(S2:V2)</f>
        <v>0</v>
      </c>
      <c r="AA2" s="47">
        <f>SUM(S6:V6)</f>
        <v>0</v>
      </c>
      <c r="AB2" s="47">
        <f>SUM(S6:S9)</f>
        <v>0</v>
      </c>
      <c r="AC2" s="47">
        <f>AA2-AB2</f>
        <v>0</v>
      </c>
      <c r="AD2" s="49">
        <f>IF(P$8="",(((((((AE2*10+Z2)*100+AC2)*100+AA2)*10+AK2)*10+AJ2)*100+AP2)*100+AU2)*10+AV2,(((((((AE2*10+Z2)*10+AK2)*10+AJ2)*100+AP2)*100+AU2)*100+AC2)*100+AA2)*10+AV2)</f>
        <v>4</v>
      </c>
      <c r="AE2" s="94"/>
      <c r="AF2" s="113"/>
      <c r="AG2" s="113">
        <f>IF($Z2=$Z3,$T2-$S3,0)</f>
        <v>0</v>
      </c>
      <c r="AH2" s="113">
        <f>IF($Z2=$Z4,$U2-$S4,0)</f>
        <v>0</v>
      </c>
      <c r="AI2" s="113">
        <f>IF($Z2=$Z5,$V2-$S5,0)</f>
        <v>0</v>
      </c>
      <c r="AJ2" s="113">
        <f>SUM(AF2:AI2)</f>
        <v>0</v>
      </c>
      <c r="AK2" s="94"/>
      <c r="AL2" s="113"/>
      <c r="AM2" s="113">
        <f>IF($Z2=$Z3,$T6-$S7,0)</f>
        <v>0</v>
      </c>
      <c r="AN2" s="113">
        <f>IF($Z2=$Z4,$U6-$S8,0)</f>
        <v>0</v>
      </c>
      <c r="AO2" s="113">
        <f>IF($Z2=$Z5,$V6-$S9,0)</f>
        <v>0</v>
      </c>
      <c r="AP2" s="113">
        <f>SUM(AL2:AO2)</f>
        <v>0</v>
      </c>
      <c r="AQ2" s="113"/>
      <c r="AR2" s="113">
        <f>IF($Z2=$Z3,$T6,0)</f>
        <v>0</v>
      </c>
      <c r="AS2" s="113">
        <f>IF($Z2=$Z4,$U6,0)</f>
        <v>0</v>
      </c>
      <c r="AT2" s="113">
        <f>IF($Z2=$Z5,$V6,0)</f>
        <v>0</v>
      </c>
      <c r="AU2" s="113">
        <f>SUM(AQ2:AT2)</f>
        <v>0</v>
      </c>
      <c r="AV2" s="114">
        <f>IF(AND(COUNTIF(K3:K8,$B$57)=COUNTA(H3:H8),COUNTIF(K3:K8,$B$57)=COUNTA(J3:J8)),IF(AU2=AU3,T6-S7,IF(AU2=AU4,U6-S8,IF(AU2=AU5,V6-S9,4))),4)</f>
        <v>4</v>
      </c>
      <c r="AW2" s="88"/>
      <c r="BB2" s="3" t="s">
        <v>33</v>
      </c>
      <c r="BC2" s="3" t="s">
        <v>34</v>
      </c>
      <c r="BD2" s="42"/>
      <c r="BE2" s="42"/>
      <c r="BF2" s="42"/>
      <c r="BG2" s="42"/>
      <c r="BL2" s="1"/>
      <c r="BM2" s="39" t="str">
        <f>VLOOKUP(1,$BX$2:$CC$5,2,FALSE)</f>
        <v>USA</v>
      </c>
      <c r="BN2" s="2">
        <f>VLOOKUP(1,$BX$2:$CC$5,3,FALSE)</f>
        <v>0</v>
      </c>
      <c r="BO2" s="2">
        <f>VLOOKUP(1,$BX$2:$CC$5,4,FALSE)</f>
        <v>0</v>
      </c>
      <c r="BP2" s="2">
        <f>VLOOKUP(1,$BX$2:$CC$5,5,FALSE)</f>
        <v>0</v>
      </c>
      <c r="BQ2" s="2">
        <f>VLOOKUP(1,$BX$2:$CC$5,6,FALSE)</f>
        <v>0</v>
      </c>
      <c r="BS2" s="45"/>
      <c r="BT2" s="46">
        <f>IF(BH3="",0,IF(BK3=$B$57,IF(BH3&gt;BJ3,3,IF(BH3=BJ3,1,0)),0))</f>
        <v>0</v>
      </c>
      <c r="BU2" s="46">
        <f>IF(BH5="",0,IF(BK5=$B$57,IF(BH5&gt;BJ5,3,IF(BH5=BJ5,1,0)),0))</f>
        <v>0</v>
      </c>
      <c r="BV2" s="46">
        <f>IF(BJ7="",0,IF(BK7=$B$57,IF(BH7&lt;BJ7,3,IF(BH7=BJ7,1,0)),0))</f>
        <v>0</v>
      </c>
      <c r="BW2" s="47"/>
      <c r="BX2" s="112">
        <f>RANK(CD2,CD2:CD5)+COUNTIF(CD2:CD2,CD2)-1</f>
        <v>1</v>
      </c>
      <c r="BY2" s="48" t="s">
        <v>162</v>
      </c>
      <c r="BZ2" s="47">
        <f>SUM(BS2:BV2)</f>
        <v>0</v>
      </c>
      <c r="CA2" s="47">
        <f>SUM(BS6:BV6)</f>
        <v>0</v>
      </c>
      <c r="CB2" s="47">
        <f>SUM(BS6:BS9)</f>
        <v>0</v>
      </c>
      <c r="CC2" s="47">
        <f>CA2-CB2</f>
        <v>0</v>
      </c>
      <c r="CD2" s="49">
        <f>IF(BP$8="",(((((((CE2*10+BZ2)*100+CC2)*100+CA2)*10+CK2)*10+CJ2)*100+CP2)*100+CU2)*10+CV2,(((((((CE2*10+BZ2)*10+CK2)*10+CJ2)*100+CP2)*100+CU2)*100+CC2)*100+CA2)*10+CV2)</f>
        <v>4</v>
      </c>
      <c r="CE2" s="94"/>
      <c r="CF2" s="113"/>
      <c r="CG2" s="113">
        <f>IF($BZ2=$BZ3,$BT2-$BS3,0)</f>
        <v>0</v>
      </c>
      <c r="CH2" s="113">
        <f>IF($BZ2=$BZ4,$BU2-$BS4,0)</f>
        <v>0</v>
      </c>
      <c r="CI2" s="115">
        <f>IF($BZ2=$BZ5,$BV2-$BS5,0)</f>
        <v>0</v>
      </c>
      <c r="CJ2" s="115">
        <f>SUM(CF2:CI2)</f>
        <v>0</v>
      </c>
      <c r="CK2" s="95"/>
      <c r="CL2" s="115"/>
      <c r="CM2" s="115">
        <f>IF($BZ2=$BZ3,$BT6-$BS7,0)</f>
        <v>0</v>
      </c>
      <c r="CN2" s="115">
        <f>IF($BZ2=$BZ4,$BU6-$BS8,0)</f>
        <v>0</v>
      </c>
      <c r="CO2" s="115">
        <f>IF($BZ2=$BZ5,$BV6-$BS9,0)</f>
        <v>0</v>
      </c>
      <c r="CP2" s="115">
        <f>SUM(CL2:CO2)</f>
        <v>0</v>
      </c>
      <c r="CQ2" s="115"/>
      <c r="CR2" s="115">
        <f>IF($BZ2=$BZ3,$BT6,0)</f>
        <v>0</v>
      </c>
      <c r="CS2" s="115">
        <f>IF($BZ2=$BZ4,$BU6,0)</f>
        <v>0</v>
      </c>
      <c r="CT2" s="115">
        <f>IF($BZ2=$BZ5,$BV6,0)</f>
        <v>0</v>
      </c>
      <c r="CU2" s="115">
        <f>SUM(CQ2:CT2)</f>
        <v>0</v>
      </c>
      <c r="CV2" s="114">
        <f>IF(AND(COUNTIF(BK3:BK8,$B$57)=COUNTA(BH3:BH8),COUNTIF(BK3:BK8,$B$57)=COUNTA(BJ3:BJ8)),IF(CU2=CU3,BT6-BS7,IF(CU2=CU4,BU6-BS8,IF(CU2=CU5,BV6-BS9,4))),4)</f>
        <v>4</v>
      </c>
      <c r="CW2" s="49"/>
    </row>
    <row r="3" spans="1:101" ht="12.75">
      <c r="A3" s="2">
        <v>1</v>
      </c>
      <c r="B3" s="5">
        <v>45127.375</v>
      </c>
      <c r="C3" s="4" t="s">
        <v>163</v>
      </c>
      <c r="D3" s="43" t="str">
        <f>Y2</f>
        <v>Neuseeland</v>
      </c>
      <c r="E3" s="50" t="s">
        <v>35</v>
      </c>
      <c r="F3" s="43" t="str">
        <f>Y3</f>
        <v>Norwegen</v>
      </c>
      <c r="G3" s="35"/>
      <c r="H3" s="103"/>
      <c r="I3" s="105" t="s">
        <v>36</v>
      </c>
      <c r="J3" s="103"/>
      <c r="K3" s="6" t="s">
        <v>62</v>
      </c>
      <c r="L3" s="1"/>
      <c r="M3" s="39" t="str">
        <f>VLOOKUP(2,$X$2:$AC$5,2,FALSE)</f>
        <v>Norwegen</v>
      </c>
      <c r="N3" s="2">
        <f>VLOOKUP(2,$X$2:$AC$5,3,FALSE)</f>
        <v>0</v>
      </c>
      <c r="O3" s="2">
        <f>VLOOKUP(2,$X$2:$AC$5,4,FALSE)</f>
        <v>0</v>
      </c>
      <c r="P3" s="2">
        <f>VLOOKUP(2,$X$2:$AC$5,5,FALSE)</f>
        <v>0</v>
      </c>
      <c r="Q3" s="2">
        <f>VLOOKUP(2,$X$2:$AC$5,6,FALSE)</f>
        <v>0</v>
      </c>
      <c r="S3" s="46">
        <f>IF(J3="",0,IF(K3=$B$57,IF(H3&lt;J3,3,IF(H3=J3,1,0)),0))</f>
        <v>0</v>
      </c>
      <c r="T3" s="45"/>
      <c r="U3" s="46">
        <f>IF(H8="",0,IF(K8=$B$57,IF(H8&gt;J8,3,IF(H8=J8,1,0)),0))</f>
        <v>0</v>
      </c>
      <c r="V3" s="46">
        <f>IF(H6="",0,IF(K6=$B$57,IF(H6&gt;J6,3,IF(H6=J6,1,0)),0))</f>
        <v>0</v>
      </c>
      <c r="W3" s="47"/>
      <c r="X3" s="112">
        <f>RANK(AD3,AD2:AD5)+COUNTIF(AD2:AD3,AD3)-1</f>
        <v>2</v>
      </c>
      <c r="Y3" s="48" t="s">
        <v>164</v>
      </c>
      <c r="Z3" s="47">
        <f>SUM(S3:V3)</f>
        <v>0</v>
      </c>
      <c r="AA3" s="47">
        <f>SUM(S7:V7)</f>
        <v>0</v>
      </c>
      <c r="AB3" s="47">
        <f>SUM(T6:T9)</f>
        <v>0</v>
      </c>
      <c r="AC3" s="47">
        <f>AA3-AB3</f>
        <v>0</v>
      </c>
      <c r="AD3" s="49">
        <f>IF(P$8="",(((((((AE3*10+Z3)*100+AC3)*100+AA3)*10+AK3)*10+AJ3)*100+AP3)*100+AU3)*10+AV3,(((((((AE3*10+Z3)*10+AK3)*10+AJ3)*100+AP3)*100+AU3)*100+AC3)*100+AA3)*10+AV3)</f>
        <v>3</v>
      </c>
      <c r="AE3" s="94"/>
      <c r="AF3" s="113">
        <f>IF($Z3=$Z2,$S3-$T2,0)</f>
        <v>0</v>
      </c>
      <c r="AG3" s="113"/>
      <c r="AH3" s="113">
        <f>IF($Z3=$Z4,$U3-$T4,0)</f>
        <v>0</v>
      </c>
      <c r="AI3" s="113">
        <f>IF($Z3=$Z5,$V3-$T5,0)</f>
        <v>0</v>
      </c>
      <c r="AJ3" s="113">
        <f>SUM(AF3:AI3)</f>
        <v>0</v>
      </c>
      <c r="AK3" s="94"/>
      <c r="AL3" s="113">
        <f>IF($Z3=$Z2,$S7-$T6,0)</f>
        <v>0</v>
      </c>
      <c r="AM3" s="113"/>
      <c r="AN3" s="113">
        <f>IF($Z3=$Z4,$U7-$T8,0)</f>
        <v>0</v>
      </c>
      <c r="AO3" s="113">
        <f>IF($Z3=$Z5,$V7-$T9,0)</f>
        <v>0</v>
      </c>
      <c r="AP3" s="113">
        <f>SUM(AL3:AO3)</f>
        <v>0</v>
      </c>
      <c r="AQ3" s="113">
        <f>IF($Z3=$Z2,$S7,0)</f>
        <v>0</v>
      </c>
      <c r="AR3" s="113"/>
      <c r="AS3" s="113">
        <f>IF($Z3=$Z4,$U7,0)</f>
        <v>0</v>
      </c>
      <c r="AT3" s="113">
        <f>IF($Z3=$Z5,$V7,0)</f>
        <v>0</v>
      </c>
      <c r="AU3" s="113">
        <f>SUM(AQ3:AT3)</f>
        <v>0</v>
      </c>
      <c r="AV3" s="114">
        <f>IF(AND(COUNTIF(K3:K8,$B$57)=COUNTA(H3:H8),COUNTIF(K3:K8,$B$57)=COUNTA(J3:J8)),IF(AU3=AU2,S7-T6,IF(AU3=AU4,U7-T8,IF(AU3=AU5,V7-T9,3))),3)</f>
        <v>3</v>
      </c>
      <c r="AW3" s="88"/>
      <c r="BA3" s="2">
        <v>9</v>
      </c>
      <c r="BB3" s="5">
        <v>45129.125</v>
      </c>
      <c r="BC3" s="4" t="s">
        <v>163</v>
      </c>
      <c r="BD3" s="43" t="str">
        <f>BY2</f>
        <v>USA</v>
      </c>
      <c r="BE3" s="50" t="s">
        <v>35</v>
      </c>
      <c r="BF3" s="43" t="str">
        <f>BY3</f>
        <v>Vietnam</v>
      </c>
      <c r="BG3" s="35"/>
      <c r="BH3" s="103"/>
      <c r="BI3" s="105" t="s">
        <v>36</v>
      </c>
      <c r="BJ3" s="103"/>
      <c r="BK3" s="6" t="s">
        <v>62</v>
      </c>
      <c r="BL3" s="1"/>
      <c r="BM3" s="39" t="str">
        <f>VLOOKUP(2,$BX$2:$CC$5,2,FALSE)</f>
        <v>Vietnam</v>
      </c>
      <c r="BN3" s="2">
        <f>VLOOKUP(2,$BX$2:$CC$5,3,FALSE)</f>
        <v>0</v>
      </c>
      <c r="BO3" s="2">
        <f>VLOOKUP(2,$BX$2:$CC$5,4,FALSE)</f>
        <v>0</v>
      </c>
      <c r="BP3" s="2">
        <f>VLOOKUP(2,$BX$2:$CC$5,5,FALSE)</f>
        <v>0</v>
      </c>
      <c r="BQ3" s="2">
        <f>VLOOKUP(2,$BX$2:$CC$5,6,FALSE)</f>
        <v>0</v>
      </c>
      <c r="BS3" s="46">
        <f>IF(BJ3="",0,IF(BK3=$B$57,IF(BH3&lt;BJ3,3,IF(BH3=BJ3,1,0)),0))</f>
        <v>0</v>
      </c>
      <c r="BT3" s="45"/>
      <c r="BU3" s="46">
        <f>IF(BH8="",0,IF(BK8=$B$57,IF(BH8&gt;BJ8,3,IF(BH8=BJ8,1,0)),0))</f>
        <v>0</v>
      </c>
      <c r="BV3" s="46">
        <f>IF(BH6="",0,IF(BK6=$B$57,IF(BH6&gt;BJ6,3,IF(BH6=BJ6,1,0)),0))</f>
        <v>0</v>
      </c>
      <c r="BW3" s="47"/>
      <c r="BX3" s="112">
        <f>RANK(CD3,CD2:CD5)+COUNTIF(CD2:CD3,CD3)-1</f>
        <v>2</v>
      </c>
      <c r="BY3" s="48" t="s">
        <v>165</v>
      </c>
      <c r="BZ3" s="47">
        <f>SUM(BS3:BV3)</f>
        <v>0</v>
      </c>
      <c r="CA3" s="47">
        <f>SUM(BS7:BV7)</f>
        <v>0</v>
      </c>
      <c r="CB3" s="47">
        <f>SUM(BT6:BT9)</f>
        <v>0</v>
      </c>
      <c r="CC3" s="47">
        <f>CA3-CB3</f>
        <v>0</v>
      </c>
      <c r="CD3" s="49">
        <f>IF(BP$8="",(((((((CE3*10+BZ3)*100+CC3)*100+CA3)*10+CK3)*10+CJ3)*100+CP3)*100+CU3)*10+CV3,(((((((CE3*10+BZ3)*10+CK3)*10+CJ3)*100+CP3)*100+CU3)*100+CC3)*100+CA3)*10+CV3)</f>
        <v>3</v>
      </c>
      <c r="CE3" s="94"/>
      <c r="CF3" s="113">
        <f>IF($BZ3=$BZ2,$BS3-$BT2,0)</f>
        <v>0</v>
      </c>
      <c r="CG3" s="113"/>
      <c r="CH3" s="113">
        <f>IF($BZ3=$BZ4,$BU3-$BT4,0)</f>
        <v>0</v>
      </c>
      <c r="CI3" s="115">
        <f>IF($BZ3=$BZ5,$BV3-$BT5,0)</f>
        <v>0</v>
      </c>
      <c r="CJ3" s="115">
        <f>SUM(CF3:CI3)</f>
        <v>0</v>
      </c>
      <c r="CK3" s="95"/>
      <c r="CL3" s="115">
        <f>IF($BZ3=$BZ2,$BS7-$BT6,0)</f>
        <v>0</v>
      </c>
      <c r="CM3" s="115"/>
      <c r="CN3" s="115">
        <f>IF($BZ3=$BZ4,$BU7-$BT8,0)</f>
        <v>0</v>
      </c>
      <c r="CO3" s="115">
        <f>IF($BZ3=$BZ5,$BV7-$BT9,0)</f>
        <v>0</v>
      </c>
      <c r="CP3" s="115">
        <f>SUM(CL3:CO3)</f>
        <v>0</v>
      </c>
      <c r="CQ3" s="115">
        <f>IF($BZ3=$BZ2,$BS7,0)</f>
        <v>0</v>
      </c>
      <c r="CR3" s="115"/>
      <c r="CS3" s="115">
        <f>IF($BZ3=$BZ4,$BU7,0)</f>
        <v>0</v>
      </c>
      <c r="CT3" s="115">
        <f>IF($BZ3=$BZ5,$BV7,0)</f>
        <v>0</v>
      </c>
      <c r="CU3" s="115">
        <f>SUM(CQ3:CT3)</f>
        <v>0</v>
      </c>
      <c r="CV3" s="114">
        <f>IF(AND(COUNTIF(BK3:BK8,$B$57)=COUNTA(BH3:BH8),COUNTIF(BK3:BK8,$B$57)=COUNTA(BJ3:BJ8)),IF(CU3=CU2,BS7-BT6,IF(CU3=CU4,BU7-BT8,IF(CU3=CU5,BV7-BT9,3))),3)</f>
        <v>3</v>
      </c>
      <c r="CW3" s="49"/>
    </row>
    <row r="4" spans="1:101" ht="12.75">
      <c r="A4" s="2">
        <v>2</v>
      </c>
      <c r="B4" s="5">
        <v>45128.291666666664</v>
      </c>
      <c r="C4" s="4" t="s">
        <v>166</v>
      </c>
      <c r="D4" s="43" t="str">
        <f>Y4</f>
        <v>Philippinen</v>
      </c>
      <c r="E4" s="50" t="s">
        <v>35</v>
      </c>
      <c r="F4" s="43" t="str">
        <f>Y5</f>
        <v>Schweiz</v>
      </c>
      <c r="G4" s="35"/>
      <c r="H4" s="103"/>
      <c r="I4" s="105" t="s">
        <v>36</v>
      </c>
      <c r="J4" s="103"/>
      <c r="K4" s="6" t="s">
        <v>62</v>
      </c>
      <c r="L4" s="1"/>
      <c r="M4" s="39" t="str">
        <f>VLOOKUP(3,$X$2:$AC$5,2,FALSE)</f>
        <v>Philippinen</v>
      </c>
      <c r="N4" s="2">
        <f>VLOOKUP(3,$X$2:$AC$5,3,FALSE)</f>
        <v>0</v>
      </c>
      <c r="O4" s="2">
        <f>VLOOKUP(3,$X$2:$AC$5,4,FALSE)</f>
        <v>0</v>
      </c>
      <c r="P4" s="2">
        <f>VLOOKUP(3,$X$2:$AC$5,5,FALSE)</f>
        <v>0</v>
      </c>
      <c r="Q4" s="2">
        <f>VLOOKUP(3,$X$2:$AC$5,6,FALSE)</f>
        <v>0</v>
      </c>
      <c r="S4" s="46">
        <f>IF(J5="",0,IF(K5=$B$57,IF(H5&lt;J5,3,IF(H5=J5,1,0)),0))</f>
        <v>0</v>
      </c>
      <c r="T4" s="46">
        <f>IF(J8="",0,IF(K8=$B$57,IF(H8&lt;J8,3,IF(H8=J8,1,0)),0))</f>
        <v>0</v>
      </c>
      <c r="U4" s="45"/>
      <c r="V4" s="46">
        <f>IF(H4="",0,IF(K4=$B$57,IF(H4&gt;J4,3,IF(H4=J4,1,0)),0))</f>
        <v>0</v>
      </c>
      <c r="W4" s="47"/>
      <c r="X4" s="112">
        <f>RANK(AD4,AD2:AD5)+COUNTIF(AD2:AD4,AD4)-1</f>
        <v>3</v>
      </c>
      <c r="Y4" s="48" t="s">
        <v>167</v>
      </c>
      <c r="Z4" s="47">
        <f>SUM(S4:V4)</f>
        <v>0</v>
      </c>
      <c r="AA4" s="47">
        <f>SUM(S8:V8)</f>
        <v>0</v>
      </c>
      <c r="AB4" s="47">
        <f>SUM(U6:U9)</f>
        <v>0</v>
      </c>
      <c r="AC4" s="47">
        <f>AA4-AB4</f>
        <v>0</v>
      </c>
      <c r="AD4" s="49">
        <f>IF(P$8="",(((((((AE4*10+Z4)*100+AC4)*100+AA4)*10+AK4)*10+AJ4)*100+AP4)*100+AU4)*10+AV4,(((((((AE4*10+Z4)*10+AK4)*10+AJ4)*100+AP4)*100+AU4)*100+AC4)*100+AA4)*10+AV4)</f>
        <v>2</v>
      </c>
      <c r="AE4" s="94"/>
      <c r="AF4" s="113">
        <f>IF($Z4=$Z2,$S4-$U2,0)</f>
        <v>0</v>
      </c>
      <c r="AG4" s="113">
        <f>IF($Z4=$Z3,$T4-$U3,0)</f>
        <v>0</v>
      </c>
      <c r="AH4" s="113"/>
      <c r="AI4" s="113">
        <f>IF($Z4=$Z5,$V4-$U5,0)</f>
        <v>0</v>
      </c>
      <c r="AJ4" s="113">
        <f>SUM(AF4:AI4)</f>
        <v>0</v>
      </c>
      <c r="AK4" s="94"/>
      <c r="AL4" s="113">
        <f>IF($Z4=$Z2,$S8-$U6,0)</f>
        <v>0</v>
      </c>
      <c r="AM4" s="113">
        <f>IF($Z4=$Z3,$T8-$U7,0)</f>
        <v>0</v>
      </c>
      <c r="AN4" s="113"/>
      <c r="AO4" s="113">
        <f>IF($Z4=$Z5,$V8-$U9,0)</f>
        <v>0</v>
      </c>
      <c r="AP4" s="113">
        <f>SUM(AL4:AO4)</f>
        <v>0</v>
      </c>
      <c r="AQ4" s="113">
        <f>IF($Z4=$Z2,$S8,0)</f>
        <v>0</v>
      </c>
      <c r="AR4" s="113">
        <f>IF($Z4=$Z3,$T8,0)</f>
        <v>0</v>
      </c>
      <c r="AS4" s="113"/>
      <c r="AT4" s="113">
        <f>IF($Z4=$Z5,$V8,0)</f>
        <v>0</v>
      </c>
      <c r="AU4" s="113">
        <f>SUM(AQ4:AT4)</f>
        <v>0</v>
      </c>
      <c r="AV4" s="114">
        <f>IF(AND(COUNTIF(K3:K8,$B$57)=COUNTA(H3:H8),COUNTIF(K3:K8,$B$57)=COUNTA(J3:J8)),IF(AU4=AU2,S8-U6,IF(AU4=AU3,T8-U7,IF(AU4=AU5,V8-U9,2))),2)</f>
        <v>2</v>
      </c>
      <c r="AW4" s="88"/>
      <c r="BA4" s="2">
        <v>10</v>
      </c>
      <c r="BB4" s="5">
        <v>45130.395833333336</v>
      </c>
      <c r="BC4" s="4" t="s">
        <v>166</v>
      </c>
      <c r="BD4" s="43" t="str">
        <f>BY4</f>
        <v>Niederlande</v>
      </c>
      <c r="BE4" s="50" t="s">
        <v>35</v>
      </c>
      <c r="BF4" s="43" t="str">
        <f>BY5</f>
        <v>Portugal</v>
      </c>
      <c r="BG4" s="35"/>
      <c r="BH4" s="103"/>
      <c r="BI4" s="105" t="s">
        <v>36</v>
      </c>
      <c r="BJ4" s="103"/>
      <c r="BK4" s="6" t="s">
        <v>62</v>
      </c>
      <c r="BL4" s="1"/>
      <c r="BM4" s="39" t="str">
        <f>VLOOKUP(3,$BX$2:$CC$5,2,FALSE)</f>
        <v>Niederlande</v>
      </c>
      <c r="BN4" s="2">
        <f>VLOOKUP(3,$BX$2:$CC$5,3,FALSE)</f>
        <v>0</v>
      </c>
      <c r="BO4" s="2">
        <f>VLOOKUP(3,$BX$2:$CC$5,4,FALSE)</f>
        <v>0</v>
      </c>
      <c r="BP4" s="2">
        <f>VLOOKUP(3,$BX$2:$CC$5,5,FALSE)</f>
        <v>0</v>
      </c>
      <c r="BQ4" s="2">
        <f>VLOOKUP(3,$BX$2:$CC$5,6,FALSE)</f>
        <v>0</v>
      </c>
      <c r="BS4" s="46">
        <f>IF(BJ5="",0,IF(BK5=$B$57,IF(BH5&lt;BJ5,3,IF(BH5=BJ5,1,0)),0))</f>
        <v>0</v>
      </c>
      <c r="BT4" s="46">
        <f>IF(BJ8="",0,IF(BK8=$B$57,IF(BH8&lt;BJ8,3,IF(BH8=BJ8,1,0)),0))</f>
        <v>0</v>
      </c>
      <c r="BU4" s="45"/>
      <c r="BV4" s="46">
        <f>IF(BH4="",0,IF(BK4=$B$57,IF(BH4&gt;BJ4,3,IF(BH4=BJ4,1,0)),0))</f>
        <v>0</v>
      </c>
      <c r="BW4" s="47"/>
      <c r="BX4" s="112">
        <f>RANK(CD4,CD2:CD5)+COUNTIF(CD2:CD4,CD4)-1</f>
        <v>3</v>
      </c>
      <c r="BY4" s="48" t="s">
        <v>40</v>
      </c>
      <c r="BZ4" s="47">
        <f>SUM(BS4:BV4)</f>
        <v>0</v>
      </c>
      <c r="CA4" s="47">
        <f>SUM(BS8:BV8)</f>
        <v>0</v>
      </c>
      <c r="CB4" s="47">
        <f>SUM(BU6:BU9)</f>
        <v>0</v>
      </c>
      <c r="CC4" s="47">
        <f>CA4-CB4</f>
        <v>0</v>
      </c>
      <c r="CD4" s="49">
        <f>IF(BP$8="",(((((((CE4*10+BZ4)*100+CC4)*100+CA4)*10+CK4)*10+CJ4)*100+CP4)*100+CU4)*10+CV4,(((((((CE4*10+BZ4)*10+CK4)*10+CJ4)*100+CP4)*100+CU4)*100+CC4)*100+CA4)*10+CV4)</f>
        <v>2</v>
      </c>
      <c r="CE4" s="94"/>
      <c r="CF4" s="113">
        <f>IF($BZ4=$BZ2,$BS4-$BU2,0)</f>
        <v>0</v>
      </c>
      <c r="CG4" s="113">
        <f>IF($BZ4=$BZ3,$BT4-$BU3,0)</f>
        <v>0</v>
      </c>
      <c r="CH4" s="113"/>
      <c r="CI4" s="115">
        <f>IF($BZ4=$BZ5,$BV4-$BU5,0)</f>
        <v>0</v>
      </c>
      <c r="CJ4" s="115">
        <f>SUM(CF4:CI4)</f>
        <v>0</v>
      </c>
      <c r="CK4" s="95"/>
      <c r="CL4" s="115">
        <f>IF($BZ4=$BZ2,$BS8-$BU6,0)</f>
        <v>0</v>
      </c>
      <c r="CM4" s="115">
        <f>IF($BZ4=$BZ3,$BT8-$BU7,0)</f>
        <v>0</v>
      </c>
      <c r="CN4" s="115"/>
      <c r="CO4" s="115">
        <f>IF($BZ4=$BZ5,$BV8-$BU9,0)</f>
        <v>0</v>
      </c>
      <c r="CP4" s="115">
        <f>SUM(CL4:CO4)</f>
        <v>0</v>
      </c>
      <c r="CQ4" s="115">
        <f>IF($BZ4=$BZ2,$BS8,0)</f>
        <v>0</v>
      </c>
      <c r="CR4" s="115">
        <f>IF($BZ4=$BZ3,$BT8,0)</f>
        <v>0</v>
      </c>
      <c r="CS4" s="115"/>
      <c r="CT4" s="115">
        <f>IF($BZ4=$BZ5,$BV8,0)</f>
        <v>0</v>
      </c>
      <c r="CU4" s="115">
        <f>SUM(CQ4:CT4)</f>
        <v>0</v>
      </c>
      <c r="CV4" s="114">
        <f>IF(AND(COUNTIF(BK3:BK8,$B$57)=COUNTA(BH3:BH8),COUNTIF(BK3:BK8,$B$57)=COUNTA(BJ3:BJ8)),IF(CU4=CU2,BS8-BU6,IF(CU4=CU3,BT8-BU7,IF(CU4=CU5,BV8-BU9,2))),2)</f>
        <v>2</v>
      </c>
      <c r="CW4" s="49"/>
    </row>
    <row r="5" spans="1:101" ht="12.75">
      <c r="A5" s="2">
        <v>17</v>
      </c>
      <c r="B5" s="4">
        <v>45132.3125</v>
      </c>
      <c r="C5" s="4" t="s">
        <v>168</v>
      </c>
      <c r="D5" s="43" t="str">
        <f>Y2</f>
        <v>Neuseeland</v>
      </c>
      <c r="E5" s="50" t="s">
        <v>35</v>
      </c>
      <c r="F5" s="43" t="str">
        <f>Y4</f>
        <v>Philippinen</v>
      </c>
      <c r="G5" s="35"/>
      <c r="H5" s="103"/>
      <c r="I5" s="105" t="s">
        <v>36</v>
      </c>
      <c r="J5" s="103"/>
      <c r="K5" s="6" t="s">
        <v>62</v>
      </c>
      <c r="L5" s="1"/>
      <c r="M5" s="39" t="str">
        <f>VLOOKUP(4,$X$2:$AC$5,2,FALSE)</f>
        <v>Schweiz</v>
      </c>
      <c r="N5" s="2">
        <f>VLOOKUP(4,$X$2:$AC$5,3,FALSE)</f>
        <v>0</v>
      </c>
      <c r="O5" s="2">
        <f>VLOOKUP(4,$X$2:$AC$5,4,FALSE)</f>
        <v>0</v>
      </c>
      <c r="P5" s="2">
        <f>VLOOKUP(4,$X$2:$AC$5,5,FALSE)</f>
        <v>0</v>
      </c>
      <c r="Q5" s="2">
        <f>VLOOKUP(4,$X$2:$AC$5,6,FALSE)</f>
        <v>0</v>
      </c>
      <c r="S5" s="46">
        <f>IF(H7="",0,IF(K7=$B$57,IF(H7&gt;J7,3,IF(H7=J7,1,0)),0))</f>
        <v>0</v>
      </c>
      <c r="T5" s="46">
        <f>IF(J6="",0,IF(K6=$B$57,IF(H6&lt;J6,3,IF(H6=J6,1,0)),0))</f>
        <v>0</v>
      </c>
      <c r="U5" s="46">
        <f>IF(J4="",0,IF(K4=$B$57,IF(H4&lt;J4,3,IF(H4=J4,1,0)),0))</f>
        <v>0</v>
      </c>
      <c r="V5" s="45"/>
      <c r="W5" s="47"/>
      <c r="X5" s="112">
        <f>RANK(AD5,AD2:AD5)+COUNTIF(AD2:AD5,AD5)-1</f>
        <v>4</v>
      </c>
      <c r="Y5" s="48" t="s">
        <v>154</v>
      </c>
      <c r="Z5" s="47">
        <f>SUM(S5:V5)</f>
        <v>0</v>
      </c>
      <c r="AA5" s="47">
        <f>SUM(S9:V9)</f>
        <v>0</v>
      </c>
      <c r="AB5" s="47">
        <f>SUM(V6:V9)</f>
        <v>0</v>
      </c>
      <c r="AC5" s="47">
        <f>AA5-AB5</f>
        <v>0</v>
      </c>
      <c r="AD5" s="49">
        <f>IF(P$8="",(((((((AE5*10+Z5)*100+AC5)*100+AA5)*10+AK5)*10+AJ5)*100+AP5)*100+AU5)*10+AV5,(((((((AE5*10+Z5)*10+AK5)*10+AJ5)*100+AP5)*100+AU5)*100+AC5)*100+AA5)*10+AV5)</f>
        <v>1</v>
      </c>
      <c r="AE5" s="94"/>
      <c r="AF5" s="113">
        <f>IF($Z5=$Z2,$S5-$V2,0)</f>
        <v>0</v>
      </c>
      <c r="AG5" s="113">
        <f>IF($Z5=$Z3,$T5-$V3,0)</f>
        <v>0</v>
      </c>
      <c r="AH5" s="113">
        <f>IF($Z5=$Z4,$U5-$V4,0)</f>
        <v>0</v>
      </c>
      <c r="AI5" s="113"/>
      <c r="AJ5" s="113">
        <f>SUM(AF5:AI5)</f>
        <v>0</v>
      </c>
      <c r="AK5" s="94"/>
      <c r="AL5" s="113">
        <f>IF($Z5=$Z2,$S9-$V6,0)</f>
        <v>0</v>
      </c>
      <c r="AM5" s="113">
        <f>IF($Z5=$Z3,$T9-$V7,0)</f>
        <v>0</v>
      </c>
      <c r="AN5" s="113">
        <f>IF($Z5=$Z4,$U9-$V8,0)</f>
        <v>0</v>
      </c>
      <c r="AO5" s="113"/>
      <c r="AP5" s="113">
        <f>SUM(AL5:AO5)</f>
        <v>0</v>
      </c>
      <c r="AQ5" s="113">
        <f>IF($Z5=$Z2,$S9,0)</f>
        <v>0</v>
      </c>
      <c r="AR5" s="113">
        <f>IF($Z5=$Z3,$T9,0)</f>
        <v>0</v>
      </c>
      <c r="AS5" s="113">
        <f>IF($Z5=$Z4,$U9,0)</f>
        <v>0</v>
      </c>
      <c r="AT5" s="113"/>
      <c r="AU5" s="113">
        <f>SUM(AQ5:AT5)</f>
        <v>0</v>
      </c>
      <c r="AV5" s="114">
        <f>IF(AND(COUNTIF(K3:K8,$B$57)=COUNTA(H3:H8),COUNTIF(K3:K8,$B$57)=COUNTA(J3:J8)),IF(AU5=AU2,S9-V6,IF(AU5=AU3,T9-V7,IF(AU5=AU4,U9-V8,1))),1)</f>
        <v>1</v>
      </c>
      <c r="AW5" s="88"/>
      <c r="BA5" s="2">
        <v>25</v>
      </c>
      <c r="BB5" s="5">
        <v>45134.125</v>
      </c>
      <c r="BC5" s="4" t="s">
        <v>168</v>
      </c>
      <c r="BD5" s="43" t="str">
        <f>BY2</f>
        <v>USA</v>
      </c>
      <c r="BE5" s="50" t="s">
        <v>35</v>
      </c>
      <c r="BF5" s="43" t="str">
        <f>BY4</f>
        <v>Niederlande</v>
      </c>
      <c r="BG5" s="35"/>
      <c r="BH5" s="103"/>
      <c r="BI5" s="105" t="s">
        <v>36</v>
      </c>
      <c r="BJ5" s="103"/>
      <c r="BK5" s="6" t="s">
        <v>62</v>
      </c>
      <c r="BL5" s="1"/>
      <c r="BM5" s="39" t="str">
        <f>VLOOKUP(4,$BX$2:CC$5,2,FALSE)</f>
        <v>Portugal</v>
      </c>
      <c r="BN5" s="2">
        <f>VLOOKUP(4,$BX$2:$CC$5,3,FALSE)</f>
        <v>0</v>
      </c>
      <c r="BO5" s="2">
        <f>VLOOKUP(4,$BX$2:$CC$5,4,FALSE)</f>
        <v>0</v>
      </c>
      <c r="BP5" s="2">
        <f>VLOOKUP(4,$BX$2:$CC$5,5,FALSE)</f>
        <v>0</v>
      </c>
      <c r="BQ5" s="2">
        <f>VLOOKUP(4,$BX$2:$CC$5,6,FALSE)</f>
        <v>0</v>
      </c>
      <c r="BS5" s="46">
        <f>IF(BH7="",0,IF(BK7=$B$57,IF(BH7&gt;BJ7,3,IF(BH7=BJ7,1,0)),0))</f>
        <v>0</v>
      </c>
      <c r="BT5" s="46">
        <f>IF(BJ6="",0,IF(BK6=$B$57,IF(BH6&lt;BJ6,3,IF(BH6=BJ6,1,0)),0))</f>
        <v>0</v>
      </c>
      <c r="BU5" s="46">
        <f>IF(BJ4="",0,IF(BK4=$B$57,IF(BH4&lt;BJ4,3,IF(BH4=BJ4,1,0)),0))</f>
        <v>0</v>
      </c>
      <c r="BV5" s="45"/>
      <c r="BW5" s="47"/>
      <c r="BX5" s="112">
        <f>RANK(CD5,CD2:CD5)+COUNTIF(CD2:CD5,CD5)-1</f>
        <v>4</v>
      </c>
      <c r="BY5" s="48" t="s">
        <v>156</v>
      </c>
      <c r="BZ5" s="47">
        <f>SUM(BS5:BV5)</f>
        <v>0</v>
      </c>
      <c r="CA5" s="47">
        <f>SUM(BS9:BV9)</f>
        <v>0</v>
      </c>
      <c r="CB5" s="47">
        <f>SUM(BV6:BV9)</f>
        <v>0</v>
      </c>
      <c r="CC5" s="47">
        <f>CA5-CB5</f>
        <v>0</v>
      </c>
      <c r="CD5" s="49">
        <f>IF(BP$8="",(((((((CE5*10+BZ5)*100+CC5)*100+CA5)*10+CK5)*10+CJ5)*100+CP5)*100+CU5)*10+CV5,(((((((CE5*10+BZ5)*10+CK5)*10+CJ5)*100+CP5)*100+CU5)*100+CC5)*100+CA5)*10+CV5)</f>
        <v>1</v>
      </c>
      <c r="CE5" s="94"/>
      <c r="CF5" s="113">
        <f>IF($BZ5=$BZ2,$BS5-$BV2,0)</f>
        <v>0</v>
      </c>
      <c r="CG5" s="113">
        <f>IF($BZ5=$BZ3,$BT5-$BV3,0)</f>
        <v>0</v>
      </c>
      <c r="CH5" s="113">
        <f>IF($BZ5=$BZ4,$BU5-$BV4,0)</f>
        <v>0</v>
      </c>
      <c r="CI5" s="115"/>
      <c r="CJ5" s="115">
        <f>SUM(CF5:CI5)</f>
        <v>0</v>
      </c>
      <c r="CK5" s="95"/>
      <c r="CL5" s="115">
        <f>IF($BZ5=$BZ2,$BS9-$BV6,0)</f>
        <v>0</v>
      </c>
      <c r="CM5" s="115">
        <f>IF($BZ5=$BZ3,$BT9-$BV7,0)</f>
        <v>0</v>
      </c>
      <c r="CN5" s="115">
        <f>IF($BZ5=$BZ4,$BU9-$BV8,0)</f>
        <v>0</v>
      </c>
      <c r="CO5" s="115"/>
      <c r="CP5" s="115">
        <f>SUM(CL5:CO5)</f>
        <v>0</v>
      </c>
      <c r="CQ5" s="115">
        <f>IF($BZ5=$BZ2,$BS9,0)</f>
        <v>0</v>
      </c>
      <c r="CR5" s="115">
        <f>IF($BZ5=$BZ3,$BT9,0)</f>
        <v>0</v>
      </c>
      <c r="CS5" s="115">
        <f>IF($BZ5=$BZ4,$BU9,0)</f>
        <v>0</v>
      </c>
      <c r="CT5" s="115"/>
      <c r="CU5" s="115">
        <f>SUM(CQ5:CT5)</f>
        <v>0</v>
      </c>
      <c r="CV5" s="114">
        <f>IF(AND(COUNTIF(BK3:BK8,$B$57)=COUNTA(BH3:BH8),COUNTIF(BK3:BK8,$B$57)=COUNTA(BJ3:BJ8)),IF(CU5=CU2,BS9-BV6,IF(CU5=CU3,BT9-BV7,IF(CU5=CU4,BU9-BV8,1))),1)</f>
        <v>1</v>
      </c>
      <c r="CW5" s="49"/>
    </row>
    <row r="6" spans="1:101" ht="12.75">
      <c r="A6" s="2">
        <v>18</v>
      </c>
      <c r="B6" s="4">
        <v>45132.416666666664</v>
      </c>
      <c r="C6" s="4" t="s">
        <v>169</v>
      </c>
      <c r="D6" s="43" t="str">
        <f>Y3</f>
        <v>Norwegen</v>
      </c>
      <c r="E6" s="50" t="s">
        <v>35</v>
      </c>
      <c r="F6" s="43" t="str">
        <f>Y5</f>
        <v>Schweiz</v>
      </c>
      <c r="G6" s="35"/>
      <c r="H6" s="103"/>
      <c r="I6" s="105" t="s">
        <v>36</v>
      </c>
      <c r="J6" s="103"/>
      <c r="K6" s="6" t="s">
        <v>62</v>
      </c>
      <c r="L6" s="1"/>
      <c r="N6" s="1"/>
      <c r="O6" s="1"/>
      <c r="P6" s="1"/>
      <c r="S6" s="45"/>
      <c r="T6" s="46">
        <f>IF(K3=$B$57,H3,0)</f>
        <v>0</v>
      </c>
      <c r="U6" s="46">
        <f>IF(K5=$B$57,H5,0)</f>
        <v>0</v>
      </c>
      <c r="V6" s="46">
        <f>IF(K7=$B$57,J7,0)</f>
        <v>0</v>
      </c>
      <c r="W6" s="47"/>
      <c r="X6" s="47"/>
      <c r="Y6" s="47"/>
      <c r="Z6" s="47"/>
      <c r="AA6" s="47"/>
      <c r="AB6" s="47"/>
      <c r="AC6" s="47"/>
      <c r="AD6" s="71"/>
      <c r="AE6" s="96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V6" s="113"/>
      <c r="AW6" s="88"/>
      <c r="BA6" s="2">
        <v>26</v>
      </c>
      <c r="BB6" s="5">
        <v>45134.395833333336</v>
      </c>
      <c r="BC6" s="4" t="s">
        <v>169</v>
      </c>
      <c r="BD6" s="43" t="str">
        <f>BY3</f>
        <v>Vietnam</v>
      </c>
      <c r="BE6" s="50" t="s">
        <v>35</v>
      </c>
      <c r="BF6" s="43" t="str">
        <f>BY5</f>
        <v>Portugal</v>
      </c>
      <c r="BG6" s="35"/>
      <c r="BH6" s="103"/>
      <c r="BI6" s="105" t="s">
        <v>36</v>
      </c>
      <c r="BJ6" s="103"/>
      <c r="BK6" s="6" t="s">
        <v>62</v>
      </c>
      <c r="BL6" s="1"/>
      <c r="BN6" s="1"/>
      <c r="BO6" s="1"/>
      <c r="BP6" s="1"/>
      <c r="BS6" s="45"/>
      <c r="BT6" s="46">
        <f>IF(BK3=$B$57,BH3,0)</f>
        <v>0</v>
      </c>
      <c r="BU6" s="46">
        <f>IF(BK5=$B$57,BH5,0)</f>
        <v>0</v>
      </c>
      <c r="BV6" s="46">
        <f>IF(BK7=$B$57,BJ7,0)</f>
        <v>0</v>
      </c>
      <c r="BW6" s="47"/>
      <c r="BX6" s="47"/>
      <c r="BY6" s="47"/>
      <c r="BZ6" s="47"/>
      <c r="CA6" s="47"/>
      <c r="CB6" s="47"/>
      <c r="CC6" s="47"/>
      <c r="CD6" s="71"/>
      <c r="CE6" s="96"/>
      <c r="CF6" s="113"/>
      <c r="CG6" s="113"/>
      <c r="CH6" s="113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V6" s="115"/>
      <c r="CW6" s="49"/>
    </row>
    <row r="7" spans="1:101" ht="12.75">
      <c r="A7" s="2">
        <v>33</v>
      </c>
      <c r="B7" s="5">
        <v>45137.375</v>
      </c>
      <c r="C7" s="4" t="s">
        <v>166</v>
      </c>
      <c r="D7" s="43" t="str">
        <f>Y5</f>
        <v>Schweiz</v>
      </c>
      <c r="E7" s="50" t="s">
        <v>35</v>
      </c>
      <c r="F7" s="43" t="str">
        <f>Y2</f>
        <v>Neuseeland</v>
      </c>
      <c r="G7" s="42"/>
      <c r="H7" s="103"/>
      <c r="I7" s="105" t="s">
        <v>36</v>
      </c>
      <c r="J7" s="103"/>
      <c r="K7" s="6" t="s">
        <v>62</v>
      </c>
      <c r="M7" s="51">
        <f>IF(N2&gt;0,M2,"")</f>
      </c>
      <c r="N7" s="2" t="s">
        <v>37</v>
      </c>
      <c r="P7" s="52"/>
      <c r="S7" s="46">
        <f>IF(K3=$B$57,J3,0)</f>
        <v>0</v>
      </c>
      <c r="T7" s="45"/>
      <c r="U7" s="46">
        <f>IF(K8=$B$57,H8,0)</f>
        <v>0</v>
      </c>
      <c r="V7" s="46">
        <f>IF(K6=$B$57,H6,0)</f>
        <v>0</v>
      </c>
      <c r="AD7" s="42" t="s">
        <v>140</v>
      </c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V7" s="116"/>
      <c r="AW7" s="88"/>
      <c r="BA7" s="2">
        <v>41</v>
      </c>
      <c r="BB7" s="5">
        <v>45139.375</v>
      </c>
      <c r="BC7" s="4" t="s">
        <v>163</v>
      </c>
      <c r="BD7" s="43" t="str">
        <f>BY5</f>
        <v>Portugal</v>
      </c>
      <c r="BE7" s="50" t="s">
        <v>35</v>
      </c>
      <c r="BF7" s="43" t="str">
        <f>BY2</f>
        <v>USA</v>
      </c>
      <c r="BG7" s="42"/>
      <c r="BH7" s="103"/>
      <c r="BI7" s="105" t="s">
        <v>36</v>
      </c>
      <c r="BJ7" s="103"/>
      <c r="BK7" s="6" t="s">
        <v>62</v>
      </c>
      <c r="BM7" s="90">
        <f>IF(BN2&gt;0,BM2,"")</f>
      </c>
      <c r="BN7" s="2" t="s">
        <v>75</v>
      </c>
      <c r="BP7" s="52"/>
      <c r="BS7" s="46">
        <f>IF(BK3=$B$57,BJ3,0)</f>
        <v>0</v>
      </c>
      <c r="BT7" s="45"/>
      <c r="BU7" s="46">
        <f>IF(BK8=$B$57,BH8,0)</f>
        <v>0</v>
      </c>
      <c r="BV7" s="46">
        <f>IF(BK6=$B$57,BH6,0)</f>
        <v>0</v>
      </c>
      <c r="CD7" s="42" t="s">
        <v>140</v>
      </c>
      <c r="CF7" s="116"/>
      <c r="CG7" s="116"/>
      <c r="CH7" s="116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V7" s="117"/>
      <c r="CW7" s="49"/>
    </row>
    <row r="8" spans="1:101" ht="12.75">
      <c r="A8" s="2">
        <v>34</v>
      </c>
      <c r="B8" s="5">
        <v>45137.375</v>
      </c>
      <c r="C8" s="4" t="s">
        <v>163</v>
      </c>
      <c r="D8" s="43" t="str">
        <f>Y3</f>
        <v>Norwegen</v>
      </c>
      <c r="E8" s="50" t="s">
        <v>35</v>
      </c>
      <c r="F8" s="43" t="str">
        <f>Y4</f>
        <v>Philippinen</v>
      </c>
      <c r="G8" s="42"/>
      <c r="H8" s="103"/>
      <c r="I8" s="105" t="s">
        <v>36</v>
      </c>
      <c r="J8" s="103"/>
      <c r="K8" s="6" t="s">
        <v>62</v>
      </c>
      <c r="M8" s="51">
        <f>IF(N3&gt;0,M3,"")</f>
      </c>
      <c r="N8" s="2" t="s">
        <v>38</v>
      </c>
      <c r="O8" s="53"/>
      <c r="P8" s="89" t="s">
        <v>170</v>
      </c>
      <c r="S8" s="46">
        <f>IF(K5=$B$57,J5,0)</f>
        <v>0</v>
      </c>
      <c r="T8" s="46">
        <f>IF(K8=$B$57,J8,0)</f>
        <v>0</v>
      </c>
      <c r="U8" s="45"/>
      <c r="V8" s="46">
        <f>IF(K4=$B$57,H4,0)</f>
        <v>0</v>
      </c>
      <c r="AD8" s="42" t="s">
        <v>141</v>
      </c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V8" s="116"/>
      <c r="AW8" s="88"/>
      <c r="BA8" s="2">
        <v>42</v>
      </c>
      <c r="BB8" s="5">
        <v>45139.375</v>
      </c>
      <c r="BC8" s="4" t="s">
        <v>166</v>
      </c>
      <c r="BD8" s="43" t="str">
        <f>BY3</f>
        <v>Vietnam</v>
      </c>
      <c r="BE8" s="50" t="s">
        <v>35</v>
      </c>
      <c r="BF8" s="43" t="str">
        <f>BY4</f>
        <v>Niederlande</v>
      </c>
      <c r="BG8" s="42"/>
      <c r="BH8" s="103"/>
      <c r="BI8" s="105" t="s">
        <v>36</v>
      </c>
      <c r="BJ8" s="103"/>
      <c r="BK8" s="6" t="s">
        <v>62</v>
      </c>
      <c r="BM8" s="90">
        <f>IF(BN3&gt;0,BM3,"")</f>
      </c>
      <c r="BN8" s="2" t="s">
        <v>76</v>
      </c>
      <c r="BO8" s="53"/>
      <c r="BP8" s="89" t="s">
        <v>170</v>
      </c>
      <c r="BS8" s="46">
        <f>IF(BK5=$B$57,BJ5,0)</f>
        <v>0</v>
      </c>
      <c r="BT8" s="46">
        <f>IF(BK8=$B$57,BJ8,0)</f>
        <v>0</v>
      </c>
      <c r="BU8" s="45"/>
      <c r="BV8" s="46">
        <f>IF(BK4=$B$57,BH4,0)</f>
        <v>0</v>
      </c>
      <c r="CD8" s="42" t="s">
        <v>141</v>
      </c>
      <c r="CF8" s="116"/>
      <c r="CG8" s="116"/>
      <c r="CH8" s="116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V8" s="117"/>
      <c r="CW8" s="49"/>
    </row>
    <row r="9" spans="4:101" ht="12.75">
      <c r="D9" s="43"/>
      <c r="E9" s="50"/>
      <c r="F9" s="43"/>
      <c r="G9" s="42"/>
      <c r="N9" s="1"/>
      <c r="S9" s="46">
        <f>IF(K7=$B$57,H7,0)</f>
        <v>0</v>
      </c>
      <c r="T9" s="46">
        <f>IF(K6=$B$57,J6,0)</f>
        <v>0</v>
      </c>
      <c r="U9" s="46">
        <f>IF(K4=$B$57,J4,0)</f>
        <v>0</v>
      </c>
      <c r="V9" s="45"/>
      <c r="AD9" s="2" t="s">
        <v>171</v>
      </c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V9" s="116"/>
      <c r="AW9" s="88"/>
      <c r="BB9" s="2" t="s">
        <v>25</v>
      </c>
      <c r="BD9" s="43"/>
      <c r="BE9" s="50"/>
      <c r="BF9" s="43"/>
      <c r="BG9" s="42"/>
      <c r="BN9" s="1"/>
      <c r="BS9" s="46">
        <f>IF(BK7=$B$57,BH7,0)</f>
        <v>0</v>
      </c>
      <c r="BT9" s="46">
        <f>IF(BK6=$B$57,BJ6,0)</f>
        <v>0</v>
      </c>
      <c r="BU9" s="46">
        <f>IF(BK4=$B$57,BJ4,0)</f>
        <v>0</v>
      </c>
      <c r="BV9" s="45"/>
      <c r="CD9" s="2" t="s">
        <v>171</v>
      </c>
      <c r="CF9" s="116"/>
      <c r="CG9" s="116"/>
      <c r="CH9" s="116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V9" s="117"/>
      <c r="CW9" s="49"/>
    </row>
    <row r="10" spans="4:101" ht="6" customHeight="1">
      <c r="D10" s="43"/>
      <c r="E10" s="50"/>
      <c r="F10" s="43"/>
      <c r="G10" s="37"/>
      <c r="H10" s="42"/>
      <c r="I10" s="42"/>
      <c r="J10" s="42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V10" s="116"/>
      <c r="AW10" s="88"/>
      <c r="BC10" s="3"/>
      <c r="BD10" s="43"/>
      <c r="BE10" s="50"/>
      <c r="BF10" s="43"/>
      <c r="BG10" s="37"/>
      <c r="BH10" s="42"/>
      <c r="BI10" s="42"/>
      <c r="BJ10" s="42"/>
      <c r="CF10" s="116"/>
      <c r="CG10" s="116"/>
      <c r="CH10" s="116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V10" s="117"/>
      <c r="CW10" s="49"/>
    </row>
    <row r="11" spans="2:101" s="10" customFormat="1" ht="12.75">
      <c r="B11" s="14" t="s">
        <v>23</v>
      </c>
      <c r="C11" s="15" t="s">
        <v>39</v>
      </c>
      <c r="D11" s="43" t="s">
        <v>25</v>
      </c>
      <c r="E11" s="50"/>
      <c r="F11" s="43"/>
      <c r="G11" s="35"/>
      <c r="H11" s="104"/>
      <c r="I11" s="92"/>
      <c r="J11" s="104"/>
      <c r="K11" s="93"/>
      <c r="L11" s="7"/>
      <c r="M11" s="31" t="s">
        <v>26</v>
      </c>
      <c r="N11" s="7" t="s">
        <v>27</v>
      </c>
      <c r="O11" s="7" t="s">
        <v>28</v>
      </c>
      <c r="P11" s="7" t="s">
        <v>29</v>
      </c>
      <c r="Q11" s="7" t="s">
        <v>30</v>
      </c>
      <c r="R11" s="7"/>
      <c r="S11" s="42"/>
      <c r="T11" s="42"/>
      <c r="U11" s="42"/>
      <c r="V11" s="42"/>
      <c r="W11" s="35"/>
      <c r="X11" s="35" t="s">
        <v>31</v>
      </c>
      <c r="Y11" s="43" t="s">
        <v>32</v>
      </c>
      <c r="Z11" s="35" t="s">
        <v>27</v>
      </c>
      <c r="AA11" s="35" t="s">
        <v>28</v>
      </c>
      <c r="AB11" s="35" t="s">
        <v>29</v>
      </c>
      <c r="AC11" s="35" t="s">
        <v>30</v>
      </c>
      <c r="AD11" s="35"/>
      <c r="AE11" s="92" t="s">
        <v>65</v>
      </c>
      <c r="AF11" s="50" t="s">
        <v>66</v>
      </c>
      <c r="AG11" s="50"/>
      <c r="AH11" s="50"/>
      <c r="AI11" s="50"/>
      <c r="AJ11" s="50" t="s">
        <v>67</v>
      </c>
      <c r="AK11" s="43" t="s">
        <v>68</v>
      </c>
      <c r="AL11" s="50" t="s">
        <v>69</v>
      </c>
      <c r="AM11" s="50"/>
      <c r="AN11" s="50"/>
      <c r="AO11" s="50"/>
      <c r="AP11" s="50" t="s">
        <v>70</v>
      </c>
      <c r="AQ11" s="50" t="s">
        <v>71</v>
      </c>
      <c r="AR11" s="50"/>
      <c r="AS11" s="50"/>
      <c r="AT11" s="50"/>
      <c r="AU11" s="38" t="s">
        <v>72</v>
      </c>
      <c r="AV11" s="43" t="s">
        <v>73</v>
      </c>
      <c r="AW11" s="87"/>
      <c r="BB11" s="55" t="s">
        <v>23</v>
      </c>
      <c r="BC11" s="118" t="s">
        <v>77</v>
      </c>
      <c r="BD11" s="43" t="s">
        <v>25</v>
      </c>
      <c r="BE11" s="50"/>
      <c r="BF11" s="43"/>
      <c r="BG11" s="35"/>
      <c r="BH11" s="104"/>
      <c r="BI11" s="92"/>
      <c r="BJ11" s="104"/>
      <c r="BK11" s="93"/>
      <c r="BL11" s="7"/>
      <c r="BM11" s="31" t="s">
        <v>26</v>
      </c>
      <c r="BN11" s="7" t="s">
        <v>27</v>
      </c>
      <c r="BO11" s="7" t="s">
        <v>28</v>
      </c>
      <c r="BP11" s="7" t="s">
        <v>29</v>
      </c>
      <c r="BQ11" s="7" t="s">
        <v>30</v>
      </c>
      <c r="BR11" s="7"/>
      <c r="BS11" s="42"/>
      <c r="BT11" s="42"/>
      <c r="BU11" s="42"/>
      <c r="BV11" s="42"/>
      <c r="BW11" s="35"/>
      <c r="BX11" s="35" t="s">
        <v>31</v>
      </c>
      <c r="BY11" s="43" t="s">
        <v>32</v>
      </c>
      <c r="BZ11" s="35" t="s">
        <v>27</v>
      </c>
      <c r="CA11" s="35" t="s">
        <v>28</v>
      </c>
      <c r="CB11" s="35" t="s">
        <v>29</v>
      </c>
      <c r="CC11" s="35" t="s">
        <v>30</v>
      </c>
      <c r="CD11" s="35"/>
      <c r="CE11" s="92" t="s">
        <v>65</v>
      </c>
      <c r="CF11" s="50" t="s">
        <v>66</v>
      </c>
      <c r="CG11" s="50"/>
      <c r="CH11" s="50"/>
      <c r="CI11" s="11"/>
      <c r="CJ11" s="11" t="s">
        <v>67</v>
      </c>
      <c r="CK11" s="8" t="s">
        <v>68</v>
      </c>
      <c r="CL11" s="11" t="s">
        <v>69</v>
      </c>
      <c r="CM11" s="11"/>
      <c r="CN11" s="11"/>
      <c r="CO11" s="11"/>
      <c r="CP11" s="11" t="s">
        <v>70</v>
      </c>
      <c r="CQ11" s="11" t="s">
        <v>71</v>
      </c>
      <c r="CR11" s="11"/>
      <c r="CS11" s="11"/>
      <c r="CT11" s="11"/>
      <c r="CU11" s="13" t="s">
        <v>72</v>
      </c>
      <c r="CV11" s="8" t="s">
        <v>73</v>
      </c>
      <c r="CW11" s="44"/>
    </row>
    <row r="12" spans="2:101" ht="12.75">
      <c r="B12" s="3" t="s">
        <v>33</v>
      </c>
      <c r="C12" s="3" t="s">
        <v>34</v>
      </c>
      <c r="D12" s="43"/>
      <c r="E12" s="50"/>
      <c r="F12" s="43"/>
      <c r="G12" s="42"/>
      <c r="L12" s="1"/>
      <c r="M12" s="39" t="str">
        <f>VLOOKUP(1,$X$12:$AC$15,2,FALSE)</f>
        <v>Australien</v>
      </c>
      <c r="N12" s="2">
        <f>VLOOKUP(1,$X$12:$AC$15,3,FALSE)</f>
        <v>0</v>
      </c>
      <c r="O12" s="2">
        <f>VLOOKUP(1,$X$12:$AC$15,4,FALSE)</f>
        <v>0</v>
      </c>
      <c r="P12" s="2">
        <f>VLOOKUP(1,$X$12:$AC$15,5,FALSE)</f>
        <v>0</v>
      </c>
      <c r="Q12" s="2">
        <f>VLOOKUP(1,$X$12:$AC$15,6,FALSE)</f>
        <v>0</v>
      </c>
      <c r="S12" s="45"/>
      <c r="T12" s="46">
        <f>IF(H13="",0,IF(K13=$B$57,IF(H13&gt;J13,3,IF(H13=J13,1,0)),0))</f>
        <v>0</v>
      </c>
      <c r="U12" s="46">
        <f>IF(H15="",0,IF(K15=$B$57,IF(H15&gt;J15,3,IF(H15=J15,1,0)),0))</f>
        <v>0</v>
      </c>
      <c r="V12" s="46">
        <f>IF(J17="",0,IF(K17=$B$57,IF(H17&lt;J17,3,IF(H17=J17,1,0)),0))</f>
        <v>0</v>
      </c>
      <c r="W12" s="47"/>
      <c r="X12" s="112">
        <f>RANK(AD12,AD12:AD15)+COUNTIF(AD12:AD12,AD12)-1</f>
        <v>1</v>
      </c>
      <c r="Y12" s="48" t="s">
        <v>172</v>
      </c>
      <c r="Z12" s="47">
        <f>SUM(S12:V12)</f>
        <v>0</v>
      </c>
      <c r="AA12" s="47">
        <f>SUM(S16:V16)</f>
        <v>0</v>
      </c>
      <c r="AB12" s="47">
        <f>SUM(S16:S19)</f>
        <v>0</v>
      </c>
      <c r="AC12" s="47">
        <f>AA12-AB12</f>
        <v>0</v>
      </c>
      <c r="AD12" s="49">
        <f>IF(P$18="",(((((((AE12*10+Z12)*100+AC12)*100+AA12)*10+AK12)*10+AJ12)*100+AP12)*100+AU12)*10+AV12,(((((((AE12*10+Z12)*10+AK12)*10+AJ12)*100+AP12)*100+AU12)*100+AC12)*100+AA12)*10+AV12)</f>
        <v>4</v>
      </c>
      <c r="AE12" s="94"/>
      <c r="AF12" s="113"/>
      <c r="AG12" s="113">
        <f>IF($Z12=$Z13,$T12-$S13,0)</f>
        <v>0</v>
      </c>
      <c r="AH12" s="113">
        <f>IF($Z12=$Z14,$U12-$S14,0)</f>
        <v>0</v>
      </c>
      <c r="AI12" s="113">
        <f>IF($Z12=$Z15,$V12-$S15,0)</f>
        <v>0</v>
      </c>
      <c r="AJ12" s="113">
        <f>SUM(AF12:AI12)</f>
        <v>0</v>
      </c>
      <c r="AK12" s="94"/>
      <c r="AL12" s="113"/>
      <c r="AM12" s="113">
        <f>IF($Z12=$Z13,$T16-$S17,0)</f>
        <v>0</v>
      </c>
      <c r="AN12" s="113">
        <f>IF($Z12=$Z14,$U16-$S18,0)</f>
        <v>0</v>
      </c>
      <c r="AO12" s="113">
        <f>IF($Z12=$Z15,$V16-$S19,0)</f>
        <v>0</v>
      </c>
      <c r="AP12" s="113">
        <f>SUM(AL12:AO12)</f>
        <v>0</v>
      </c>
      <c r="AQ12" s="113"/>
      <c r="AR12" s="113">
        <f>IF($Z12=$Z13,$T16,0)</f>
        <v>0</v>
      </c>
      <c r="AS12" s="113">
        <f>IF($Z12=$Z14,$U16,0)</f>
        <v>0</v>
      </c>
      <c r="AT12" s="113">
        <f>IF($Z12=$Z15,$V16,0)</f>
        <v>0</v>
      </c>
      <c r="AU12" s="113">
        <f>SUM(AQ12:AT12)</f>
        <v>0</v>
      </c>
      <c r="AV12" s="114">
        <f>IF(AND(COUNTIF(K13:K18,$B$57)=COUNTA(H13:H18),COUNTIF(K13:K18,$B$57)=COUNTA(J13:J18)),IF(AU12=AU13,T16-S17,IF(AU12=AU14,U16-S18,IF(AU12=AU15,V16-S19,4))),4)</f>
        <v>4</v>
      </c>
      <c r="AW12" s="88"/>
      <c r="BB12" s="3" t="s">
        <v>33</v>
      </c>
      <c r="BC12" s="3" t="s">
        <v>34</v>
      </c>
      <c r="BD12" s="43"/>
      <c r="BE12" s="50"/>
      <c r="BF12" s="43"/>
      <c r="BG12" s="42"/>
      <c r="BL12" s="1"/>
      <c r="BM12" s="39" t="str">
        <f>VLOOKUP(1,$BX$12:$CC$15,2,FALSE)</f>
        <v>Frankreich</v>
      </c>
      <c r="BN12" s="2">
        <f>VLOOKUP(1,$BX$12:$CC$15,3,FALSE)</f>
        <v>0</v>
      </c>
      <c r="BO12" s="2">
        <f>VLOOKUP(1,$BX$12:$CC$15,4,FALSE)</f>
        <v>0</v>
      </c>
      <c r="BP12" s="2">
        <f>VLOOKUP(1,$BX$12:$CC$15,5,FALSE)</f>
        <v>0</v>
      </c>
      <c r="BQ12" s="2">
        <f>VLOOKUP(1,$BX$12:$CC$15,6,FALSE)</f>
        <v>0</v>
      </c>
      <c r="BS12" s="45"/>
      <c r="BT12" s="46">
        <f>IF(BH13="",0,IF(BK13=$B$57,IF(BH13&gt;BJ13,3,IF(BH13=BJ13,1,0)),0))</f>
        <v>0</v>
      </c>
      <c r="BU12" s="46">
        <f>IF(BH15="",0,IF(BK15=$B$57,IF(BH15&gt;BJ15,3,IF(BH15=BJ15,1,0)),0))</f>
        <v>0</v>
      </c>
      <c r="BV12" s="46">
        <f>IF(BJ17="",0,IF(BK17=$B$57,IF(BH17&lt;BJ17,3,IF(BH17=BJ17,1,0)),0))</f>
        <v>0</v>
      </c>
      <c r="BW12" s="47"/>
      <c r="BX12" s="112">
        <f>RANK(CD12,CD12:CD15)+COUNTIF(CD12:CD12,CD12)-1</f>
        <v>1</v>
      </c>
      <c r="BY12" s="48" t="s">
        <v>49</v>
      </c>
      <c r="BZ12" s="47">
        <f>SUM(BS12:BV12)</f>
        <v>0</v>
      </c>
      <c r="CA12" s="47">
        <f>SUM(BS16:BV16)</f>
        <v>0</v>
      </c>
      <c r="CB12" s="47">
        <f>SUM(BS16:BS19)</f>
        <v>0</v>
      </c>
      <c r="CC12" s="47">
        <f>CA12-CB12</f>
        <v>0</v>
      </c>
      <c r="CD12" s="49">
        <f>IF(BP$18="",(((((((CE12*10+BZ12)*100+CC12)*100+CA12)*10+CK12)*10+CJ12)*100+CP12)*100+CU12)*10+CV12,(((((((CE12*10+BZ12)*10+CK12)*10+CJ12)*100+CP12)*100+CU12)*100+CC12)*100+CA12)*10+CV12)</f>
        <v>4</v>
      </c>
      <c r="CE12" s="94"/>
      <c r="CF12" s="113"/>
      <c r="CG12" s="113">
        <f>IF($BZ12=$BZ13,$BT12-$BS13,0)</f>
        <v>0</v>
      </c>
      <c r="CH12" s="113">
        <f>IF($BZ12=$BZ14,$BU12-$BS14,0)</f>
        <v>0</v>
      </c>
      <c r="CI12" s="115">
        <f>IF($BZ12=$BZ15,$BV12-$BS15,0)</f>
        <v>0</v>
      </c>
      <c r="CJ12" s="115">
        <f>SUM(CF12:CI12)</f>
        <v>0</v>
      </c>
      <c r="CK12" s="95"/>
      <c r="CL12" s="115"/>
      <c r="CM12" s="115">
        <f>IF($BZ12=$BZ13,$BT16-$BS17,0)</f>
        <v>0</v>
      </c>
      <c r="CN12" s="115">
        <f>IF($BZ12=$BZ14,$BU16-$BS18,0)</f>
        <v>0</v>
      </c>
      <c r="CO12" s="115">
        <f>IF($BZ12=$BZ15,$BV16-$BS19,0)</f>
        <v>0</v>
      </c>
      <c r="CP12" s="115">
        <f>SUM(CL12:CO12)</f>
        <v>0</v>
      </c>
      <c r="CQ12" s="115"/>
      <c r="CR12" s="115">
        <f>IF($BZ12=$BZ13,$BT16,0)</f>
        <v>0</v>
      </c>
      <c r="CS12" s="115">
        <f>IF($BZ12=$BZ14,$BU16,0)</f>
        <v>0</v>
      </c>
      <c r="CT12" s="115">
        <f>IF($BZ12=$BZ15,$BV16,0)</f>
        <v>0</v>
      </c>
      <c r="CU12" s="115">
        <f>SUM(CQ12:CT12)</f>
        <v>0</v>
      </c>
      <c r="CV12" s="114">
        <f>IF(AND(COUNTIF(BK13:BK18,$B$57)=COUNTA(BH13:BH18),COUNTIF(BK13:BK18,$B$57)=COUNTA(BJ13:BJ18)),IF(CU12=CU13,BT16-BS17,IF(CU12=CU14,BU16-BS18,IF(CU12=CU15,BV16-BS19,4))),4)</f>
        <v>4</v>
      </c>
      <c r="CW12" s="49"/>
    </row>
    <row r="13" spans="1:101" ht="12.75">
      <c r="A13" s="2">
        <v>3</v>
      </c>
      <c r="B13" s="5">
        <v>45127.5</v>
      </c>
      <c r="C13" s="4" t="s">
        <v>173</v>
      </c>
      <c r="D13" s="43" t="str">
        <f>Y12</f>
        <v>Australien</v>
      </c>
      <c r="E13" s="50" t="s">
        <v>35</v>
      </c>
      <c r="F13" s="43" t="str">
        <f>Y13</f>
        <v>Irland</v>
      </c>
      <c r="G13" s="35"/>
      <c r="H13" s="103"/>
      <c r="I13" s="105" t="s">
        <v>36</v>
      </c>
      <c r="J13" s="103"/>
      <c r="K13" s="6" t="s">
        <v>62</v>
      </c>
      <c r="L13" s="1"/>
      <c r="M13" s="39" t="str">
        <f>VLOOKUP(2,$X$12:$AC$15,2,FALSE)</f>
        <v>Irland</v>
      </c>
      <c r="N13" s="2">
        <f>VLOOKUP(2,$X$12:$AC$15,3,FALSE)</f>
        <v>0</v>
      </c>
      <c r="O13" s="2">
        <f>VLOOKUP(2,$X$12:$AC$15,4,FALSE)</f>
        <v>0</v>
      </c>
      <c r="P13" s="2">
        <f>VLOOKUP(2,$X$12:$AC$15,5,FALSE)</f>
        <v>0</v>
      </c>
      <c r="Q13" s="2">
        <f>VLOOKUP(2,$X$12:$AC$15,6,FALSE)</f>
        <v>0</v>
      </c>
      <c r="S13" s="46">
        <f>IF(J13="",0,IF(K13=$B$57,IF(H13&lt;J13,3,IF(H13=J13,1,0)),0))</f>
        <v>0</v>
      </c>
      <c r="T13" s="45"/>
      <c r="U13" s="46">
        <f>IF(H18="",0,IF(K18=$B$57,IF(H18&gt;J18,3,IF(H18=J18,1,0)),0))</f>
        <v>0</v>
      </c>
      <c r="V13" s="46">
        <f>IF(H16="",0,IF(K16=$B$57,IF(H16&gt;J16,3,IF(H16=J16,1,0)),0))</f>
        <v>0</v>
      </c>
      <c r="W13" s="47"/>
      <c r="X13" s="112">
        <f>RANK(AD13,AD12:AD15)+COUNTIF(AD12:AD13,AD13)-1</f>
        <v>2</v>
      </c>
      <c r="Y13" s="48" t="s">
        <v>174</v>
      </c>
      <c r="Z13" s="47">
        <f>SUM(S13:V13)</f>
        <v>0</v>
      </c>
      <c r="AA13" s="47">
        <f>SUM(S17:V17)</f>
        <v>0</v>
      </c>
      <c r="AB13" s="47">
        <f>SUM(T16:T19)</f>
        <v>0</v>
      </c>
      <c r="AC13" s="47">
        <f>AA13-AB13</f>
        <v>0</v>
      </c>
      <c r="AD13" s="49">
        <f>IF(P$18="",(((((((AE13*10+Z13)*100+AC13)*100+AA13)*10+AK13)*10+AJ13)*100+AP13)*100+AU13)*10+AV13,(((((((AE13*10+Z13)*10+AK13)*10+AJ13)*100+AP13)*100+AU13)*100+AC13)*100+AA13)*10+AV13)</f>
        <v>3</v>
      </c>
      <c r="AE13" s="94"/>
      <c r="AF13" s="113">
        <f>IF($Z13=$Z12,$S13-$T12,0)</f>
        <v>0</v>
      </c>
      <c r="AG13" s="113"/>
      <c r="AH13" s="113">
        <f>IF($Z13=$Z14,$U13-$T14,0)</f>
        <v>0</v>
      </c>
      <c r="AI13" s="113">
        <f>IF($Z13=$Z15,$V13-$T15,0)</f>
        <v>0</v>
      </c>
      <c r="AJ13" s="113">
        <f>SUM(AF13:AI13)</f>
        <v>0</v>
      </c>
      <c r="AK13" s="94"/>
      <c r="AL13" s="113">
        <f>IF($Z13=$Z12,$S17-$T16,0)</f>
        <v>0</v>
      </c>
      <c r="AM13" s="113"/>
      <c r="AN13" s="113">
        <f>IF($Z13=$Z14,$U17-$T18,0)</f>
        <v>0</v>
      </c>
      <c r="AO13" s="113">
        <f>IF($Z13=$Z15,$V17-$T19,0)</f>
        <v>0</v>
      </c>
      <c r="AP13" s="113">
        <f>SUM(AL13:AO13)</f>
        <v>0</v>
      </c>
      <c r="AQ13" s="113">
        <f>IF($Z13=$Z12,$S17,0)</f>
        <v>0</v>
      </c>
      <c r="AR13" s="113"/>
      <c r="AS13" s="113">
        <f>IF($Z13=$Z14,$U17,0)</f>
        <v>0</v>
      </c>
      <c r="AT13" s="113">
        <f>IF($Z13=$Z15,$V17,0)</f>
        <v>0</v>
      </c>
      <c r="AU13" s="113">
        <f>SUM(AQ13:AT13)</f>
        <v>0</v>
      </c>
      <c r="AV13" s="114">
        <f>IF(AND(COUNTIF(K13:K18,$B$57)=COUNTA(H13:H18),COUNTIF(K13:K18,$B$57)=COUNTA(J13:J18)),IF(AU13=AU12,S17-T16,IF(AU13=AU14,U17-T18,IF(AU13=AU15,V17-T19,3))),3)</f>
        <v>3</v>
      </c>
      <c r="AW13" s="88"/>
      <c r="BA13" s="2">
        <v>11</v>
      </c>
      <c r="BB13" s="5">
        <v>45130.5</v>
      </c>
      <c r="BC13" s="4" t="s">
        <v>173</v>
      </c>
      <c r="BD13" s="43" t="str">
        <f>BY12</f>
        <v>Frankreich</v>
      </c>
      <c r="BE13" s="50" t="s">
        <v>35</v>
      </c>
      <c r="BF13" s="43" t="str">
        <f>BY13</f>
        <v>Jamaika</v>
      </c>
      <c r="BG13" s="35"/>
      <c r="BH13" s="103"/>
      <c r="BI13" s="105" t="s">
        <v>36</v>
      </c>
      <c r="BJ13" s="103"/>
      <c r="BK13" s="6" t="s">
        <v>62</v>
      </c>
      <c r="BL13" s="1"/>
      <c r="BM13" s="39" t="str">
        <f>VLOOKUP(2,$BX$12:$CC$15,2,FALSE)</f>
        <v>Jamaika</v>
      </c>
      <c r="BN13" s="2">
        <f>VLOOKUP(2,$BX$12:$CC$15,3,FALSE)</f>
        <v>0</v>
      </c>
      <c r="BO13" s="2">
        <f>VLOOKUP(2,$BX$12:$CC$15,4,FALSE)</f>
        <v>0</v>
      </c>
      <c r="BP13" s="2">
        <f>VLOOKUP(2,$BX$12:$CC$15,5,FALSE)</f>
        <v>0</v>
      </c>
      <c r="BQ13" s="2">
        <f>VLOOKUP(2,$BX$12:$CC$15,6,FALSE)</f>
        <v>0</v>
      </c>
      <c r="BS13" s="46">
        <f>IF(BJ13="",0,IF(BK13=$B$57,IF(BH13&lt;BJ13,3,IF(BH13=BJ13,1,0)),0))</f>
        <v>0</v>
      </c>
      <c r="BT13" s="45"/>
      <c r="BU13" s="46">
        <f>IF(BH18="",0,IF(BK18=$B$57,IF(BH18&gt;BJ18,3,IF(BH18=BJ18,1,0)),0))</f>
        <v>0</v>
      </c>
      <c r="BV13" s="46">
        <f>IF(BH16="",0,IF(BK16=$B$57,IF(BH16&gt;BJ16,3,IF(BH16=BJ16,1,0)),0))</f>
        <v>0</v>
      </c>
      <c r="BW13" s="47"/>
      <c r="BX13" s="112">
        <f>RANK(CD13,CD12:CD15)+COUNTIF(CD12:CD13,CD13)-1</f>
        <v>2</v>
      </c>
      <c r="BY13" s="48" t="s">
        <v>175</v>
      </c>
      <c r="BZ13" s="47">
        <f>SUM(BS13:BV13)</f>
        <v>0</v>
      </c>
      <c r="CA13" s="47">
        <f>SUM(BS17:BV17)</f>
        <v>0</v>
      </c>
      <c r="CB13" s="47">
        <f>SUM(BT16:BT19)</f>
        <v>0</v>
      </c>
      <c r="CC13" s="47">
        <f>CA13-CB13</f>
        <v>0</v>
      </c>
      <c r="CD13" s="49">
        <f>IF(BP$18="",(((((((CE13*10+BZ13)*100+CC13)*100+CA13)*10+CK13)*10+CJ13)*100+CP13)*100+CU13)*10+CV13,(((((((CE13*10+BZ13)*10+CK13)*10+CJ13)*100+CP13)*100+CU13)*100+CC13)*100+CA13)*10+CV13)</f>
        <v>3</v>
      </c>
      <c r="CE13" s="94"/>
      <c r="CF13" s="113">
        <f>IF($BZ13=$BZ12,$BS13-$BT12,0)</f>
        <v>0</v>
      </c>
      <c r="CG13" s="113"/>
      <c r="CH13" s="113">
        <f>IF($BZ13=$BZ14,$BU13-$BT14,0)</f>
        <v>0</v>
      </c>
      <c r="CI13" s="115">
        <f>IF($BZ13=$BZ15,$BV13-$BT15,0)</f>
        <v>0</v>
      </c>
      <c r="CJ13" s="115">
        <f>SUM(CF13:CI13)</f>
        <v>0</v>
      </c>
      <c r="CK13" s="95"/>
      <c r="CL13" s="115">
        <f>IF($BZ13=$BZ12,$BS17-$BT16,0)</f>
        <v>0</v>
      </c>
      <c r="CM13" s="115"/>
      <c r="CN13" s="115">
        <f>IF($BZ13=$BZ14,$BU17-$BT18,0)</f>
        <v>0</v>
      </c>
      <c r="CO13" s="115">
        <f>IF($BZ13=$BZ15,$BV17-$BT19,0)</f>
        <v>0</v>
      </c>
      <c r="CP13" s="115">
        <f>SUM(CL13:CO13)</f>
        <v>0</v>
      </c>
      <c r="CQ13" s="115">
        <f>IF($BZ13=$BZ12,$BS17,0)</f>
        <v>0</v>
      </c>
      <c r="CR13" s="115"/>
      <c r="CS13" s="115">
        <f>IF($BZ13=$BZ14,$BU17,0)</f>
        <v>0</v>
      </c>
      <c r="CT13" s="115">
        <f>IF($BZ13=$BZ15,$BV17,0)</f>
        <v>0</v>
      </c>
      <c r="CU13" s="115">
        <f>SUM(CQ13:CT13)</f>
        <v>0</v>
      </c>
      <c r="CV13" s="114">
        <f>IF(AND(COUNTIF(BK13:BK18,$B$57)=COUNTA(BH13:BH18),COUNTIF(BK13:BK18,$B$57)=COUNTA(BJ13:BJ18)),IF(CU13=CU12,BS17-BT16,IF(CU13=CU14,BU17-BT18,IF(CU13=CU15,BV17-BT19,3))),3)</f>
        <v>3</v>
      </c>
      <c r="CW13" s="49"/>
    </row>
    <row r="14" spans="1:101" ht="12.75">
      <c r="A14" s="2">
        <v>4</v>
      </c>
      <c r="B14" s="5">
        <v>45128.1875</v>
      </c>
      <c r="C14" s="4" t="s">
        <v>176</v>
      </c>
      <c r="D14" s="43" t="str">
        <f>Y14</f>
        <v>Nigeria</v>
      </c>
      <c r="E14" s="50" t="s">
        <v>35</v>
      </c>
      <c r="F14" s="43" t="str">
        <f>Y15</f>
        <v>Kanada</v>
      </c>
      <c r="G14" s="35"/>
      <c r="H14" s="103"/>
      <c r="I14" s="105" t="s">
        <v>36</v>
      </c>
      <c r="J14" s="103"/>
      <c r="K14" s="6" t="s">
        <v>62</v>
      </c>
      <c r="L14" s="1"/>
      <c r="M14" s="39" t="str">
        <f>VLOOKUP(3,$X$12:$AC$15,2,FALSE)</f>
        <v>Nigeria</v>
      </c>
      <c r="N14" s="2">
        <f>VLOOKUP(3,$X$12:$AC$15,3,FALSE)</f>
        <v>0</v>
      </c>
      <c r="O14" s="2">
        <f>VLOOKUP(3,$X$12:$AC$15,4,FALSE)</f>
        <v>0</v>
      </c>
      <c r="P14" s="2">
        <f>VLOOKUP(3,$X$12:$AC$15,5,FALSE)</f>
        <v>0</v>
      </c>
      <c r="Q14" s="2">
        <f>VLOOKUP(3,$X$12:$AC$15,6,FALSE)</f>
        <v>0</v>
      </c>
      <c r="S14" s="46">
        <f>IF(J15="",0,IF(K15=$B$57,IF(H15&lt;J15,3,IF(H15=J15,1,0)),0))</f>
        <v>0</v>
      </c>
      <c r="T14" s="46">
        <f>IF(J18="",0,IF(K18=$B$57,IF(H18&lt;J18,3,IF(H18=J18,1,0)),0))</f>
        <v>0</v>
      </c>
      <c r="U14" s="45"/>
      <c r="V14" s="46">
        <f>IF(H14="",0,IF(K14=$B$57,IF(H14&gt;J14,3,IF(H14=J14,1,0)),0))</f>
        <v>0</v>
      </c>
      <c r="W14" s="47"/>
      <c r="X14" s="112">
        <f>RANK(AD14,AD12:AD15)+COUNTIF(AD12:AD14,AD14)-1</f>
        <v>3</v>
      </c>
      <c r="Y14" s="48" t="s">
        <v>177</v>
      </c>
      <c r="Z14" s="47">
        <f>SUM(S14:V14)</f>
        <v>0</v>
      </c>
      <c r="AA14" s="47">
        <f>SUM(S18:V18)</f>
        <v>0</v>
      </c>
      <c r="AB14" s="47">
        <f>SUM(U16:U19)</f>
        <v>0</v>
      </c>
      <c r="AC14" s="47">
        <f>AA14-AB14</f>
        <v>0</v>
      </c>
      <c r="AD14" s="49">
        <f>IF(P$18="",(((((((AE14*10+Z14)*100+AC14)*100+AA14)*10+AK14)*10+AJ14)*100+AP14)*100+AU14)*10+AV14,(((((((AE14*10+Z14)*10+AK14)*10+AJ14)*100+AP14)*100+AU14)*100+AC14)*100+AA14)*10+AV14)</f>
        <v>2</v>
      </c>
      <c r="AE14" s="94"/>
      <c r="AF14" s="113">
        <f>IF($Z14=$Z12,$S14-$U12,0)</f>
        <v>0</v>
      </c>
      <c r="AG14" s="113">
        <f>IF($Z14=$Z13,$T14-$U13,0)</f>
        <v>0</v>
      </c>
      <c r="AH14" s="113"/>
      <c r="AI14" s="113">
        <f>IF($Z14=$Z15,$V14-$U15,0)</f>
        <v>0</v>
      </c>
      <c r="AJ14" s="113">
        <f>SUM(AF14:AI14)</f>
        <v>0</v>
      </c>
      <c r="AK14" s="94"/>
      <c r="AL14" s="113">
        <f>IF($Z14=$Z12,$S18-$U16,0)</f>
        <v>0</v>
      </c>
      <c r="AM14" s="113">
        <f>IF($Z14=$Z13,$T18-$U17,0)</f>
        <v>0</v>
      </c>
      <c r="AN14" s="113"/>
      <c r="AO14" s="113">
        <f>IF($Z14=$Z15,$V18-$U19,0)</f>
        <v>0</v>
      </c>
      <c r="AP14" s="113">
        <f>SUM(AL14:AO14)</f>
        <v>0</v>
      </c>
      <c r="AQ14" s="113">
        <f>IF($Z14=$Z12,$S18,0)</f>
        <v>0</v>
      </c>
      <c r="AR14" s="113">
        <f>IF($Z14=$Z13,$T18,0)</f>
        <v>0</v>
      </c>
      <c r="AS14" s="113"/>
      <c r="AT14" s="113">
        <f>IF($Z14=$Z15,$V18,0)</f>
        <v>0</v>
      </c>
      <c r="AU14" s="113">
        <f>SUM(AQ14:AT14)</f>
        <v>0</v>
      </c>
      <c r="AV14" s="114">
        <f>IF(AND(COUNTIF(K13:K18,$B$57)=COUNTA(H13:H18),COUNTIF(K13:K18,$B$57)=COUNTA(J13:J18)),IF(AU14=AU12,S18-U16,IF(AU14=AU13,T18-U17,IF(AU14=AU15,V18-U19,2))),2)</f>
        <v>2</v>
      </c>
      <c r="AW14" s="88"/>
      <c r="BA14" s="2">
        <v>12</v>
      </c>
      <c r="BB14" s="5">
        <v>45131.541666666664</v>
      </c>
      <c r="BC14" s="4" t="s">
        <v>178</v>
      </c>
      <c r="BD14" s="43" t="str">
        <f>BY14</f>
        <v>Brasilien</v>
      </c>
      <c r="BE14" s="50" t="s">
        <v>35</v>
      </c>
      <c r="BF14" s="43" t="str">
        <f>BY15</f>
        <v>Panama</v>
      </c>
      <c r="BG14" s="35"/>
      <c r="BH14" s="103"/>
      <c r="BI14" s="105" t="s">
        <v>36</v>
      </c>
      <c r="BJ14" s="103"/>
      <c r="BK14" s="6" t="s">
        <v>62</v>
      </c>
      <c r="BL14" s="1"/>
      <c r="BM14" s="39" t="str">
        <f>VLOOKUP(3,$BX$12:$CC$15,2,FALSE)</f>
        <v>Brasilien</v>
      </c>
      <c r="BN14" s="2">
        <f>VLOOKUP(3,$BX$12:$CC$15,3,FALSE)</f>
        <v>0</v>
      </c>
      <c r="BO14" s="2">
        <f>VLOOKUP(3,$BX$12:$CC$15,4,FALSE)</f>
        <v>0</v>
      </c>
      <c r="BP14" s="2">
        <f>VLOOKUP(3,$BX$12:$CC$15,5,FALSE)</f>
        <v>0</v>
      </c>
      <c r="BQ14" s="2">
        <f>VLOOKUP(3,$BX$12:$CC$15,6,FALSE)</f>
        <v>0</v>
      </c>
      <c r="BS14" s="46">
        <f>IF(BJ15="",0,IF(BK15=$B$57,IF(BH15&lt;BJ15,3,IF(BH15=BJ15,1,0)),0))</f>
        <v>0</v>
      </c>
      <c r="BT14" s="46">
        <f>IF(BJ18="",0,IF(BK18=$B$57,IF(BH18&lt;BJ18,3,IF(BH18=BJ18,1,0)),0))</f>
        <v>0</v>
      </c>
      <c r="BU14" s="45"/>
      <c r="BV14" s="46">
        <f>IF(BH14="",0,IF(BK14=$B$57,IF(BH14&gt;BJ14,3,IF(BH14=BJ14,1,0)),0))</f>
        <v>0</v>
      </c>
      <c r="BW14" s="47"/>
      <c r="BX14" s="112">
        <f>RANK(CD14,CD12:CD15)+COUNTIF(CD12:CD14,CD14)-1</f>
        <v>3</v>
      </c>
      <c r="BY14" s="48" t="s">
        <v>179</v>
      </c>
      <c r="BZ14" s="47">
        <f>SUM(BS14:BV14)</f>
        <v>0</v>
      </c>
      <c r="CA14" s="47">
        <f>SUM(BS18:BV18)</f>
        <v>0</v>
      </c>
      <c r="CB14" s="47">
        <f>SUM(BU16:BU19)</f>
        <v>0</v>
      </c>
      <c r="CC14" s="47">
        <f>CA14-CB14</f>
        <v>0</v>
      </c>
      <c r="CD14" s="49">
        <f>IF(BP$18="",(((((((CE14*10+BZ14)*100+CC14)*100+CA14)*10+CK14)*10+CJ14)*100+CP14)*100+CU14)*10+CV14,(((((((CE14*10+BZ14)*10+CK14)*10+CJ14)*100+CP14)*100+CU14)*100+CC14)*100+CA14)*10+CV14)</f>
        <v>2</v>
      </c>
      <c r="CE14" s="94"/>
      <c r="CF14" s="113">
        <f>IF($BZ14=$BZ12,$BS14-$BU12,0)</f>
        <v>0</v>
      </c>
      <c r="CG14" s="113">
        <f>IF($BZ14=$BZ13,$BT14-$BU13,0)</f>
        <v>0</v>
      </c>
      <c r="CH14" s="113"/>
      <c r="CI14" s="115">
        <f>IF($BZ14=$BZ15,$BV14-$BU15,0)</f>
        <v>0</v>
      </c>
      <c r="CJ14" s="115">
        <f>SUM(CF14:CI14)</f>
        <v>0</v>
      </c>
      <c r="CK14" s="95"/>
      <c r="CL14" s="115">
        <f>IF($BZ14=$BZ12,$BS18-$BU16,0)</f>
        <v>0</v>
      </c>
      <c r="CM14" s="115">
        <f>IF($BZ14=$BZ13,$BT18-$BU17,0)</f>
        <v>0</v>
      </c>
      <c r="CN14" s="115"/>
      <c r="CO14" s="115">
        <f>IF($BZ14=$BZ15,$BV18-$BU19,0)</f>
        <v>0</v>
      </c>
      <c r="CP14" s="115">
        <f>SUM(CL14:CO14)</f>
        <v>0</v>
      </c>
      <c r="CQ14" s="115">
        <f>IF($BZ14=$BZ12,$BS18,0)</f>
        <v>0</v>
      </c>
      <c r="CR14" s="115">
        <f>IF($BZ14=$BZ13,$BT18,0)</f>
        <v>0</v>
      </c>
      <c r="CS14" s="115"/>
      <c r="CT14" s="115">
        <f>IF($BZ14=$BZ15,$BV18,0)</f>
        <v>0</v>
      </c>
      <c r="CU14" s="115">
        <f>SUM(CQ14:CT14)</f>
        <v>0</v>
      </c>
      <c r="CV14" s="114">
        <f>IF(AND(COUNTIF(BK13:BK18,$B$57)=COUNTA(BH13:BH18),COUNTIF(BK13:BK18,$B$57)=COUNTA(BJ13:BJ18)),IF(CU14=CU12,BS18-BU16,IF(CU14=CU13,BT18-BU17,IF(CU14=CU15,BV18-BU19,2))),2)</f>
        <v>2</v>
      </c>
      <c r="CW14" s="49"/>
    </row>
    <row r="15" spans="1:101" ht="12.75">
      <c r="A15" s="2">
        <v>19</v>
      </c>
      <c r="B15" s="5">
        <v>45134.5</v>
      </c>
      <c r="C15" s="4" t="s">
        <v>180</v>
      </c>
      <c r="D15" s="43" t="str">
        <f>Y12</f>
        <v>Australien</v>
      </c>
      <c r="E15" s="50" t="s">
        <v>35</v>
      </c>
      <c r="F15" s="43" t="str">
        <f>Y14</f>
        <v>Nigeria</v>
      </c>
      <c r="G15" s="35"/>
      <c r="H15" s="103"/>
      <c r="I15" s="105" t="s">
        <v>36</v>
      </c>
      <c r="J15" s="103"/>
      <c r="K15" s="6" t="s">
        <v>62</v>
      </c>
      <c r="L15" s="1"/>
      <c r="M15" s="39" t="str">
        <f>VLOOKUP(4,$X$12:$AC$15,2,FALSE)</f>
        <v>Kanada</v>
      </c>
      <c r="N15" s="2">
        <f>VLOOKUP(4,$X$12:$AC$15,3,FALSE)</f>
        <v>0</v>
      </c>
      <c r="O15" s="2">
        <f>VLOOKUP(4,$X$12:$AC$15,4,FALSE)</f>
        <v>0</v>
      </c>
      <c r="P15" s="2">
        <f>VLOOKUP(4,$X$12:$AC$15,5,FALSE)</f>
        <v>0</v>
      </c>
      <c r="Q15" s="2">
        <f>VLOOKUP(4,$X$12:$AC$15,6,FALSE)</f>
        <v>0</v>
      </c>
      <c r="S15" s="46">
        <f>IF(H17="",0,IF(K17=$B$57,IF(H17&gt;J17,3,IF(H17=J17,1,0)),0))</f>
        <v>0</v>
      </c>
      <c r="T15" s="46">
        <f>IF(J16="",0,IF(K16=$B$57,IF(H16&lt;J16,3,IF(H16=J16,1,0)),0))</f>
        <v>0</v>
      </c>
      <c r="U15" s="46">
        <f>IF(J14="",0,IF(K14=$B$57,IF(H14&lt;J14,3,IF(H14=J14,1,0)),0))</f>
        <v>0</v>
      </c>
      <c r="V15" s="45"/>
      <c r="W15" s="47"/>
      <c r="X15" s="112">
        <f>RANK(AD15,AD12:AD15)+COUNTIF(AD12:AD15,AD15)-1</f>
        <v>4</v>
      </c>
      <c r="Y15" s="48" t="s">
        <v>181</v>
      </c>
      <c r="Z15" s="47">
        <f>SUM(S15:V15)</f>
        <v>0</v>
      </c>
      <c r="AA15" s="47">
        <f>SUM(S19:V19)</f>
        <v>0</v>
      </c>
      <c r="AB15" s="47">
        <f>SUM(V16:V19)</f>
        <v>0</v>
      </c>
      <c r="AC15" s="47">
        <f>AA15-AB15</f>
        <v>0</v>
      </c>
      <c r="AD15" s="49">
        <f>IF(P$18="",(((((((AE15*10+Z15)*100+AC15)*100+AA15)*10+AK15)*10+AJ15)*100+AP15)*100+AU15)*10+AV15,(((((((AE15*10+Z15)*10+AK15)*10+AJ15)*100+AP15)*100+AU15)*100+AC15)*100+AA15)*10+AV15)</f>
        <v>1</v>
      </c>
      <c r="AE15" s="94"/>
      <c r="AF15" s="113">
        <f>IF($Z15=$Z12,$S15-$V12,0)</f>
        <v>0</v>
      </c>
      <c r="AG15" s="113">
        <f>IF($Z15=$Z13,$T15-$V13,0)</f>
        <v>0</v>
      </c>
      <c r="AH15" s="113">
        <f>IF($Z15=$Z14,$U15-$V14,0)</f>
        <v>0</v>
      </c>
      <c r="AI15" s="113"/>
      <c r="AJ15" s="113">
        <f>SUM(AF15:AI15)</f>
        <v>0</v>
      </c>
      <c r="AK15" s="94"/>
      <c r="AL15" s="113">
        <f>IF($Z15=$Z12,$S19-$V16,0)</f>
        <v>0</v>
      </c>
      <c r="AM15" s="113">
        <f>IF($Z15=$Z13,$T19-$V17,0)</f>
        <v>0</v>
      </c>
      <c r="AN15" s="113">
        <f>IF($Z15=$Z14,$U19-$V18,0)</f>
        <v>0</v>
      </c>
      <c r="AO15" s="113"/>
      <c r="AP15" s="113">
        <f>SUM(AL15:AO15)</f>
        <v>0</v>
      </c>
      <c r="AQ15" s="113">
        <f>IF($Z15=$Z12,$S19,0)</f>
        <v>0</v>
      </c>
      <c r="AR15" s="113">
        <f>IF($Z15=$Z13,$T19,0)</f>
        <v>0</v>
      </c>
      <c r="AS15" s="113">
        <f>IF($Z15=$Z14,$U19,0)</f>
        <v>0</v>
      </c>
      <c r="AT15" s="113"/>
      <c r="AU15" s="113">
        <f>SUM(AQ15:AT15)</f>
        <v>0</v>
      </c>
      <c r="AV15" s="114">
        <f>IF(AND(COUNTIF(K13:K18,$B$57)=COUNTA(H13:H18),COUNTIF(K13:K18,$B$57)=COUNTA(J13:J18)),IF(AU15=AU12,S19-V16,IF(AU15=AU13,T19-V17,IF(AU15=AU14,U19-V18,1))),1)</f>
        <v>1</v>
      </c>
      <c r="AW15" s="88"/>
      <c r="BA15" s="2">
        <v>27</v>
      </c>
      <c r="BB15" s="5">
        <v>45136.5</v>
      </c>
      <c r="BC15" s="4" t="s">
        <v>180</v>
      </c>
      <c r="BD15" s="43" t="str">
        <f>BY12</f>
        <v>Frankreich</v>
      </c>
      <c r="BE15" s="50" t="s">
        <v>35</v>
      </c>
      <c r="BF15" s="43" t="str">
        <f>BY14</f>
        <v>Brasilien</v>
      </c>
      <c r="BG15" s="35"/>
      <c r="BH15" s="103"/>
      <c r="BI15" s="105" t="s">
        <v>36</v>
      </c>
      <c r="BJ15" s="103"/>
      <c r="BK15" s="6" t="s">
        <v>62</v>
      </c>
      <c r="BL15" s="1"/>
      <c r="BM15" s="39" t="str">
        <f>VLOOKUP(4,$BX$12:$CC$15,2,FALSE)</f>
        <v>Panama</v>
      </c>
      <c r="BN15" s="2">
        <f>VLOOKUP(4,$BX$12:$CC$15,3,FALSE)</f>
        <v>0</v>
      </c>
      <c r="BO15" s="2">
        <f>VLOOKUP(4,$BX$12:$CC$15,4,FALSE)</f>
        <v>0</v>
      </c>
      <c r="BP15" s="2">
        <f>VLOOKUP(4,$BX$12:$CC$15,5,FALSE)</f>
        <v>0</v>
      </c>
      <c r="BQ15" s="2">
        <f>VLOOKUP(4,$BX$12:$CC$15,6,FALSE)</f>
        <v>0</v>
      </c>
      <c r="BS15" s="46">
        <f>IF(BH17="",0,IF(BK17=$B$57,IF(BH17&gt;BJ17,3,IF(BH17=BJ17,1,0)),0))</f>
        <v>0</v>
      </c>
      <c r="BT15" s="46">
        <f>IF(BJ16="",0,IF(BK16=$B$57,IF(BH16&lt;BJ16,3,IF(BH16=BJ16,1,0)),0))</f>
        <v>0</v>
      </c>
      <c r="BU15" s="46">
        <f>IF(BJ14="",0,IF(BK14=$B$57,IF(BH14&lt;BJ14,3,IF(BH14=BJ14,1,0)),0))</f>
        <v>0</v>
      </c>
      <c r="BV15" s="45"/>
      <c r="BW15" s="47"/>
      <c r="BX15" s="112">
        <f>RANK(CD15,CD12:CD15)+COUNTIF(CD12:CD15,CD15)-1</f>
        <v>4</v>
      </c>
      <c r="BY15" s="48" t="s">
        <v>182</v>
      </c>
      <c r="BZ15" s="47">
        <f>SUM(BS15:BV15)</f>
        <v>0</v>
      </c>
      <c r="CA15" s="47">
        <f>SUM(BS19:BV19)</f>
        <v>0</v>
      </c>
      <c r="CB15" s="47">
        <f>SUM(BV16:BV19)</f>
        <v>0</v>
      </c>
      <c r="CC15" s="47">
        <f>CA15-CB15</f>
        <v>0</v>
      </c>
      <c r="CD15" s="49">
        <f>IF(BP$18="",(((((((CE15*10+BZ15)*100+CC15)*100+CA15)*10+CK15)*10+CJ15)*100+CP15)*100+CU15)*10+CV15,(((((((CE15*10+BZ15)*10+CK15)*10+CJ15)*100+CP15)*100+CU15)*100+CC15)*100+CA15)*10+CV15)</f>
        <v>1</v>
      </c>
      <c r="CE15" s="94"/>
      <c r="CF15" s="113">
        <f>IF($BZ15=$BZ12,$BS15-$BV12,0)</f>
        <v>0</v>
      </c>
      <c r="CG15" s="113">
        <f>IF($BZ15=$BZ13,$BT15-$BV13,0)</f>
        <v>0</v>
      </c>
      <c r="CH15" s="113">
        <f>IF($BZ15=$BZ14,$BU15-$BV14,0)</f>
        <v>0</v>
      </c>
      <c r="CI15" s="115"/>
      <c r="CJ15" s="115">
        <f>SUM(CF15:CI15)</f>
        <v>0</v>
      </c>
      <c r="CK15" s="95"/>
      <c r="CL15" s="115">
        <f>IF($BZ15=$BZ12,$BS19-$BV16,0)</f>
        <v>0</v>
      </c>
      <c r="CM15" s="115">
        <f>IF($BZ15=$BZ13,$BT19-$BV17,0)</f>
        <v>0</v>
      </c>
      <c r="CN15" s="115">
        <f>IF($BZ15=$BZ14,$BU19-$BV18,0)</f>
        <v>0</v>
      </c>
      <c r="CO15" s="115"/>
      <c r="CP15" s="115">
        <f>SUM(CL15:CO15)</f>
        <v>0</v>
      </c>
      <c r="CQ15" s="115">
        <f>IF($BZ15=$BZ12,$BS19,0)</f>
        <v>0</v>
      </c>
      <c r="CR15" s="115">
        <f>IF($BZ15=$BZ13,$BT19,0)</f>
        <v>0</v>
      </c>
      <c r="CS15" s="115">
        <f>IF($BZ15=$BZ14,$BU19,0)</f>
        <v>0</v>
      </c>
      <c r="CT15" s="115"/>
      <c r="CU15" s="115">
        <f>SUM(CQ15:CT15)</f>
        <v>0</v>
      </c>
      <c r="CV15" s="114">
        <f>IF(AND(COUNTIF(BK13:BK18,$B$57)=COUNTA(BH13:BH18),COUNTIF(BK13:BK18,$B$57)=COUNTA(BJ13:BJ18)),IF(CU15=CU12,BS19-BV16,IF(CU15=CU13,BT19-BV17,IF(CU15=CU14,BU19-BV18,1))),1)</f>
        <v>1</v>
      </c>
      <c r="CW15" s="49"/>
    </row>
    <row r="16" spans="1:101" ht="12.75">
      <c r="A16" s="2">
        <v>20</v>
      </c>
      <c r="B16" s="5">
        <v>45133.583333333336</v>
      </c>
      <c r="C16" s="4" t="s">
        <v>183</v>
      </c>
      <c r="D16" s="43" t="str">
        <f>Y13</f>
        <v>Irland</v>
      </c>
      <c r="E16" s="50" t="s">
        <v>35</v>
      </c>
      <c r="F16" s="43" t="str">
        <f>Y15</f>
        <v>Kanada</v>
      </c>
      <c r="G16" s="35"/>
      <c r="H16" s="103"/>
      <c r="I16" s="105" t="s">
        <v>36</v>
      </c>
      <c r="J16" s="103"/>
      <c r="K16" s="6" t="s">
        <v>62</v>
      </c>
      <c r="L16" s="1"/>
      <c r="N16" s="1"/>
      <c r="O16" s="1"/>
      <c r="P16" s="1"/>
      <c r="S16" s="45"/>
      <c r="T16" s="46">
        <f>IF(K13=$B$57,H13,0)</f>
        <v>0</v>
      </c>
      <c r="U16" s="46">
        <f>IF(K15=$B$57,H15,0)</f>
        <v>0</v>
      </c>
      <c r="V16" s="46">
        <f>IF(K17=$B$57,J17,0)</f>
        <v>0</v>
      </c>
      <c r="W16" s="47"/>
      <c r="X16" s="47"/>
      <c r="Y16" s="47"/>
      <c r="Z16" s="47"/>
      <c r="AA16" s="47"/>
      <c r="AB16" s="47"/>
      <c r="AC16" s="47"/>
      <c r="AD16" s="71"/>
      <c r="AE16" s="96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V16" s="113"/>
      <c r="AW16" s="88"/>
      <c r="BA16" s="2">
        <v>28</v>
      </c>
      <c r="BB16" s="5">
        <v>45136.604166666664</v>
      </c>
      <c r="BC16" s="4" t="s">
        <v>183</v>
      </c>
      <c r="BD16" s="43" t="str">
        <f>BY13</f>
        <v>Jamaika</v>
      </c>
      <c r="BE16" s="50" t="s">
        <v>35</v>
      </c>
      <c r="BF16" s="43" t="str">
        <f>BY15</f>
        <v>Panama</v>
      </c>
      <c r="BG16" s="35"/>
      <c r="BH16" s="103"/>
      <c r="BI16" s="105" t="s">
        <v>36</v>
      </c>
      <c r="BJ16" s="103"/>
      <c r="BK16" s="6" t="s">
        <v>62</v>
      </c>
      <c r="BL16" s="1"/>
      <c r="BN16" s="1"/>
      <c r="BO16" s="1"/>
      <c r="BP16" s="1"/>
      <c r="BS16" s="45"/>
      <c r="BT16" s="46">
        <f>IF(BK13=$B$57,BH13,0)</f>
        <v>0</v>
      </c>
      <c r="BU16" s="46">
        <f>IF(BK15=$B$57,BH15,0)</f>
        <v>0</v>
      </c>
      <c r="BV16" s="46">
        <f>IF(BK17=$B$57,BJ17,0)</f>
        <v>0</v>
      </c>
      <c r="BW16" s="47"/>
      <c r="BX16" s="47"/>
      <c r="BY16" s="47"/>
      <c r="BZ16" s="47"/>
      <c r="CA16" s="47"/>
      <c r="CB16" s="47"/>
      <c r="CC16" s="47"/>
      <c r="CD16" s="71"/>
      <c r="CE16" s="96"/>
      <c r="CF16" s="113"/>
      <c r="CG16" s="113"/>
      <c r="CH16" s="113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V16" s="115"/>
      <c r="CW16" s="49"/>
    </row>
    <row r="17" spans="1:101" ht="12.75">
      <c r="A17" s="2">
        <v>35</v>
      </c>
      <c r="B17" s="5">
        <v>45138.5</v>
      </c>
      <c r="C17" s="4" t="s">
        <v>176</v>
      </c>
      <c r="D17" s="43" t="str">
        <f>Y15</f>
        <v>Kanada</v>
      </c>
      <c r="E17" s="50" t="s">
        <v>35</v>
      </c>
      <c r="F17" s="43" t="str">
        <f>Y12</f>
        <v>Australien</v>
      </c>
      <c r="G17" s="42"/>
      <c r="H17" s="103"/>
      <c r="I17" s="105" t="s">
        <v>36</v>
      </c>
      <c r="J17" s="103"/>
      <c r="K17" s="6" t="s">
        <v>62</v>
      </c>
      <c r="M17" s="56">
        <f>IF(N12&gt;0,M12,"")</f>
      </c>
      <c r="N17" s="2" t="s">
        <v>42</v>
      </c>
      <c r="P17" s="52"/>
      <c r="S17" s="46">
        <f>IF(K13=$B$57,J13,0)</f>
        <v>0</v>
      </c>
      <c r="T17" s="45"/>
      <c r="U17" s="46">
        <f>IF(K18=$B$57,H18,0)</f>
        <v>0</v>
      </c>
      <c r="V17" s="46">
        <f>IF(K16=$B$57,H16,0)</f>
        <v>0</v>
      </c>
      <c r="AD17" s="42" t="s">
        <v>140</v>
      </c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V17" s="116"/>
      <c r="AW17" s="88"/>
      <c r="BA17" s="2">
        <v>43</v>
      </c>
      <c r="BB17" s="5">
        <v>45140.5</v>
      </c>
      <c r="BC17" s="4" t="s">
        <v>173</v>
      </c>
      <c r="BD17" s="43" t="str">
        <f>BY15</f>
        <v>Panama</v>
      </c>
      <c r="BE17" s="50" t="s">
        <v>35</v>
      </c>
      <c r="BF17" s="43" t="str">
        <f>BY12</f>
        <v>Frankreich</v>
      </c>
      <c r="BG17" s="42"/>
      <c r="BH17" s="103"/>
      <c r="BI17" s="105" t="s">
        <v>36</v>
      </c>
      <c r="BJ17" s="103"/>
      <c r="BK17" s="6" t="s">
        <v>62</v>
      </c>
      <c r="BM17" s="118">
        <f>IF(BN12&gt;0,BM12,"")</f>
      </c>
      <c r="BN17" s="2" t="s">
        <v>78</v>
      </c>
      <c r="BP17" s="52"/>
      <c r="BS17" s="46">
        <f>IF(BK13=$B$57,BJ13,0)</f>
        <v>0</v>
      </c>
      <c r="BT17" s="45"/>
      <c r="BU17" s="46">
        <f>IF(BK18=$B$57,BH18,0)</f>
        <v>0</v>
      </c>
      <c r="BV17" s="46">
        <f>IF(BK16=$B$57,BH16,0)</f>
        <v>0</v>
      </c>
      <c r="CD17" s="42" t="s">
        <v>140</v>
      </c>
      <c r="CF17" s="116"/>
      <c r="CG17" s="116"/>
      <c r="CH17" s="116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V17" s="117"/>
      <c r="CW17" s="49"/>
    </row>
    <row r="18" spans="1:101" ht="12.75">
      <c r="A18" s="2">
        <v>36</v>
      </c>
      <c r="B18" s="5">
        <v>45138.5</v>
      </c>
      <c r="C18" s="4" t="s">
        <v>180</v>
      </c>
      <c r="D18" s="43" t="str">
        <f>Y13</f>
        <v>Irland</v>
      </c>
      <c r="E18" s="50" t="s">
        <v>35</v>
      </c>
      <c r="F18" s="43" t="str">
        <f>Y14</f>
        <v>Nigeria</v>
      </c>
      <c r="G18" s="42"/>
      <c r="H18" s="103"/>
      <c r="I18" s="105" t="s">
        <v>36</v>
      </c>
      <c r="J18" s="103"/>
      <c r="K18" s="6" t="s">
        <v>62</v>
      </c>
      <c r="M18" s="56">
        <f>IF(N13&gt;0,M13,"")</f>
      </c>
      <c r="N18" s="2" t="s">
        <v>43</v>
      </c>
      <c r="O18" s="53"/>
      <c r="P18" s="89" t="s">
        <v>170</v>
      </c>
      <c r="S18" s="46">
        <f>IF(K15=$B$57,J15,0)</f>
        <v>0</v>
      </c>
      <c r="T18" s="46">
        <f>IF(K18=$B$57,J18,0)</f>
        <v>0</v>
      </c>
      <c r="U18" s="45"/>
      <c r="V18" s="46">
        <f>IF(K14=$B$57,H14,0)</f>
        <v>0</v>
      </c>
      <c r="AD18" s="42" t="s">
        <v>141</v>
      </c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V18" s="116"/>
      <c r="AW18" s="88"/>
      <c r="BA18" s="2">
        <v>44</v>
      </c>
      <c r="BB18" s="5">
        <v>45140.5</v>
      </c>
      <c r="BC18" s="4" t="s">
        <v>176</v>
      </c>
      <c r="BD18" s="43" t="str">
        <f>BY13</f>
        <v>Jamaika</v>
      </c>
      <c r="BE18" s="50" t="s">
        <v>35</v>
      </c>
      <c r="BF18" s="43" t="str">
        <f>BY14</f>
        <v>Brasilien</v>
      </c>
      <c r="BG18" s="42"/>
      <c r="BH18" s="103"/>
      <c r="BI18" s="105" t="s">
        <v>36</v>
      </c>
      <c r="BJ18" s="103"/>
      <c r="BK18" s="6" t="s">
        <v>62</v>
      </c>
      <c r="BM18" s="118">
        <f>IF(BN13&gt;0,BM13,"")</f>
      </c>
      <c r="BN18" s="2" t="s">
        <v>79</v>
      </c>
      <c r="BO18" s="53"/>
      <c r="BP18" s="89" t="s">
        <v>170</v>
      </c>
      <c r="BS18" s="46">
        <f>IF(BK15=$B$57,BJ15,0)</f>
        <v>0</v>
      </c>
      <c r="BT18" s="46">
        <f>IF(BK18=$B$57,BJ18,0)</f>
        <v>0</v>
      </c>
      <c r="BU18" s="45"/>
      <c r="BV18" s="46">
        <f>IF(BK14=$B$57,BH14,0)</f>
        <v>0</v>
      </c>
      <c r="CD18" s="42" t="s">
        <v>141</v>
      </c>
      <c r="CF18" s="116"/>
      <c r="CG18" s="116"/>
      <c r="CH18" s="116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V18" s="117"/>
      <c r="CW18" s="49"/>
    </row>
    <row r="19" spans="4:101" ht="12.75">
      <c r="D19" s="43"/>
      <c r="E19" s="50"/>
      <c r="F19" s="43"/>
      <c r="G19" s="42"/>
      <c r="N19" s="1"/>
      <c r="S19" s="46">
        <f>IF(K17=$B$57,H17,0)</f>
        <v>0</v>
      </c>
      <c r="T19" s="46">
        <f>IF(K16=$B$57,J16,0)</f>
        <v>0</v>
      </c>
      <c r="U19" s="46">
        <f>IF(K14=$B$57,J14,0)</f>
        <v>0</v>
      </c>
      <c r="V19" s="45"/>
      <c r="AD19" s="2" t="s">
        <v>171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V19" s="116"/>
      <c r="AW19" s="88"/>
      <c r="BD19" s="43"/>
      <c r="BE19" s="50"/>
      <c r="BF19" s="43"/>
      <c r="BG19" s="42"/>
      <c r="BN19" s="1"/>
      <c r="BS19" s="46">
        <f>IF(BK17=$B$57,BH17,0)</f>
        <v>0</v>
      </c>
      <c r="BT19" s="46">
        <f>IF(BK16=$B$57,BJ16,0)</f>
        <v>0</v>
      </c>
      <c r="BU19" s="46">
        <f>IF(BK14=$B$57,BJ14,0)</f>
        <v>0</v>
      </c>
      <c r="BV19" s="45"/>
      <c r="CD19" s="2" t="s">
        <v>171</v>
      </c>
      <c r="CF19" s="116"/>
      <c r="CG19" s="116"/>
      <c r="CH19" s="116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V19" s="117"/>
      <c r="CW19" s="49"/>
    </row>
    <row r="20" spans="4:101" ht="6" customHeight="1">
      <c r="D20" s="43"/>
      <c r="E20" s="50"/>
      <c r="F20" s="43"/>
      <c r="G20" s="37"/>
      <c r="H20" s="42"/>
      <c r="I20" s="42"/>
      <c r="J20" s="42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V20" s="116"/>
      <c r="AW20" s="88"/>
      <c r="BC20" s="3"/>
      <c r="BD20" s="43"/>
      <c r="BE20" s="50"/>
      <c r="BF20" s="43"/>
      <c r="BG20" s="37"/>
      <c r="BH20" s="42"/>
      <c r="BI20" s="42"/>
      <c r="BJ20" s="42"/>
      <c r="CF20" s="116"/>
      <c r="CG20" s="116"/>
      <c r="CH20" s="116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V20" s="117"/>
      <c r="CW20" s="49"/>
    </row>
    <row r="21" spans="2:101" s="10" customFormat="1" ht="12.75">
      <c r="B21" s="57" t="s">
        <v>23</v>
      </c>
      <c r="C21" s="58" t="s">
        <v>44</v>
      </c>
      <c r="D21" s="43" t="s">
        <v>25</v>
      </c>
      <c r="E21" s="50"/>
      <c r="F21" s="43"/>
      <c r="G21" s="35"/>
      <c r="H21" s="104"/>
      <c r="I21" s="92"/>
      <c r="J21" s="104"/>
      <c r="K21" s="93"/>
      <c r="L21" s="7"/>
      <c r="M21" s="31" t="s">
        <v>26</v>
      </c>
      <c r="N21" s="7" t="s">
        <v>27</v>
      </c>
      <c r="O21" s="7" t="s">
        <v>28</v>
      </c>
      <c r="P21" s="7" t="s">
        <v>29</v>
      </c>
      <c r="Q21" s="7" t="s">
        <v>30</v>
      </c>
      <c r="R21" s="7"/>
      <c r="S21" s="42"/>
      <c r="T21" s="42"/>
      <c r="U21" s="42"/>
      <c r="V21" s="42"/>
      <c r="W21" s="35"/>
      <c r="X21" s="35" t="s">
        <v>31</v>
      </c>
      <c r="Y21" s="43" t="s">
        <v>32</v>
      </c>
      <c r="Z21" s="35" t="s">
        <v>27</v>
      </c>
      <c r="AA21" s="35" t="s">
        <v>28</v>
      </c>
      <c r="AB21" s="35" t="s">
        <v>29</v>
      </c>
      <c r="AC21" s="35" t="s">
        <v>30</v>
      </c>
      <c r="AD21" s="35"/>
      <c r="AE21" s="92" t="s">
        <v>65</v>
      </c>
      <c r="AF21" s="50" t="s">
        <v>66</v>
      </c>
      <c r="AG21" s="50"/>
      <c r="AH21" s="50"/>
      <c r="AI21" s="50"/>
      <c r="AJ21" s="50" t="s">
        <v>67</v>
      </c>
      <c r="AK21" s="43" t="s">
        <v>68</v>
      </c>
      <c r="AL21" s="50" t="s">
        <v>69</v>
      </c>
      <c r="AM21" s="50"/>
      <c r="AN21" s="50"/>
      <c r="AO21" s="50"/>
      <c r="AP21" s="50" t="s">
        <v>70</v>
      </c>
      <c r="AQ21" s="50" t="s">
        <v>71</v>
      </c>
      <c r="AR21" s="50"/>
      <c r="AS21" s="50"/>
      <c r="AT21" s="50"/>
      <c r="AU21" s="38" t="s">
        <v>72</v>
      </c>
      <c r="AV21" s="43" t="s">
        <v>73</v>
      </c>
      <c r="AW21" s="87"/>
      <c r="BB21" s="119" t="s">
        <v>23</v>
      </c>
      <c r="BC21" s="120" t="s">
        <v>184</v>
      </c>
      <c r="BD21" s="43" t="s">
        <v>25</v>
      </c>
      <c r="BE21" s="50"/>
      <c r="BF21" s="43"/>
      <c r="BG21" s="35"/>
      <c r="BH21" s="104"/>
      <c r="BI21" s="92"/>
      <c r="BJ21" s="104"/>
      <c r="BK21" s="93"/>
      <c r="BL21" s="7"/>
      <c r="BM21" s="31" t="s">
        <v>26</v>
      </c>
      <c r="BN21" s="7" t="s">
        <v>27</v>
      </c>
      <c r="BO21" s="7" t="s">
        <v>28</v>
      </c>
      <c r="BP21" s="7" t="s">
        <v>29</v>
      </c>
      <c r="BQ21" s="7" t="s">
        <v>30</v>
      </c>
      <c r="BR21" s="7"/>
      <c r="BS21" s="42"/>
      <c r="BT21" s="42"/>
      <c r="BU21" s="42"/>
      <c r="BV21" s="42"/>
      <c r="BW21" s="35"/>
      <c r="BX21" s="35" t="s">
        <v>31</v>
      </c>
      <c r="BY21" s="43" t="s">
        <v>32</v>
      </c>
      <c r="BZ21" s="35" t="s">
        <v>27</v>
      </c>
      <c r="CA21" s="35" t="s">
        <v>28</v>
      </c>
      <c r="CB21" s="35" t="s">
        <v>29</v>
      </c>
      <c r="CC21" s="35" t="s">
        <v>30</v>
      </c>
      <c r="CD21" s="35"/>
      <c r="CE21" s="92" t="s">
        <v>65</v>
      </c>
      <c r="CF21" s="50" t="s">
        <v>66</v>
      </c>
      <c r="CG21" s="50"/>
      <c r="CH21" s="50"/>
      <c r="CI21" s="11"/>
      <c r="CJ21" s="11" t="s">
        <v>67</v>
      </c>
      <c r="CK21" s="8" t="s">
        <v>68</v>
      </c>
      <c r="CL21" s="11" t="s">
        <v>69</v>
      </c>
      <c r="CM21" s="11"/>
      <c r="CN21" s="11"/>
      <c r="CO21" s="11"/>
      <c r="CP21" s="11" t="s">
        <v>70</v>
      </c>
      <c r="CQ21" s="11" t="s">
        <v>71</v>
      </c>
      <c r="CR21" s="11"/>
      <c r="CS21" s="11"/>
      <c r="CT21" s="11"/>
      <c r="CU21" s="13" t="s">
        <v>72</v>
      </c>
      <c r="CV21" s="8" t="s">
        <v>73</v>
      </c>
      <c r="CW21" s="44"/>
    </row>
    <row r="22" spans="2:101" ht="12.75">
      <c r="B22" s="3" t="s">
        <v>33</v>
      </c>
      <c r="C22" s="3" t="s">
        <v>34</v>
      </c>
      <c r="D22" s="43"/>
      <c r="E22" s="50"/>
      <c r="F22" s="43"/>
      <c r="G22" s="42"/>
      <c r="L22" s="1"/>
      <c r="M22" s="39" t="str">
        <f>VLOOKUP(1,$X$22:$AC$25,2,FALSE)</f>
        <v>Spanien</v>
      </c>
      <c r="N22" s="2">
        <f>VLOOKUP(1,$X$22:$AC$25,3,FALSE)</f>
        <v>0</v>
      </c>
      <c r="O22" s="2">
        <f>VLOOKUP(1,$X$22:$AC$25,4,FALSE)</f>
        <v>0</v>
      </c>
      <c r="P22" s="2">
        <f>VLOOKUP(1,$X$22:$AC$25,5,FALSE)</f>
        <v>0</v>
      </c>
      <c r="Q22" s="2">
        <f>VLOOKUP(1,$X$22:$AC$25,6,FALSE)</f>
        <v>0</v>
      </c>
      <c r="S22" s="45"/>
      <c r="T22" s="46">
        <f>IF(H23="",0,IF(K23=$B$57,IF(H23&gt;J23,3,IF(H23=J23,1,0)),0))</f>
        <v>0</v>
      </c>
      <c r="U22" s="46">
        <f>IF(H25="",0,IF(K25=$B$57,IF(H25&gt;J25,3,IF(H25=J25,1,0)),0))</f>
        <v>0</v>
      </c>
      <c r="V22" s="46">
        <f>IF(J27="",0,IF(K27=$B$57,IF(H27&lt;J27,3,IF(H27=J27,1,0)),0))</f>
        <v>0</v>
      </c>
      <c r="W22" s="47"/>
      <c r="X22" s="112">
        <f>RANK(AD22,AD22:AD25)+COUNTIF(AD22:AD22,AD22)-1</f>
        <v>1</v>
      </c>
      <c r="Y22" s="48" t="s">
        <v>45</v>
      </c>
      <c r="Z22" s="47">
        <f>SUM(S22:V22)</f>
        <v>0</v>
      </c>
      <c r="AA22" s="47">
        <f>SUM(S26:V26)</f>
        <v>0</v>
      </c>
      <c r="AB22" s="47">
        <f>SUM(S26:S29)</f>
        <v>0</v>
      </c>
      <c r="AC22" s="47">
        <f>AA22-AB22</f>
        <v>0</v>
      </c>
      <c r="AD22" s="49">
        <f>IF(P$28="",(((((((AE22*10+Z22)*100+AC22)*100+AA22)*10+AK22)*10+AJ22)*100+AP22)*100+AU22)*10+AV22,(((((((AE22*10+Z22)*10+AK22)*10+AJ22)*100+AP22)*100+AU22)*100+AC22)*100+AA22)*10+AV22)</f>
        <v>4</v>
      </c>
      <c r="AE22" s="94"/>
      <c r="AF22" s="113"/>
      <c r="AG22" s="113">
        <f>IF($Z22=$Z23,$T22-$S23,0)</f>
        <v>0</v>
      </c>
      <c r="AH22" s="113">
        <f>IF($Z22=$Z24,$U22-$S24,0)</f>
        <v>0</v>
      </c>
      <c r="AI22" s="113">
        <f>IF($Z22=$Z25,$V22-$S25,0)</f>
        <v>0</v>
      </c>
      <c r="AJ22" s="113">
        <f>SUM(AF22:AI22)</f>
        <v>0</v>
      </c>
      <c r="AK22" s="94"/>
      <c r="AL22" s="113"/>
      <c r="AM22" s="113">
        <f>IF($Z22=$Z23,$T26-$S27,0)</f>
        <v>0</v>
      </c>
      <c r="AN22" s="113">
        <f>IF($Z22=$Z24,$U26-$S28,0)</f>
        <v>0</v>
      </c>
      <c r="AO22" s="113">
        <f>IF($Z22=$Z25,$V26-$S29,0)</f>
        <v>0</v>
      </c>
      <c r="AP22" s="113">
        <f>SUM(AL22:AO22)</f>
        <v>0</v>
      </c>
      <c r="AQ22" s="113"/>
      <c r="AR22" s="113">
        <f>IF($Z22=$Z23,$T26,0)</f>
        <v>0</v>
      </c>
      <c r="AS22" s="113">
        <f>IF($Z22=$Z24,$U26,0)</f>
        <v>0</v>
      </c>
      <c r="AT22" s="113">
        <f>IF($Z22=$Z25,$V26,0)</f>
        <v>0</v>
      </c>
      <c r="AU22" s="113">
        <f>SUM(AQ22:AT22)</f>
        <v>0</v>
      </c>
      <c r="AV22" s="114">
        <f>IF(AND(COUNTIF(K23:K28,$B$57)=COUNTA(H23:H28),COUNTIF(K23:K28,$B$57)=COUNTA(J23:J28)),IF(AU22=AU23,T26-S27,IF(AU22=AU24,U26-S28,IF(AU22=AU25,V26-S29,4))),4)</f>
        <v>4</v>
      </c>
      <c r="AW22" s="88"/>
      <c r="BB22" s="3" t="s">
        <v>33</v>
      </c>
      <c r="BC22" s="3" t="s">
        <v>34</v>
      </c>
      <c r="BD22" s="43"/>
      <c r="BE22" s="50"/>
      <c r="BF22" s="43"/>
      <c r="BG22" s="42"/>
      <c r="BL22" s="1"/>
      <c r="BM22" s="39" t="str">
        <f>VLOOKUP(1,$BX$22:$CC$25,2,FALSE)</f>
        <v>Schweden</v>
      </c>
      <c r="BN22" s="2">
        <f>VLOOKUP(1,$BX$22:$CC$25,3,FALSE)</f>
        <v>0</v>
      </c>
      <c r="BO22" s="2">
        <f>VLOOKUP(1,$BX$22:$CC$25,4,FALSE)</f>
        <v>0</v>
      </c>
      <c r="BP22" s="2">
        <f>VLOOKUP(1,$BX$22:$CC$25,5,FALSE)</f>
        <v>0</v>
      </c>
      <c r="BQ22" s="2">
        <f>VLOOKUP(1,$BX$22:$CC$25,6,FALSE)</f>
        <v>0</v>
      </c>
      <c r="BS22" s="45"/>
      <c r="BT22" s="46">
        <f>IF(BH23="",0,IF(BK23=$B$57,IF(BH23&gt;BJ23,3,IF(BH23=BJ23,1,0)),0))</f>
        <v>0</v>
      </c>
      <c r="BU22" s="46">
        <f>IF(BH25="",0,IF(BK25=$B$57,IF(BH25&gt;BJ25,3,IF(BH25=BJ25,1,0)),0))</f>
        <v>0</v>
      </c>
      <c r="BV22" s="46">
        <f>IF(BJ27="",0,IF(BK27=$B$57,IF(BH27&lt;BJ27,3,IF(BH27=BJ27,1,0)),0))</f>
        <v>0</v>
      </c>
      <c r="BW22" s="47"/>
      <c r="BX22" s="112">
        <f>RANK(CD22,CD22:CD25)+COUNTIF(CD22:CD22,CD22)-1</f>
        <v>1</v>
      </c>
      <c r="BY22" s="48" t="s">
        <v>139</v>
      </c>
      <c r="BZ22" s="47">
        <f>SUM(BS22:BV22)</f>
        <v>0</v>
      </c>
      <c r="CA22" s="47">
        <f>SUM(BS26:BV26)</f>
        <v>0</v>
      </c>
      <c r="CB22" s="47">
        <f>SUM(BS26:BS29)</f>
        <v>0</v>
      </c>
      <c r="CC22" s="47">
        <f>CA22-CB22</f>
        <v>0</v>
      </c>
      <c r="CD22" s="49">
        <f>IF(BP$28="",(((((((CE22*10+BZ22)*100+CC22)*100+CA22)*10+CK22)*10+CJ22)*100+CP22)*100+CU22)*10+CV22,(((((((CE22*10+BZ22)*10+CK22)*10+CJ22)*100+CP22)*100+CU22)*100+CC22)*100+CA22)*10+CV22)</f>
        <v>4</v>
      </c>
      <c r="CE22" s="94"/>
      <c r="CF22" s="113"/>
      <c r="CG22" s="113">
        <f>IF($BZ22=$BZ23,$BT22-$BS23,0)</f>
        <v>0</v>
      </c>
      <c r="CH22" s="113">
        <f>IF($BZ22=$BZ24,$BU22-$BS24,0)</f>
        <v>0</v>
      </c>
      <c r="CI22" s="115">
        <f>IF($BZ22=$BZ25,$BV22-$BS25,0)</f>
        <v>0</v>
      </c>
      <c r="CJ22" s="115">
        <f>SUM(CF22:CI22)</f>
        <v>0</v>
      </c>
      <c r="CK22" s="95"/>
      <c r="CL22" s="115"/>
      <c r="CM22" s="115">
        <f>IF($BZ22=$BZ23,$BT26-$BS27,0)</f>
        <v>0</v>
      </c>
      <c r="CN22" s="115">
        <f>IF($BZ22=$BZ24,$BU26-$BS28,0)</f>
        <v>0</v>
      </c>
      <c r="CO22" s="115">
        <f>IF($BZ22=$BZ25,$BV26-$BS29,0)</f>
        <v>0</v>
      </c>
      <c r="CP22" s="115">
        <f>SUM(CL22:CO22)</f>
        <v>0</v>
      </c>
      <c r="CQ22" s="115"/>
      <c r="CR22" s="115">
        <f>IF($BZ22=$BZ23,$BT26,0)</f>
        <v>0</v>
      </c>
      <c r="CS22" s="115">
        <f>IF($BZ22=$BZ24,$BU26,0)</f>
        <v>0</v>
      </c>
      <c r="CT22" s="115">
        <f>IF($BZ22=$BZ25,$BV26,0)</f>
        <v>0</v>
      </c>
      <c r="CU22" s="115">
        <f>SUM(CQ22:CT22)</f>
        <v>0</v>
      </c>
      <c r="CV22" s="114">
        <f>IF(AND(COUNTIF(BK23:BK28,$B$57)=COUNTA(BH23:BH28),COUNTIF(BK23:BK28,$B$57)=COUNTA(BJ23:BJ28)),IF(CU22=CU23,BT26-BS27,IF(CU22=CU24,BU26-BS28,IF(CU22=CU25,BV26-BS29,4))),4)</f>
        <v>4</v>
      </c>
      <c r="CW22" s="49"/>
    </row>
    <row r="23" spans="1:101" ht="12.75">
      <c r="A23" s="2">
        <v>5</v>
      </c>
      <c r="B23" s="5">
        <v>45128.395833333336</v>
      </c>
      <c r="C23" s="4" t="s">
        <v>168</v>
      </c>
      <c r="D23" s="43" t="str">
        <f>Y22</f>
        <v>Spanien</v>
      </c>
      <c r="E23" s="50" t="s">
        <v>35</v>
      </c>
      <c r="F23" s="43" t="str">
        <f>Y23</f>
        <v>Costa Rica</v>
      </c>
      <c r="G23" s="35"/>
      <c r="H23" s="103"/>
      <c r="I23" s="105" t="s">
        <v>36</v>
      </c>
      <c r="J23" s="103"/>
      <c r="K23" s="6" t="s">
        <v>62</v>
      </c>
      <c r="L23" s="1"/>
      <c r="M23" s="39" t="str">
        <f>VLOOKUP(2,$X$22:$AC$25,2,FALSE)</f>
        <v>Costa Rica</v>
      </c>
      <c r="N23" s="2">
        <f>VLOOKUP(2,$X$22:$AC$25,3,FALSE)</f>
        <v>0</v>
      </c>
      <c r="O23" s="2">
        <f>VLOOKUP(2,$X$22:$AC$25,4,FALSE)</f>
        <v>0</v>
      </c>
      <c r="P23" s="2">
        <f>VLOOKUP(2,$X$22:$AC$25,5,FALSE)</f>
        <v>0</v>
      </c>
      <c r="Q23" s="2">
        <f>VLOOKUP(2,$X$22:$AC$25,6,FALSE)</f>
        <v>0</v>
      </c>
      <c r="S23" s="46">
        <f>IF(J23="",0,IF(K23=$B$57,IF(H23&lt;J23,3,IF(H23=J23,1,0)),0))</f>
        <v>0</v>
      </c>
      <c r="T23" s="45"/>
      <c r="U23" s="46">
        <f>IF(H28="",0,IF(K28=$B$57,IF(H28&gt;J28,3,IF(H28=J28,1,0)),0))</f>
        <v>0</v>
      </c>
      <c r="V23" s="46">
        <f>IF(H26="",0,IF(K26=$B$57,IF(H26&gt;J26,3,IF(H26=J26,1,0)),0))</f>
        <v>0</v>
      </c>
      <c r="W23" s="47"/>
      <c r="X23" s="112">
        <f>RANK(AD23,AD22:AD25)+COUNTIF(AD22:AD23,AD23)-1</f>
        <v>2</v>
      </c>
      <c r="Y23" s="48" t="s">
        <v>185</v>
      </c>
      <c r="Z23" s="47">
        <f>SUM(S23:V23)</f>
        <v>0</v>
      </c>
      <c r="AA23" s="47">
        <f>SUM(S27:V27)</f>
        <v>0</v>
      </c>
      <c r="AB23" s="47">
        <f>SUM(T26:T29)</f>
        <v>0</v>
      </c>
      <c r="AC23" s="47">
        <f>AA23-AB23</f>
        <v>0</v>
      </c>
      <c r="AD23" s="49">
        <f>IF(P$28="",(((((((AE23*10+Z23)*100+AC23)*100+AA23)*10+AK23)*10+AJ23)*100+AP23)*100+AU23)*10+AV23,(((((((AE23*10+Z23)*10+AK23)*10+AJ23)*100+AP23)*100+AU23)*100+AC23)*100+AA23)*10+AV23)</f>
        <v>3</v>
      </c>
      <c r="AE23" s="94"/>
      <c r="AF23" s="113">
        <f>IF($Z23=$Z22,$S23-$T22,0)</f>
        <v>0</v>
      </c>
      <c r="AG23" s="113"/>
      <c r="AH23" s="113">
        <f>IF($Z23=$Z24,$U23-$T24,0)</f>
        <v>0</v>
      </c>
      <c r="AI23" s="113">
        <f>IF($Z23=$Z25,$V23-$T25,0)</f>
        <v>0</v>
      </c>
      <c r="AJ23" s="113">
        <f>SUM(AF23:AI23)</f>
        <v>0</v>
      </c>
      <c r="AK23" s="94"/>
      <c r="AL23" s="113">
        <f>IF($Z23=$Z22,$S27-$T26,0)</f>
        <v>0</v>
      </c>
      <c r="AM23" s="113"/>
      <c r="AN23" s="113">
        <f>IF($Z23=$Z24,$U27-$T28,0)</f>
        <v>0</v>
      </c>
      <c r="AO23" s="113">
        <f>IF($Z23=$Z25,$V27-$T29,0)</f>
        <v>0</v>
      </c>
      <c r="AP23" s="113">
        <f>SUM(AL23:AO23)</f>
        <v>0</v>
      </c>
      <c r="AQ23" s="113">
        <f>IF($Z23=$Z22,$S27,0)</f>
        <v>0</v>
      </c>
      <c r="AR23" s="113"/>
      <c r="AS23" s="113">
        <f>IF($Z23=$Z24,$U27,0)</f>
        <v>0</v>
      </c>
      <c r="AT23" s="113">
        <f>IF($Z23=$Z25,$V27,0)</f>
        <v>0</v>
      </c>
      <c r="AU23" s="113">
        <f>SUM(AQ23:AT23)</f>
        <v>0</v>
      </c>
      <c r="AV23" s="114">
        <f>IF(AND(COUNTIF(K23:K28,$B$57)=COUNTA(H23:H28),COUNTIF(K23:K28,$B$57)=COUNTA(J23:J28)),IF(AU23=AU22,S27-T26,IF(AU23=AU24,U27-T28,IF(AU23=AU25,V27-T29,3))),3)</f>
        <v>3</v>
      </c>
      <c r="AW23" s="88"/>
      <c r="BA23" s="2">
        <v>13</v>
      </c>
      <c r="BB23" s="5">
        <v>45130.291666666664</v>
      </c>
      <c r="BC23" s="4" t="s">
        <v>168</v>
      </c>
      <c r="BD23" s="43" t="str">
        <f>BY22</f>
        <v>Schweden</v>
      </c>
      <c r="BE23" s="50" t="s">
        <v>35</v>
      </c>
      <c r="BF23" s="43" t="str">
        <f>BY23</f>
        <v>Südafrika</v>
      </c>
      <c r="BG23" s="35"/>
      <c r="BH23" s="103"/>
      <c r="BI23" s="105" t="s">
        <v>36</v>
      </c>
      <c r="BJ23" s="103"/>
      <c r="BK23" s="6" t="s">
        <v>62</v>
      </c>
      <c r="BL23" s="1"/>
      <c r="BM23" s="39" t="str">
        <f>VLOOKUP(2,$BX$22:$CC$25,2,FALSE)</f>
        <v>Südafrika</v>
      </c>
      <c r="BN23" s="2">
        <f>VLOOKUP(2,$BX$22:$CC$25,3,FALSE)</f>
        <v>0</v>
      </c>
      <c r="BO23" s="2">
        <f>VLOOKUP(2,$BX$22:$CC$25,4,FALSE)</f>
        <v>0</v>
      </c>
      <c r="BP23" s="2">
        <f>VLOOKUP(2,$BX$22:$CC$25,5,FALSE)</f>
        <v>0</v>
      </c>
      <c r="BQ23" s="2">
        <f>VLOOKUP(2,$BX$22:$CC$25,6,FALSE)</f>
        <v>0</v>
      </c>
      <c r="BS23" s="46">
        <f>IF(BJ23="",0,IF(BK23=$B$57,IF(BH23&lt;BJ23,3,IF(BH23=BJ23,1,0)),0))</f>
        <v>0</v>
      </c>
      <c r="BT23" s="45"/>
      <c r="BU23" s="46">
        <f>IF(BH28="",0,IF(BK28=$B$57,IF(BH28&gt;BJ28,3,IF(BH28=BJ28,1,0)),0))</f>
        <v>0</v>
      </c>
      <c r="BV23" s="46">
        <f>IF(BH26="",0,IF(BK26=$B$57,IF(BH26&gt;BJ26,3,IF(BH26=BJ26,1,0)),0))</f>
        <v>0</v>
      </c>
      <c r="BW23" s="47"/>
      <c r="BX23" s="112">
        <f>RANK(CD23,CD22:CD25)+COUNTIF(CD22:CD23,CD23)-1</f>
        <v>2</v>
      </c>
      <c r="BY23" s="48" t="s">
        <v>186</v>
      </c>
      <c r="BZ23" s="47">
        <f>SUM(BS23:BV23)</f>
        <v>0</v>
      </c>
      <c r="CA23" s="47">
        <f>SUM(BS27:BV27)</f>
        <v>0</v>
      </c>
      <c r="CB23" s="47">
        <f>SUM(BT26:BT29)</f>
        <v>0</v>
      </c>
      <c r="CC23" s="47">
        <f>CA23-CB23</f>
        <v>0</v>
      </c>
      <c r="CD23" s="49">
        <f>IF(BP$28="",(((((((CE23*10+BZ23)*100+CC23)*100+CA23)*10+CK23)*10+CJ23)*100+CP23)*100+CU23)*10+CV23,(((((((CE23*10+BZ23)*10+CK23)*10+CJ23)*100+CP23)*100+CU23)*100+CC23)*100+CA23)*10+CV23)</f>
        <v>3</v>
      </c>
      <c r="CE23" s="94"/>
      <c r="CF23" s="113">
        <f>IF($BZ23=$BZ22,$BS23-$BT22,0)</f>
        <v>0</v>
      </c>
      <c r="CG23" s="113"/>
      <c r="CH23" s="113">
        <f>IF($BZ23=$BZ24,$BU23-$BT24,0)</f>
        <v>0</v>
      </c>
      <c r="CI23" s="115">
        <f>IF($BZ23=$BZ25,$BV23-$BT25,0)</f>
        <v>0</v>
      </c>
      <c r="CJ23" s="115">
        <f>SUM(CF23:CI23)</f>
        <v>0</v>
      </c>
      <c r="CK23" s="95"/>
      <c r="CL23" s="115">
        <f>IF($BZ23=$BZ22,$BS27-$BT26,0)</f>
        <v>0</v>
      </c>
      <c r="CM23" s="115"/>
      <c r="CN23" s="115">
        <f>IF($BZ23=$BZ24,$BU27-$BT28,0)</f>
        <v>0</v>
      </c>
      <c r="CO23" s="115">
        <f>IF($BZ23=$BZ25,$BV27-$BT29,0)</f>
        <v>0</v>
      </c>
      <c r="CP23" s="115">
        <f>SUM(CL23:CO23)</f>
        <v>0</v>
      </c>
      <c r="CQ23" s="115">
        <f>IF($BZ23=$BZ22,$BS27,0)</f>
        <v>0</v>
      </c>
      <c r="CR23" s="115"/>
      <c r="CS23" s="115">
        <f>IF($BZ23=$BZ24,$BU27,0)</f>
        <v>0</v>
      </c>
      <c r="CT23" s="115">
        <f>IF($BZ23=$BZ25,$BV27,0)</f>
        <v>0</v>
      </c>
      <c r="CU23" s="115">
        <f>SUM(CQ23:CT23)</f>
        <v>0</v>
      </c>
      <c r="CV23" s="114">
        <f>IF(AND(COUNTIF(BK23:BK28,$B$57)=COUNTA(BH23:BH28),COUNTIF(BK23:BK28,$B$57)=COUNTA(BJ23:BJ28)),IF(CU23=CU22,BS27-BT26,IF(CU23=CU24,BU27-BT28,IF(CU23=CU25,BV27-BT29,3))),3)</f>
        <v>3</v>
      </c>
      <c r="CW23" s="49"/>
    </row>
    <row r="24" spans="1:101" ht="12.75">
      <c r="A24" s="2">
        <v>6</v>
      </c>
      <c r="B24" s="5">
        <v>45129.375</v>
      </c>
      <c r="C24" s="4" t="s">
        <v>169</v>
      </c>
      <c r="D24" s="43" t="str">
        <f>Y24</f>
        <v>Sambia</v>
      </c>
      <c r="E24" s="50" t="s">
        <v>35</v>
      </c>
      <c r="F24" s="43" t="str">
        <f>Y25</f>
        <v>Japan</v>
      </c>
      <c r="G24" s="35"/>
      <c r="H24" s="103"/>
      <c r="I24" s="105" t="s">
        <v>36</v>
      </c>
      <c r="J24" s="103"/>
      <c r="K24" s="6" t="s">
        <v>62</v>
      </c>
      <c r="L24" s="1"/>
      <c r="M24" s="39" t="str">
        <f>VLOOKUP(3,$X$22:$AC$25,2,FALSE)</f>
        <v>Sambia</v>
      </c>
      <c r="N24" s="2">
        <f>VLOOKUP(3,$X$22:$AC$25,3,FALSE)</f>
        <v>0</v>
      </c>
      <c r="O24" s="2">
        <f>VLOOKUP(3,$X$22:$AC$25,4,FALSE)</f>
        <v>0</v>
      </c>
      <c r="P24" s="2">
        <f>VLOOKUP(3,$X$22:$AC$25,5,FALSE)</f>
        <v>0</v>
      </c>
      <c r="Q24" s="2">
        <f>VLOOKUP(3,$X$22:$AC$25,6,FALSE)</f>
        <v>0</v>
      </c>
      <c r="S24" s="46">
        <f>IF(J25="",0,IF(K25=$B$57,IF(H25&lt;J25,3,IF(H25=J25,1,0)),0))</f>
        <v>0</v>
      </c>
      <c r="T24" s="46">
        <f>IF(J28="",0,IF(K28=$B$57,IF(H28&lt;J28,3,IF(H28=J28,1,0)),0))</f>
        <v>0</v>
      </c>
      <c r="U24" s="45"/>
      <c r="V24" s="46">
        <f>IF(H24="",0,IF(K24=$B$57,IF(H24&gt;J24,3,IF(H24=J24,1,0)),0))</f>
        <v>0</v>
      </c>
      <c r="W24" s="47"/>
      <c r="X24" s="112">
        <f>RANK(AD24,AD22:AD25)+COUNTIF(AD22:AD24,AD24)-1</f>
        <v>3</v>
      </c>
      <c r="Y24" s="48" t="s">
        <v>187</v>
      </c>
      <c r="Z24" s="47">
        <f>SUM(S24:V24)</f>
        <v>0</v>
      </c>
      <c r="AA24" s="47">
        <f>SUM(S28:V28)</f>
        <v>0</v>
      </c>
      <c r="AB24" s="47">
        <f>SUM(U26:U29)</f>
        <v>0</v>
      </c>
      <c r="AC24" s="47">
        <f>AA24-AB24</f>
        <v>0</v>
      </c>
      <c r="AD24" s="49">
        <f>IF(P$28="",(((((((AE24*10+Z24)*100+AC24)*100+AA24)*10+AK24)*10+AJ24)*100+AP24)*100+AU24)*10+AV24,(((((((AE24*10+Z24)*10+AK24)*10+AJ24)*100+AP24)*100+AU24)*100+AC24)*100+AA24)*10+AV24)</f>
        <v>2</v>
      </c>
      <c r="AE24" s="94"/>
      <c r="AF24" s="113">
        <f>IF($Z24=$Z22,$S24-$U22,0)</f>
        <v>0</v>
      </c>
      <c r="AG24" s="113">
        <f>IF($Z24=$Z23,$T24-$U23,0)</f>
        <v>0</v>
      </c>
      <c r="AH24" s="113"/>
      <c r="AI24" s="113">
        <f>IF($Z24=$Z25,$V24-$U25,0)</f>
        <v>0</v>
      </c>
      <c r="AJ24" s="113">
        <f>SUM(AF24:AI24)</f>
        <v>0</v>
      </c>
      <c r="AK24" s="94"/>
      <c r="AL24" s="113">
        <f>IF($Z24=$Z22,$S28-$U26,0)</f>
        <v>0</v>
      </c>
      <c r="AM24" s="113">
        <f>IF($Z24=$Z23,$T28-$U27,0)</f>
        <v>0</v>
      </c>
      <c r="AN24" s="113"/>
      <c r="AO24" s="113">
        <f>IF($Z24=$Z25,$V28-$U29,0)</f>
        <v>0</v>
      </c>
      <c r="AP24" s="113">
        <f>SUM(AL24:AO24)</f>
        <v>0</v>
      </c>
      <c r="AQ24" s="113">
        <f>IF($Z24=$Z22,$S28,0)</f>
        <v>0</v>
      </c>
      <c r="AR24" s="113">
        <f>IF($Z24=$Z23,$T28,0)</f>
        <v>0</v>
      </c>
      <c r="AS24" s="113"/>
      <c r="AT24" s="113">
        <f>IF($Z24=$Z25,$V28,0)</f>
        <v>0</v>
      </c>
      <c r="AU24" s="113">
        <f>SUM(AQ24:AT24)</f>
        <v>0</v>
      </c>
      <c r="AV24" s="114">
        <f>IF(AND(COUNTIF(K23:K28,$B$57)=COUNTA(H23:H28),COUNTIF(K23:K28,$B$57)=COUNTA(J23:J28)),IF(AU24=AU22,S28-U26,IF(AU24=AU23,T28-U27,IF(AU24=AU25,V28-U29,2))),2)</f>
        <v>2</v>
      </c>
      <c r="AW24" s="88"/>
      <c r="BA24" s="2">
        <v>14</v>
      </c>
      <c r="BB24" s="5">
        <v>45131.333333333336</v>
      </c>
      <c r="BC24" s="4" t="s">
        <v>163</v>
      </c>
      <c r="BD24" s="43" t="str">
        <f>BY24</f>
        <v>Italien</v>
      </c>
      <c r="BE24" s="50" t="s">
        <v>35</v>
      </c>
      <c r="BF24" s="43" t="str">
        <f>BY25</f>
        <v>Argentinien</v>
      </c>
      <c r="BG24" s="35"/>
      <c r="BH24" s="103"/>
      <c r="BI24" s="105" t="s">
        <v>36</v>
      </c>
      <c r="BJ24" s="103"/>
      <c r="BK24" s="6" t="s">
        <v>62</v>
      </c>
      <c r="BL24" s="1"/>
      <c r="BM24" s="39" t="str">
        <f>VLOOKUP(3,$BX$22:$CC$25,2,FALSE)</f>
        <v>Italien</v>
      </c>
      <c r="BN24" s="2">
        <f>VLOOKUP(3,$BX$22:$CC$25,3,FALSE)</f>
        <v>0</v>
      </c>
      <c r="BO24" s="2">
        <f>VLOOKUP(3,$BX$22:$CC$25,4,FALSE)</f>
        <v>0</v>
      </c>
      <c r="BP24" s="2">
        <f>VLOOKUP(3,$BX$22:$CC$25,5,FALSE)</f>
        <v>0</v>
      </c>
      <c r="BQ24" s="2">
        <f>VLOOKUP(3,$BX$22:$CC$25,6,FALSE)</f>
        <v>0</v>
      </c>
      <c r="BS24" s="46">
        <f>IF(BJ25="",0,IF(BK25=$B$57,IF(BH25&lt;BJ25,3,IF(BH25=BJ25,1,0)),0))</f>
        <v>0</v>
      </c>
      <c r="BT24" s="46">
        <f>IF(BJ28="",0,IF(BK28=$B$57,IF(BH28&lt;BJ28,3,IF(BH28=BJ28,1,0)),0))</f>
        <v>0</v>
      </c>
      <c r="BU24" s="45"/>
      <c r="BV24" s="46">
        <f>IF(BH24="",0,IF(BK24=$B$57,IF(BH24&gt;BJ24,3,IF(BH24=BJ24,1,0)),0))</f>
        <v>0</v>
      </c>
      <c r="BW24" s="47"/>
      <c r="BX24" s="112">
        <f>RANK(CD24,CD22:CD25)+COUNTIF(CD22:CD24,CD24)-1</f>
        <v>3</v>
      </c>
      <c r="BY24" s="48" t="s">
        <v>153</v>
      </c>
      <c r="BZ24" s="47">
        <f>SUM(BS24:BV24)</f>
        <v>0</v>
      </c>
      <c r="CA24" s="47">
        <f>SUM(BS28:BV28)</f>
        <v>0</v>
      </c>
      <c r="CB24" s="47">
        <f>SUM(BU26:BU29)</f>
        <v>0</v>
      </c>
      <c r="CC24" s="47">
        <f>CA24-CB24</f>
        <v>0</v>
      </c>
      <c r="CD24" s="49">
        <f>IF(BP$28="",(((((((CE24*10+BZ24)*100+CC24)*100+CA24)*10+CK24)*10+CJ24)*100+CP24)*100+CU24)*10+CV24,(((((((CE24*10+BZ24)*10+CK24)*10+CJ24)*100+CP24)*100+CU24)*100+CC24)*100+CA24)*10+CV24)</f>
        <v>2</v>
      </c>
      <c r="CE24" s="94"/>
      <c r="CF24" s="113">
        <f>IF($BZ24=$BZ22,$BS24-$BU22,0)</f>
        <v>0</v>
      </c>
      <c r="CG24" s="113">
        <f>IF($BZ24=$BZ23,$BT24-$BU23,0)</f>
        <v>0</v>
      </c>
      <c r="CH24" s="113"/>
      <c r="CI24" s="115">
        <f>IF($BZ24=$BZ25,$BV24-$BU25,0)</f>
        <v>0</v>
      </c>
      <c r="CJ24" s="115">
        <f>SUM(CF24:CI24)</f>
        <v>0</v>
      </c>
      <c r="CK24" s="95"/>
      <c r="CL24" s="115">
        <f>IF($BZ24=$BZ22,$BS28-$BU26,0)</f>
        <v>0</v>
      </c>
      <c r="CM24" s="115">
        <f>IF($BZ24=$BZ23,$BT28-$BU27,0)</f>
        <v>0</v>
      </c>
      <c r="CN24" s="115"/>
      <c r="CO24" s="115">
        <f>IF($BZ24=$BZ25,$BV28-$BU29,0)</f>
        <v>0</v>
      </c>
      <c r="CP24" s="115">
        <f>SUM(CL24:CO24)</f>
        <v>0</v>
      </c>
      <c r="CQ24" s="115">
        <f>IF($BZ24=$BZ22,$BS28,0)</f>
        <v>0</v>
      </c>
      <c r="CR24" s="115">
        <f>IF($BZ24=$BZ23,$BT28,0)</f>
        <v>0</v>
      </c>
      <c r="CS24" s="115"/>
      <c r="CT24" s="115">
        <f>IF($BZ24=$BZ25,$BV28,0)</f>
        <v>0</v>
      </c>
      <c r="CU24" s="115">
        <f>SUM(CQ24:CT24)</f>
        <v>0</v>
      </c>
      <c r="CV24" s="114">
        <f>IF(AND(COUNTIF(BK23:BK28,$B$57)=COUNTA(BH23:BH28),COUNTIF(BK23:BK28,$B$57)=COUNTA(BJ23:BJ28)),IF(CU24=CU22,BS28-BU26,IF(CU24=CU23,BT28-BU27,IF(CU24=CU25,BV28-BU29,2))),2)</f>
        <v>2</v>
      </c>
      <c r="CW24" s="49"/>
    </row>
    <row r="25" spans="1:101" ht="12.75">
      <c r="A25" s="2">
        <v>21</v>
      </c>
      <c r="B25" s="5">
        <v>45133.395833333336</v>
      </c>
      <c r="C25" s="4" t="s">
        <v>163</v>
      </c>
      <c r="D25" s="43" t="str">
        <f>Y22</f>
        <v>Spanien</v>
      </c>
      <c r="E25" s="50" t="s">
        <v>35</v>
      </c>
      <c r="F25" s="43" t="str">
        <f>Y24</f>
        <v>Sambia</v>
      </c>
      <c r="G25" s="35"/>
      <c r="H25" s="103"/>
      <c r="I25" s="105" t="s">
        <v>36</v>
      </c>
      <c r="J25" s="103"/>
      <c r="K25" s="6" t="s">
        <v>62</v>
      </c>
      <c r="L25" s="1"/>
      <c r="M25" s="39" t="str">
        <f>VLOOKUP(4,$X$22:$AC$25,2,FALSE)</f>
        <v>Japan</v>
      </c>
      <c r="N25" s="2">
        <f>VLOOKUP(4,$X$22:$AC$25,3,FALSE)</f>
        <v>0</v>
      </c>
      <c r="O25" s="2">
        <f>VLOOKUP(4,$X$22:$AC$25,4,FALSE)</f>
        <v>0</v>
      </c>
      <c r="P25" s="2">
        <f>VLOOKUP(4,$X$22:$AC$25,5,FALSE)</f>
        <v>0</v>
      </c>
      <c r="Q25" s="2">
        <f>VLOOKUP(4,$X$22:$AC$25,6,FALSE)</f>
        <v>0</v>
      </c>
      <c r="S25" s="46">
        <f>IF(H27="",0,IF(K27=$B$57,IF(H27&gt;J27,3,IF(H27=J27,1,0)),0))</f>
        <v>0</v>
      </c>
      <c r="T25" s="46">
        <f>IF(J26="",0,IF(K26=$B$57,IF(H26&lt;J26,3,IF(H26=J26,1,0)),0))</f>
        <v>0</v>
      </c>
      <c r="U25" s="46">
        <f>IF(J24="",0,IF(K24=$B$57,IF(H24&lt;J24,3,IF(H24=J24,1,0)),0))</f>
        <v>0</v>
      </c>
      <c r="V25" s="45"/>
      <c r="W25" s="47"/>
      <c r="X25" s="112">
        <f>RANK(AD25,AD22:AD25)+COUNTIF(AD22:AD25,AD25)-1</f>
        <v>4</v>
      </c>
      <c r="Y25" s="48" t="s">
        <v>188</v>
      </c>
      <c r="Z25" s="47">
        <f>SUM(S25:V25)</f>
        <v>0</v>
      </c>
      <c r="AA25" s="47">
        <f>SUM(S29:V29)</f>
        <v>0</v>
      </c>
      <c r="AB25" s="47">
        <f>SUM(V26:V29)</f>
        <v>0</v>
      </c>
      <c r="AC25" s="47">
        <f>AA25-AB25</f>
        <v>0</v>
      </c>
      <c r="AD25" s="49">
        <f>IF(P$28="",(((((((AE25*10+Z25)*100+AC25)*100+AA25)*10+AK25)*10+AJ25)*100+AP25)*100+AU25)*10+AV25,(((((((AE25*10+Z25)*10+AK25)*10+AJ25)*100+AP25)*100+AU25)*100+AC25)*100+AA25)*10+AV25)</f>
        <v>1</v>
      </c>
      <c r="AE25" s="94"/>
      <c r="AF25" s="113">
        <f>IF($Z25=$Z22,$S25-$V22,0)</f>
        <v>0</v>
      </c>
      <c r="AG25" s="113">
        <f>IF($Z25=$Z23,$T25-$V23,0)</f>
        <v>0</v>
      </c>
      <c r="AH25" s="113">
        <f>IF($Z25=$Z24,$U25-$V24,0)</f>
        <v>0</v>
      </c>
      <c r="AI25" s="113"/>
      <c r="AJ25" s="113">
        <f>SUM(AF25:AI25)</f>
        <v>0</v>
      </c>
      <c r="AK25" s="94"/>
      <c r="AL25" s="113">
        <f>IF($Z25=$Z22,$S29-$V26,0)</f>
        <v>0</v>
      </c>
      <c r="AM25" s="113">
        <f>IF($Z25=$Z23,$T29-$V27,0)</f>
        <v>0</v>
      </c>
      <c r="AN25" s="113">
        <f>IF($Z25=$Z24,$U29-$V28,0)</f>
        <v>0</v>
      </c>
      <c r="AO25" s="113"/>
      <c r="AP25" s="113">
        <f>SUM(AL25:AO25)</f>
        <v>0</v>
      </c>
      <c r="AQ25" s="113">
        <f>IF($Z25=$Z22,$S29,0)</f>
        <v>0</v>
      </c>
      <c r="AR25" s="113">
        <f>IF($Z25=$Z23,$T29,0)</f>
        <v>0</v>
      </c>
      <c r="AS25" s="113">
        <f>IF($Z25=$Z24,$U29,0)</f>
        <v>0</v>
      </c>
      <c r="AT25" s="113"/>
      <c r="AU25" s="113">
        <f>SUM(AQ25:AT25)</f>
        <v>0</v>
      </c>
      <c r="AV25" s="114">
        <f>IF(AND(COUNTIF(K23:K28,$B$57)=COUNTA(H23:H28),COUNTIF(K23:K28,$B$57)=COUNTA(J23:J28)),IF(AU25=AU22,S29-V26,IF(AU25=AU23,T29-V27,IF(AU25=AU24,U29-V28,1))),1)</f>
        <v>1</v>
      </c>
      <c r="AW25" s="88"/>
      <c r="BA25" s="2">
        <v>29</v>
      </c>
      <c r="BB25" s="5">
        <v>45136.395833333336</v>
      </c>
      <c r="BC25" s="4" t="s">
        <v>168</v>
      </c>
      <c r="BD25" s="43" t="str">
        <f>BY22</f>
        <v>Schweden</v>
      </c>
      <c r="BE25" s="50" t="s">
        <v>35</v>
      </c>
      <c r="BF25" s="43" t="str">
        <f>BY24</f>
        <v>Italien</v>
      </c>
      <c r="BG25" s="35"/>
      <c r="BH25" s="103"/>
      <c r="BI25" s="105" t="s">
        <v>36</v>
      </c>
      <c r="BJ25" s="103"/>
      <c r="BK25" s="6" t="s">
        <v>62</v>
      </c>
      <c r="BL25" s="1"/>
      <c r="BM25" s="39" t="str">
        <f>VLOOKUP(4,$BX$22:$CC$25,2,FALSE)</f>
        <v>Argentinien</v>
      </c>
      <c r="BN25" s="2">
        <f>VLOOKUP(4,$BX$22:$CC$25,3,FALSE)</f>
        <v>0</v>
      </c>
      <c r="BO25" s="2">
        <f>VLOOKUP(4,$BX$22:$CC$25,4,FALSE)</f>
        <v>0</v>
      </c>
      <c r="BP25" s="2">
        <f>VLOOKUP(4,$BX$22:$CC$25,5,FALSE)</f>
        <v>0</v>
      </c>
      <c r="BQ25" s="2">
        <f>VLOOKUP(4,$BX$22:$CC$25,6,FALSE)</f>
        <v>0</v>
      </c>
      <c r="BS25" s="46">
        <f>IF(BH27="",0,IF(BK27=$B$57,IF(BH27&gt;BJ27,3,IF(BH27=BJ27,1,0)),0))</f>
        <v>0</v>
      </c>
      <c r="BT25" s="46">
        <f>IF(BJ26="",0,IF(BK26=$B$57,IF(BH26&lt;BJ26,3,IF(BH26=BJ26,1,0)),0))</f>
        <v>0</v>
      </c>
      <c r="BU25" s="46">
        <f>IF(BJ24="",0,IF(BK24=$B$57,IF(BH24&lt;BJ24,3,IF(BH24=BJ24,1,0)),0))</f>
        <v>0</v>
      </c>
      <c r="BV25" s="45"/>
      <c r="BW25" s="47"/>
      <c r="BX25" s="112">
        <f>RANK(CD25,CD22:CD25)+COUNTIF(CD22:CD25,CD25)-1</f>
        <v>4</v>
      </c>
      <c r="BY25" s="48" t="s">
        <v>189</v>
      </c>
      <c r="BZ25" s="47">
        <f>SUM(BS25:BV25)</f>
        <v>0</v>
      </c>
      <c r="CA25" s="47">
        <f>SUM(BS29:BV29)</f>
        <v>0</v>
      </c>
      <c r="CB25" s="47">
        <f>SUM(BV26:BV29)</f>
        <v>0</v>
      </c>
      <c r="CC25" s="47">
        <f>CA25-CB25</f>
        <v>0</v>
      </c>
      <c r="CD25" s="49">
        <f>IF(BP$28="",(((((((CE25*10+BZ25)*100+CC25)*100+CA25)*10+CK25)*10+CJ25)*100+CP25)*100+CU25)*10+CV25,(((((((CE25*10+BZ25)*10+CK25)*10+CJ25)*100+CP25)*100+CU25)*100+CC25)*100+CA25)*10+CV25)</f>
        <v>1</v>
      </c>
      <c r="CE25" s="94"/>
      <c r="CF25" s="113">
        <f>IF($BZ25=$BZ22,$BS25-$BV22,0)</f>
        <v>0</v>
      </c>
      <c r="CG25" s="113">
        <f>IF($BZ25=$BZ23,$BT25-$BV23,0)</f>
        <v>0</v>
      </c>
      <c r="CH25" s="113">
        <f>IF($BZ25=$BZ24,$BU25-$BV24,0)</f>
        <v>0</v>
      </c>
      <c r="CI25" s="115"/>
      <c r="CJ25" s="115">
        <f>SUM(CF25:CI25)</f>
        <v>0</v>
      </c>
      <c r="CK25" s="95"/>
      <c r="CL25" s="115">
        <f>IF($BZ25=$BZ22,$BS29-$BV26,0)</f>
        <v>0</v>
      </c>
      <c r="CM25" s="115">
        <f>IF($BZ25=$BZ23,$BT29-$BV27,0)</f>
        <v>0</v>
      </c>
      <c r="CN25" s="115">
        <f>IF($BZ25=$BZ24,$BU29-$BV28,0)</f>
        <v>0</v>
      </c>
      <c r="CO25" s="115"/>
      <c r="CP25" s="115">
        <f>SUM(CL25:CO25)</f>
        <v>0</v>
      </c>
      <c r="CQ25" s="115">
        <f>IF($BZ25=$BZ22,$BS29,0)</f>
        <v>0</v>
      </c>
      <c r="CR25" s="115">
        <f>IF($BZ25=$BZ23,$BT29,0)</f>
        <v>0</v>
      </c>
      <c r="CS25" s="115">
        <f>IF($BZ25=$BZ24,$BU29,0)</f>
        <v>0</v>
      </c>
      <c r="CT25" s="115"/>
      <c r="CU25" s="115">
        <f>SUM(CQ25:CT25)</f>
        <v>0</v>
      </c>
      <c r="CV25" s="114">
        <f>IF(AND(COUNTIF(BK23:BK28,$B$57)=COUNTA(BH23:BH28),COUNTIF(BK23:BK28,$B$57)=COUNTA(BJ23:BJ28)),IF(CU25=CU22,BS29-BV26,IF(CU25=CU23,BT29-BV27,IF(CU25=CU24,BU29-BV28,1))),1)</f>
        <v>1</v>
      </c>
      <c r="CW25" s="49"/>
    </row>
    <row r="26" spans="1:101" ht="12.75">
      <c r="A26" s="2">
        <v>22</v>
      </c>
      <c r="B26" s="5">
        <v>45133.291666666664</v>
      </c>
      <c r="C26" s="4" t="s">
        <v>166</v>
      </c>
      <c r="D26" s="43" t="str">
        <f>Y23</f>
        <v>Costa Rica</v>
      </c>
      <c r="E26" s="50" t="s">
        <v>35</v>
      </c>
      <c r="F26" s="43" t="str">
        <f>Y25</f>
        <v>Japan</v>
      </c>
      <c r="G26" s="35"/>
      <c r="H26" s="103"/>
      <c r="I26" s="105" t="s">
        <v>36</v>
      </c>
      <c r="J26" s="103"/>
      <c r="K26" s="6" t="s">
        <v>62</v>
      </c>
      <c r="L26" s="1"/>
      <c r="N26" s="1"/>
      <c r="O26" s="1"/>
      <c r="P26" s="1"/>
      <c r="S26" s="45"/>
      <c r="T26" s="46">
        <f>IF(K23=$B$57,H23,0)</f>
        <v>0</v>
      </c>
      <c r="U26" s="46">
        <f>IF(K25=$B$57,H25,0)</f>
        <v>0</v>
      </c>
      <c r="V26" s="46">
        <f>IF(K27=$B$57,J27,0)</f>
        <v>0</v>
      </c>
      <c r="W26" s="47"/>
      <c r="X26" s="47"/>
      <c r="Y26" s="47"/>
      <c r="Z26" s="47"/>
      <c r="AA26" s="47"/>
      <c r="AB26" s="47"/>
      <c r="AC26" s="47"/>
      <c r="AD26" s="71"/>
      <c r="AE26" s="96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V26" s="113"/>
      <c r="AW26" s="88"/>
      <c r="BA26" s="2">
        <v>30</v>
      </c>
      <c r="BB26" s="5">
        <v>45135.083333333336</v>
      </c>
      <c r="BC26" s="4" t="s">
        <v>166</v>
      </c>
      <c r="BD26" s="43" t="str">
        <f>BY23</f>
        <v>Südafrika</v>
      </c>
      <c r="BE26" s="50" t="s">
        <v>35</v>
      </c>
      <c r="BF26" s="43" t="str">
        <f>BY25</f>
        <v>Argentinien</v>
      </c>
      <c r="BG26" s="35"/>
      <c r="BH26" s="103"/>
      <c r="BI26" s="105" t="s">
        <v>36</v>
      </c>
      <c r="BJ26" s="103"/>
      <c r="BK26" s="6" t="s">
        <v>62</v>
      </c>
      <c r="BL26" s="1"/>
      <c r="BN26" s="1"/>
      <c r="BO26" s="1"/>
      <c r="BP26" s="1"/>
      <c r="BS26" s="45"/>
      <c r="BT26" s="46">
        <f>IF(BK23=$B$57,BH23,0)</f>
        <v>0</v>
      </c>
      <c r="BU26" s="46">
        <f>IF(BK25=$B$57,BH25,0)</f>
        <v>0</v>
      </c>
      <c r="BV26" s="46">
        <f>IF(BK27=$B$57,BJ27,0)</f>
        <v>0</v>
      </c>
      <c r="BW26" s="47"/>
      <c r="BX26" s="47"/>
      <c r="BY26" s="47"/>
      <c r="BZ26" s="47"/>
      <c r="CA26" s="47"/>
      <c r="CB26" s="47"/>
      <c r="CC26" s="47"/>
      <c r="CD26" s="71"/>
      <c r="CE26" s="96"/>
      <c r="CF26" s="113"/>
      <c r="CG26" s="113"/>
      <c r="CH26" s="113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V26" s="115"/>
      <c r="CW26" s="49"/>
    </row>
    <row r="27" spans="1:101" ht="12.75">
      <c r="A27" s="2">
        <v>37</v>
      </c>
      <c r="B27" s="5">
        <v>45138.375</v>
      </c>
      <c r="C27" s="4" t="s">
        <v>168</v>
      </c>
      <c r="D27" s="43" t="str">
        <f>Y25</f>
        <v>Japan</v>
      </c>
      <c r="E27" s="50" t="s">
        <v>35</v>
      </c>
      <c r="F27" s="43" t="str">
        <f>Y22</f>
        <v>Spanien</v>
      </c>
      <c r="G27" s="42"/>
      <c r="H27" s="103"/>
      <c r="I27" s="105" t="s">
        <v>36</v>
      </c>
      <c r="J27" s="103"/>
      <c r="K27" s="6" t="s">
        <v>62</v>
      </c>
      <c r="M27" s="59">
        <f>IF(N22&gt;0,M22,"")</f>
      </c>
      <c r="N27" s="2" t="s">
        <v>46</v>
      </c>
      <c r="P27" s="52"/>
      <c r="S27" s="46">
        <f>IF(K23=$B$57,J23,0)</f>
        <v>0</v>
      </c>
      <c r="T27" s="45"/>
      <c r="U27" s="46">
        <f>IF(K28=$B$57,H28,0)</f>
        <v>0</v>
      </c>
      <c r="V27" s="46">
        <f>IF(K26=$B$57,H26,0)</f>
        <v>0</v>
      </c>
      <c r="AD27" s="42" t="s">
        <v>140</v>
      </c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V27" s="116"/>
      <c r="AW27" s="88"/>
      <c r="BA27" s="2">
        <v>45</v>
      </c>
      <c r="BB27" s="5">
        <v>45140.375</v>
      </c>
      <c r="BC27" s="4" t="s">
        <v>169</v>
      </c>
      <c r="BD27" s="43" t="str">
        <f>BY25</f>
        <v>Argentinien</v>
      </c>
      <c r="BE27" s="50" t="s">
        <v>35</v>
      </c>
      <c r="BF27" s="43" t="str">
        <f>BY22</f>
        <v>Schweden</v>
      </c>
      <c r="BG27" s="42"/>
      <c r="BH27" s="103"/>
      <c r="BI27" s="105" t="s">
        <v>36</v>
      </c>
      <c r="BJ27" s="103"/>
      <c r="BK27" s="6" t="s">
        <v>62</v>
      </c>
      <c r="BM27" s="120">
        <f>IF(BN22&gt;0,BM22,"")</f>
      </c>
      <c r="BN27" s="2" t="s">
        <v>190</v>
      </c>
      <c r="BP27" s="52"/>
      <c r="BS27" s="46">
        <f>IF(BK23=$B$57,BJ23,0)</f>
        <v>0</v>
      </c>
      <c r="BT27" s="45"/>
      <c r="BU27" s="46">
        <f>IF(BK28=$B$57,BH28,0)</f>
        <v>0</v>
      </c>
      <c r="BV27" s="46">
        <f>IF(BK26=$B$57,BH26,0)</f>
        <v>0</v>
      </c>
      <c r="CD27" s="42" t="s">
        <v>140</v>
      </c>
      <c r="CF27" s="116"/>
      <c r="CG27" s="116"/>
      <c r="CH27" s="116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V27" s="117"/>
      <c r="CW27" s="49"/>
    </row>
    <row r="28" spans="1:101" ht="12.75">
      <c r="A28" s="2">
        <v>38</v>
      </c>
      <c r="B28" s="5">
        <v>45138.375</v>
      </c>
      <c r="C28" s="4" t="s">
        <v>169</v>
      </c>
      <c r="D28" s="43" t="str">
        <f>Y23</f>
        <v>Costa Rica</v>
      </c>
      <c r="E28" s="50" t="s">
        <v>35</v>
      </c>
      <c r="F28" s="43" t="str">
        <f>Y24</f>
        <v>Sambia</v>
      </c>
      <c r="G28" s="42"/>
      <c r="H28" s="103"/>
      <c r="I28" s="105" t="s">
        <v>36</v>
      </c>
      <c r="J28" s="103"/>
      <c r="K28" s="6" t="s">
        <v>62</v>
      </c>
      <c r="M28" s="59">
        <f>IF(N23&gt;0,M23,"")</f>
      </c>
      <c r="N28" s="2" t="s">
        <v>47</v>
      </c>
      <c r="O28" s="53"/>
      <c r="P28" s="89" t="s">
        <v>170</v>
      </c>
      <c r="S28" s="46">
        <f>IF(K25=$B$57,J25,0)</f>
        <v>0</v>
      </c>
      <c r="T28" s="46">
        <f>IF(K28=$B$57,J28,0)</f>
        <v>0</v>
      </c>
      <c r="U28" s="45"/>
      <c r="V28" s="46">
        <f>IF(K24=$B$57,H24,0)</f>
        <v>0</v>
      </c>
      <c r="AD28" s="42" t="s">
        <v>141</v>
      </c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V28" s="116"/>
      <c r="AW28" s="88"/>
      <c r="BA28" s="2">
        <v>46</v>
      </c>
      <c r="BB28" s="5">
        <v>45140.375</v>
      </c>
      <c r="BC28" s="4" t="s">
        <v>168</v>
      </c>
      <c r="BD28" s="43" t="str">
        <f>BY23</f>
        <v>Südafrika</v>
      </c>
      <c r="BE28" s="50" t="s">
        <v>35</v>
      </c>
      <c r="BF28" s="43" t="str">
        <f>BY24</f>
        <v>Italien</v>
      </c>
      <c r="BG28" s="42"/>
      <c r="BH28" s="103"/>
      <c r="BI28" s="105" t="s">
        <v>36</v>
      </c>
      <c r="BJ28" s="103"/>
      <c r="BK28" s="6" t="s">
        <v>62</v>
      </c>
      <c r="BM28" s="120">
        <f>IF(BN23&gt;0,BM23,"")</f>
      </c>
      <c r="BN28" s="2" t="s">
        <v>191</v>
      </c>
      <c r="BO28" s="53"/>
      <c r="BP28" s="89" t="s">
        <v>170</v>
      </c>
      <c r="BS28" s="46">
        <f>IF(BK25=$B$57,BJ25,0)</f>
        <v>0</v>
      </c>
      <c r="BT28" s="46">
        <f>IF(BK28=$B$57,BJ28,0)</f>
        <v>0</v>
      </c>
      <c r="BU28" s="45"/>
      <c r="BV28" s="46">
        <f>IF(BK24=$B$57,BH24,0)</f>
        <v>0</v>
      </c>
      <c r="CD28" s="42" t="s">
        <v>141</v>
      </c>
      <c r="CF28" s="116"/>
      <c r="CG28" s="116"/>
      <c r="CH28" s="116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V28" s="117"/>
      <c r="CW28" s="49"/>
    </row>
    <row r="29" spans="4:101" ht="12.75">
      <c r="D29" s="43"/>
      <c r="E29" s="50"/>
      <c r="F29" s="43"/>
      <c r="G29" s="42"/>
      <c r="N29" s="1"/>
      <c r="S29" s="46">
        <f>IF(K27=$B$57,H27,0)</f>
        <v>0</v>
      </c>
      <c r="T29" s="46">
        <f>IF(K26=$B$57,J26,0)</f>
        <v>0</v>
      </c>
      <c r="U29" s="46">
        <f>IF(K24=$B$57,J24,0)</f>
        <v>0</v>
      </c>
      <c r="V29" s="45"/>
      <c r="AD29" s="2" t="s">
        <v>171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V29" s="116"/>
      <c r="AW29" s="88"/>
      <c r="BD29" s="43"/>
      <c r="BE29" s="50"/>
      <c r="BF29" s="43"/>
      <c r="BG29" s="42"/>
      <c r="BN29" s="1"/>
      <c r="BS29" s="46">
        <f>IF(BK27=$B$57,BH27,0)</f>
        <v>0</v>
      </c>
      <c r="BT29" s="46">
        <f>IF(BK26=$B$57,BJ26,0)</f>
        <v>0</v>
      </c>
      <c r="BU29" s="46">
        <f>IF(BK24=$B$57,BJ24,0)</f>
        <v>0</v>
      </c>
      <c r="BV29" s="45"/>
      <c r="CD29" s="2" t="s">
        <v>171</v>
      </c>
      <c r="CF29" s="116"/>
      <c r="CG29" s="116"/>
      <c r="CH29" s="116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V29" s="117"/>
      <c r="CW29" s="49"/>
    </row>
    <row r="30" spans="4:101" ht="6" customHeight="1">
      <c r="D30" s="43"/>
      <c r="E30" s="50"/>
      <c r="F30" s="43"/>
      <c r="G30" s="37"/>
      <c r="H30" s="42"/>
      <c r="I30" s="42"/>
      <c r="J30" s="42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V30" s="116"/>
      <c r="AW30" s="88"/>
      <c r="BC30" s="3"/>
      <c r="BD30" s="43"/>
      <c r="BE30" s="50"/>
      <c r="BF30" s="43"/>
      <c r="BG30" s="37"/>
      <c r="BH30" s="42"/>
      <c r="BI30" s="42"/>
      <c r="BJ30" s="42"/>
      <c r="CF30" s="116"/>
      <c r="CG30" s="116"/>
      <c r="CH30" s="116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V30" s="117"/>
      <c r="CW30" s="49"/>
    </row>
    <row r="31" spans="2:101" s="10" customFormat="1" ht="12.75">
      <c r="B31" s="109" t="s">
        <v>23</v>
      </c>
      <c r="C31" s="108" t="s">
        <v>48</v>
      </c>
      <c r="D31" s="43" t="s">
        <v>25</v>
      </c>
      <c r="E31" s="50"/>
      <c r="F31" s="43"/>
      <c r="G31" s="35"/>
      <c r="H31" s="104"/>
      <c r="I31" s="92"/>
      <c r="J31" s="104"/>
      <c r="K31" s="93"/>
      <c r="L31" s="7"/>
      <c r="M31" s="31" t="s">
        <v>26</v>
      </c>
      <c r="N31" s="7" t="s">
        <v>27</v>
      </c>
      <c r="O31" s="7" t="s">
        <v>28</v>
      </c>
      <c r="P31" s="7" t="s">
        <v>29</v>
      </c>
      <c r="Q31" s="7" t="s">
        <v>30</v>
      </c>
      <c r="R31" s="7"/>
      <c r="S31" s="42"/>
      <c r="T31" s="42"/>
      <c r="U31" s="42"/>
      <c r="V31" s="42"/>
      <c r="W31" s="35"/>
      <c r="X31" s="35" t="s">
        <v>31</v>
      </c>
      <c r="Y31" s="43" t="s">
        <v>32</v>
      </c>
      <c r="Z31" s="35" t="s">
        <v>27</v>
      </c>
      <c r="AA31" s="35" t="s">
        <v>28</v>
      </c>
      <c r="AB31" s="35" t="s">
        <v>29</v>
      </c>
      <c r="AC31" s="35" t="s">
        <v>30</v>
      </c>
      <c r="AD31" s="35"/>
      <c r="AE31" s="92" t="s">
        <v>65</v>
      </c>
      <c r="AF31" s="50" t="s">
        <v>66</v>
      </c>
      <c r="AG31" s="50"/>
      <c r="AH31" s="50"/>
      <c r="AI31" s="50"/>
      <c r="AJ31" s="50" t="s">
        <v>67</v>
      </c>
      <c r="AK31" s="43" t="s">
        <v>68</v>
      </c>
      <c r="AL31" s="50" t="s">
        <v>69</v>
      </c>
      <c r="AM31" s="50"/>
      <c r="AN31" s="50"/>
      <c r="AO31" s="50"/>
      <c r="AP31" s="50" t="s">
        <v>70</v>
      </c>
      <c r="AQ31" s="50" t="s">
        <v>71</v>
      </c>
      <c r="AR31" s="50"/>
      <c r="AS31" s="50"/>
      <c r="AT31" s="50"/>
      <c r="AU31" s="38" t="s">
        <v>72</v>
      </c>
      <c r="AV31" s="43" t="s">
        <v>73</v>
      </c>
      <c r="AW31" s="87"/>
      <c r="BB31" s="16" t="s">
        <v>23</v>
      </c>
      <c r="BC31" s="17" t="s">
        <v>192</v>
      </c>
      <c r="BD31" s="43" t="s">
        <v>25</v>
      </c>
      <c r="BE31" s="50"/>
      <c r="BF31" s="43"/>
      <c r="BG31" s="35"/>
      <c r="BH31" s="104"/>
      <c r="BI31" s="92"/>
      <c r="BJ31" s="104"/>
      <c r="BK31" s="93"/>
      <c r="BL31" s="7"/>
      <c r="BM31" s="31" t="s">
        <v>26</v>
      </c>
      <c r="BN31" s="7" t="s">
        <v>27</v>
      </c>
      <c r="BO31" s="7" t="s">
        <v>28</v>
      </c>
      <c r="BP31" s="7" t="s">
        <v>29</v>
      </c>
      <c r="BQ31" s="7" t="s">
        <v>30</v>
      </c>
      <c r="BR31" s="7"/>
      <c r="BS31" s="42"/>
      <c r="BT31" s="42"/>
      <c r="BU31" s="42"/>
      <c r="BV31" s="42"/>
      <c r="BW31" s="35"/>
      <c r="BX31" s="35" t="s">
        <v>31</v>
      </c>
      <c r="BY31" s="43" t="s">
        <v>32</v>
      </c>
      <c r="BZ31" s="35" t="s">
        <v>27</v>
      </c>
      <c r="CA31" s="35" t="s">
        <v>28</v>
      </c>
      <c r="CB31" s="35" t="s">
        <v>29</v>
      </c>
      <c r="CC31" s="35" t="s">
        <v>30</v>
      </c>
      <c r="CD31" s="35"/>
      <c r="CE31" s="92" t="s">
        <v>65</v>
      </c>
      <c r="CF31" s="50" t="s">
        <v>66</v>
      </c>
      <c r="CG31" s="50"/>
      <c r="CH31" s="50"/>
      <c r="CI31" s="11"/>
      <c r="CJ31" s="11" t="s">
        <v>67</v>
      </c>
      <c r="CK31" s="8" t="s">
        <v>68</v>
      </c>
      <c r="CL31" s="11" t="s">
        <v>69</v>
      </c>
      <c r="CM31" s="11"/>
      <c r="CN31" s="11"/>
      <c r="CO31" s="11"/>
      <c r="CP31" s="11" t="s">
        <v>70</v>
      </c>
      <c r="CQ31" s="11" t="s">
        <v>71</v>
      </c>
      <c r="CR31" s="11"/>
      <c r="CS31" s="11"/>
      <c r="CT31" s="11"/>
      <c r="CU31" s="13" t="s">
        <v>72</v>
      </c>
      <c r="CV31" s="8" t="s">
        <v>73</v>
      </c>
      <c r="CW31" s="44"/>
    </row>
    <row r="32" spans="2:101" ht="12.75">
      <c r="B32" s="3" t="s">
        <v>33</v>
      </c>
      <c r="C32" s="3" t="s">
        <v>34</v>
      </c>
      <c r="D32" s="43"/>
      <c r="E32" s="50"/>
      <c r="F32" s="43"/>
      <c r="G32" s="42"/>
      <c r="L32" s="1"/>
      <c r="M32" s="39" t="str">
        <f>VLOOKUP(1,$X$32:$AC$35,2,FALSE)</f>
        <v>England</v>
      </c>
      <c r="N32" s="2">
        <f>VLOOKUP(1,$X$32:$AC$35,3,FALSE)</f>
        <v>0</v>
      </c>
      <c r="O32" s="2">
        <f>VLOOKUP(1,$X$32:$AC$35,4,FALSE)</f>
        <v>0</v>
      </c>
      <c r="P32" s="2">
        <f>VLOOKUP(1,$X$32:$AC$35,5,FALSE)</f>
        <v>0</v>
      </c>
      <c r="Q32" s="2">
        <f>VLOOKUP(1,$X$32:$AC$35,6,FALSE)</f>
        <v>0</v>
      </c>
      <c r="S32" s="45"/>
      <c r="T32" s="46">
        <f>IF(H33="",0,IF(K33=$B$57,IF(H33&gt;J33,3,IF(H33=J33,1,0)),0))</f>
        <v>0</v>
      </c>
      <c r="U32" s="46">
        <f>IF(H35="",0,IF(K35=$B$57,IF(H35&gt;J35,3,IF(H35=J35,1,0)),0))</f>
        <v>0</v>
      </c>
      <c r="V32" s="46">
        <f>IF(J37="",0,IF(K37=$B$57,IF(H37&lt;J37,3,IF(H37=J37,1,0)),0))</f>
        <v>0</v>
      </c>
      <c r="W32" s="47"/>
      <c r="X32" s="112">
        <f>RANK(AD32,AD32:AD35)+COUNTIF(AD32:AD32,AD32)-1</f>
        <v>1</v>
      </c>
      <c r="Y32" s="48" t="s">
        <v>50</v>
      </c>
      <c r="Z32" s="47">
        <f>SUM(S32:V32)</f>
        <v>0</v>
      </c>
      <c r="AA32" s="47">
        <f>SUM(S36:V36)</f>
        <v>0</v>
      </c>
      <c r="AB32" s="47">
        <f>SUM(S36:S39)</f>
        <v>0</v>
      </c>
      <c r="AC32" s="47">
        <f>AA32-AB32</f>
        <v>0</v>
      </c>
      <c r="AD32" s="49">
        <f>IF(P$38="",(((((((AE32*10+Z32)*100+AC32)*100+AA32)*10+AK32)*10+AJ32)*100+AP32)*100+AU32)*10+AV32,(((((((AE32*10+Z32)*10+AK32)*10+AJ32)*100+AP32)*100+AU32)*100+AC32)*100+AA32)*10+AV32)</f>
        <v>4</v>
      </c>
      <c r="AE32" s="94"/>
      <c r="AF32" s="113"/>
      <c r="AG32" s="113">
        <f>IF($Z32=$Z33,$T32-$S33,0)</f>
        <v>0</v>
      </c>
      <c r="AH32" s="113">
        <f>IF($Z32=$Z34,$U32-$S34,0)</f>
        <v>0</v>
      </c>
      <c r="AI32" s="113">
        <f>IF($Z32=$Z35,$V32-$S35,0)</f>
        <v>0</v>
      </c>
      <c r="AJ32" s="113">
        <f>SUM(AF32:AI32)</f>
        <v>0</v>
      </c>
      <c r="AK32" s="94"/>
      <c r="AL32" s="113"/>
      <c r="AM32" s="113">
        <f>IF($Z32=$Z33,$T36-$S37,0)</f>
        <v>0</v>
      </c>
      <c r="AN32" s="113">
        <f>IF($Z32=$Z34,$U36-$S38,0)</f>
        <v>0</v>
      </c>
      <c r="AO32" s="113">
        <f>IF($Z32=$Z35,$V36-$S39,0)</f>
        <v>0</v>
      </c>
      <c r="AP32" s="113">
        <f>SUM(AL32:AO32)</f>
        <v>0</v>
      </c>
      <c r="AQ32" s="113"/>
      <c r="AR32" s="113">
        <f>IF($Z32=$Z33,$T36,0)</f>
        <v>0</v>
      </c>
      <c r="AS32" s="113">
        <f>IF($Z32=$Z34,$U36,0)</f>
        <v>0</v>
      </c>
      <c r="AT32" s="113">
        <f>IF($Z32=$Z35,$V36,0)</f>
        <v>0</v>
      </c>
      <c r="AU32" s="113">
        <f>SUM(AQ32:AT32)</f>
        <v>0</v>
      </c>
      <c r="AV32" s="114">
        <f>IF(AND(COUNTIF(K33:K38,$B$57)=COUNTA(H33:H38),COUNTIF(K33:K38,$B$57)=COUNTA(J33:J38)),IF(AU32=AU33,T36-S37,IF(AU32=AU34,U36-S38,IF(AU32=AU35,V36-S39,4))),4)</f>
        <v>4</v>
      </c>
      <c r="AW32" s="88"/>
      <c r="BB32" s="3" t="s">
        <v>33</v>
      </c>
      <c r="BC32" s="3" t="s">
        <v>34</v>
      </c>
      <c r="BD32" s="43"/>
      <c r="BE32" s="50"/>
      <c r="BF32" s="43"/>
      <c r="BG32" s="42"/>
      <c r="BL32" s="1"/>
      <c r="BM32" s="39" t="str">
        <f>VLOOKUP(1,$BX$32:$CC$35,2,FALSE)</f>
        <v>Deutschland</v>
      </c>
      <c r="BN32" s="2">
        <f>VLOOKUP(1,$BX$32:$CC$35,3,FALSE)</f>
        <v>0</v>
      </c>
      <c r="BO32" s="2">
        <f>VLOOKUP(1,$BX$32:$CC$35,4,FALSE)</f>
        <v>0</v>
      </c>
      <c r="BP32" s="2">
        <f>VLOOKUP(1,$BX$32:$CC$35,5,FALSE)</f>
        <v>0</v>
      </c>
      <c r="BQ32" s="2">
        <f>VLOOKUP(1,$BX$32:$CC$35,6,FALSE)</f>
        <v>0</v>
      </c>
      <c r="BS32" s="45"/>
      <c r="BT32" s="46">
        <f>IF(BH33="",0,IF(BK33=$B$57,IF(BH33&gt;BJ33,3,IF(BH33=BJ33,1,0)),0))</f>
        <v>0</v>
      </c>
      <c r="BU32" s="46">
        <f>IF(BH35="",0,IF(BK35=$B$57,IF(BH35&gt;BJ35,3,IF(BH35=BJ35,1,0)),0))</f>
        <v>0</v>
      </c>
      <c r="BV32" s="46">
        <f>IF(BJ37="",0,IF(BK37=$B$57,IF(BH37&lt;BJ37,3,IF(BH37=BJ37,1,0)),0))</f>
        <v>0</v>
      </c>
      <c r="BW32" s="47"/>
      <c r="BX32" s="112">
        <f>RANK(CD32,CD32:CD35)+COUNTIF(CD32:CD32,CD32)-1</f>
        <v>1</v>
      </c>
      <c r="BY32" s="48" t="s">
        <v>41</v>
      </c>
      <c r="BZ32" s="47">
        <f>SUM(BS32:BV32)</f>
        <v>0</v>
      </c>
      <c r="CA32" s="47">
        <f>SUM(BS36:BV36)</f>
        <v>0</v>
      </c>
      <c r="CB32" s="47">
        <f>SUM(BS36:BS39)</f>
        <v>0</v>
      </c>
      <c r="CC32" s="47">
        <f>CA32-CB32</f>
        <v>0</v>
      </c>
      <c r="CD32" s="49">
        <f>IF(BP$38="",(((((((CE32*10+BZ32)*100+CC32)*100+CA32)*10+CK32)*10+CJ32)*100+CP32)*100+CU32)*10+CV32,(((((((CE32*10+BZ32)*10+CK32)*10+CJ32)*100+CP32)*100+CU32)*100+CC32)*100+CA32)*10+CV32)</f>
        <v>4</v>
      </c>
      <c r="CE32" s="94"/>
      <c r="CF32" s="113"/>
      <c r="CG32" s="113">
        <f>IF($BZ32=$BZ33,$BT32-$BS33,0)</f>
        <v>0</v>
      </c>
      <c r="CH32" s="113">
        <f>IF($BZ32=$BZ34,$BU32-$BS34,0)</f>
        <v>0</v>
      </c>
      <c r="CI32" s="115">
        <f>IF($BZ32=$BZ35,$BV32-$BS35,0)</f>
        <v>0</v>
      </c>
      <c r="CJ32" s="115">
        <f>SUM(CF32:CI32)</f>
        <v>0</v>
      </c>
      <c r="CK32" s="95"/>
      <c r="CL32" s="115"/>
      <c r="CM32" s="115">
        <f>IF($BZ32=$BZ33,$BT36-$BS37,0)</f>
        <v>0</v>
      </c>
      <c r="CN32" s="115">
        <f>IF($BZ32=$BZ34,$BU36-$BS38,0)</f>
        <v>0</v>
      </c>
      <c r="CO32" s="115">
        <f>IF($BZ32=$BZ35,$BV36-$BS39,0)</f>
        <v>0</v>
      </c>
      <c r="CP32" s="115">
        <f>SUM(CL32:CO32)</f>
        <v>0</v>
      </c>
      <c r="CQ32" s="115"/>
      <c r="CR32" s="115">
        <f>IF($BZ32=$BZ33,$BT36,0)</f>
        <v>0</v>
      </c>
      <c r="CS32" s="115">
        <f>IF($BZ32=$BZ34,$BU36,0)</f>
        <v>0</v>
      </c>
      <c r="CT32" s="115">
        <f>IF($BZ32=$BZ35,$BV36,0)</f>
        <v>0</v>
      </c>
      <c r="CU32" s="115">
        <f>SUM(CQ32:CT32)</f>
        <v>0</v>
      </c>
      <c r="CV32" s="114">
        <f>IF(AND(COUNTIF(BK33:BK38,$B$57)=COUNTA(BH33:BH38),COUNTIF(BK33:BK38,$B$57)=COUNTA(BJ33:BJ38)),IF(CU32=CU33,BT36-BS37,IF(CU32=CU34,BU36-BS38,IF(CU32=CU35,BV36-BS39,4))),4)</f>
        <v>4</v>
      </c>
      <c r="CW32" s="49"/>
    </row>
    <row r="33" spans="1:101" ht="12.75">
      <c r="A33" s="2">
        <v>7</v>
      </c>
      <c r="B33" s="5">
        <v>45129.479166666664</v>
      </c>
      <c r="C33" s="4" t="s">
        <v>180</v>
      </c>
      <c r="D33" s="43" t="str">
        <f>Y32</f>
        <v>England</v>
      </c>
      <c r="E33" s="50" t="s">
        <v>35</v>
      </c>
      <c r="F33" s="43" t="str">
        <f>Y33</f>
        <v>Haiti</v>
      </c>
      <c r="G33" s="35"/>
      <c r="H33" s="103"/>
      <c r="I33" s="105" t="s">
        <v>36</v>
      </c>
      <c r="J33" s="103"/>
      <c r="K33" s="6" t="s">
        <v>62</v>
      </c>
      <c r="L33" s="1"/>
      <c r="M33" s="39" t="str">
        <f>VLOOKUP(2,$X$32:$AC$35,2,FALSE)</f>
        <v>Haiti</v>
      </c>
      <c r="N33" s="2">
        <f>VLOOKUP(2,$X$32:$AC$35,3,FALSE)</f>
        <v>0</v>
      </c>
      <c r="O33" s="2">
        <f>VLOOKUP(2,$X$32:$AC$35,4,FALSE)</f>
        <v>0</v>
      </c>
      <c r="P33" s="2">
        <f>VLOOKUP(2,$X$32:$AC$35,5,FALSE)</f>
        <v>0</v>
      </c>
      <c r="Q33" s="2">
        <f>VLOOKUP(2,$X$32:$AC$35,6,FALSE)</f>
        <v>0</v>
      </c>
      <c r="S33" s="46">
        <f>IF(J33="",0,IF(K33=$B$57,IF(H33&lt;J33,3,IF(H33=J33,1,0)),0))</f>
        <v>0</v>
      </c>
      <c r="T33" s="45"/>
      <c r="U33" s="46">
        <f>IF(H38="",0,IF(K38=$B$57,IF(H38&gt;J38,3,IF(H38=J38,1,0)),0))</f>
        <v>0</v>
      </c>
      <c r="V33" s="46">
        <f>IF(H36="",0,IF(K36=$B$57,IF(H36&gt;J36,3,IF(H36=J36,1,0)),0))</f>
        <v>0</v>
      </c>
      <c r="W33" s="47"/>
      <c r="X33" s="112">
        <f>RANK(AD33,AD32:AD35)+COUNTIF(AD32:AD33,AD33)-1</f>
        <v>2</v>
      </c>
      <c r="Y33" s="48" t="s">
        <v>193</v>
      </c>
      <c r="Z33" s="47">
        <f>SUM(S33:V33)</f>
        <v>0</v>
      </c>
      <c r="AA33" s="47">
        <f>SUM(S37:V37)</f>
        <v>0</v>
      </c>
      <c r="AB33" s="47">
        <f>SUM(T36:T39)</f>
        <v>0</v>
      </c>
      <c r="AC33" s="47">
        <f>AA33-AB33</f>
        <v>0</v>
      </c>
      <c r="AD33" s="49">
        <f>IF(P$38="",(((((((AE33*10+Z33)*100+AC33)*100+AA33)*10+AK33)*10+AJ33)*100+AP33)*100+AU33)*10+AV33,(((((((AE33*10+Z33)*10+AK33)*10+AJ33)*100+AP33)*100+AU33)*100+AC33)*100+AA33)*10+AV33)</f>
        <v>3</v>
      </c>
      <c r="AE33" s="94"/>
      <c r="AF33" s="113">
        <f>IF($Z33=$Z32,$S33-$T32,0)</f>
        <v>0</v>
      </c>
      <c r="AG33" s="113"/>
      <c r="AH33" s="113">
        <f>IF($Z33=$Z34,$U33-$T34,0)</f>
        <v>0</v>
      </c>
      <c r="AI33" s="113">
        <f>IF($Z33=$Z35,$V33-$T35,0)</f>
        <v>0</v>
      </c>
      <c r="AJ33" s="113">
        <f>SUM(AF33:AI33)</f>
        <v>0</v>
      </c>
      <c r="AK33" s="94"/>
      <c r="AL33" s="113">
        <f>IF($Z33=$Z32,$S37-$T36,0)</f>
        <v>0</v>
      </c>
      <c r="AM33" s="113"/>
      <c r="AN33" s="113">
        <f>IF($Z33=$Z34,$U37-$T38,0)</f>
        <v>0</v>
      </c>
      <c r="AO33" s="113">
        <f>IF($Z33=$Z35,$V37-$T39,0)</f>
        <v>0</v>
      </c>
      <c r="AP33" s="113">
        <f>SUM(AL33:AO33)</f>
        <v>0</v>
      </c>
      <c r="AQ33" s="113">
        <f>IF($Z33=$Z32,$S37,0)</f>
        <v>0</v>
      </c>
      <c r="AR33" s="113"/>
      <c r="AS33" s="113">
        <f>IF($Z33=$Z34,$U37,0)</f>
        <v>0</v>
      </c>
      <c r="AT33" s="113">
        <f>IF($Z33=$Z35,$V37,0)</f>
        <v>0</v>
      </c>
      <c r="AU33" s="113">
        <f>SUM(AQ33:AT33)</f>
        <v>0</v>
      </c>
      <c r="AV33" s="114">
        <f>IF(AND(COUNTIF(K33:K38,$B$57)=COUNTA(H33:H38),COUNTIF(K33:K38,$B$57)=COUNTA(J33:J38)),IF(AU33=AU32,S37-T36,IF(AU33=AU34,U37-T38,IF(AU33=AU35,V37-T39,3))),3)</f>
        <v>3</v>
      </c>
      <c r="AW33" s="88"/>
      <c r="BA33" s="2">
        <v>15</v>
      </c>
      <c r="BB33" s="5">
        <v>45131.4375</v>
      </c>
      <c r="BC33" s="4" t="s">
        <v>176</v>
      </c>
      <c r="BD33" s="43" t="str">
        <f>BY32</f>
        <v>Deutschland</v>
      </c>
      <c r="BE33" s="50" t="s">
        <v>35</v>
      </c>
      <c r="BF33" s="43" t="str">
        <f>BY33</f>
        <v>Marokko</v>
      </c>
      <c r="BG33" s="35"/>
      <c r="BH33" s="103"/>
      <c r="BI33" s="105" t="s">
        <v>36</v>
      </c>
      <c r="BJ33" s="103"/>
      <c r="BK33" s="6" t="s">
        <v>62</v>
      </c>
      <c r="BL33" s="1"/>
      <c r="BM33" s="39" t="str">
        <f>VLOOKUP(2,$BX$32:$CC$35,2,FALSE)</f>
        <v>Marokko</v>
      </c>
      <c r="BN33" s="2">
        <f>VLOOKUP(2,$BX$32:$CC$35,3,FALSE)</f>
        <v>0</v>
      </c>
      <c r="BO33" s="2">
        <f>VLOOKUP(2,$BX$32:$CC$35,4,FALSE)</f>
        <v>0</v>
      </c>
      <c r="BP33" s="2">
        <f>VLOOKUP(2,$BX$32:$CC$35,5,FALSE)</f>
        <v>0</v>
      </c>
      <c r="BQ33" s="2">
        <f>VLOOKUP(2,$BX$32:$CC$35,6,FALSE)</f>
        <v>0</v>
      </c>
      <c r="BS33" s="46">
        <f>IF(BJ33="",0,IF(BK33=$B$57,IF(BH33&lt;BJ33,3,IF(BH33=BJ33,1,0)),0))</f>
        <v>0</v>
      </c>
      <c r="BT33" s="45"/>
      <c r="BU33" s="46">
        <f>IF(BH38="",0,IF(BK38=$B$57,IF(BH38&gt;BJ38,3,IF(BH38=BJ38,1,0)),0))</f>
        <v>0</v>
      </c>
      <c r="BV33" s="46">
        <f>IF(BH36="",0,IF(BK36=$B$57,IF(BH36&gt;BJ36,3,IF(BH36=BJ36,1,0)),0))</f>
        <v>0</v>
      </c>
      <c r="BW33" s="47"/>
      <c r="BX33" s="112">
        <f>RANK(CD33,CD32:CD35)+COUNTIF(CD32:CD33,CD33)-1</f>
        <v>2</v>
      </c>
      <c r="BY33" s="48" t="s">
        <v>194</v>
      </c>
      <c r="BZ33" s="47">
        <f>SUM(BS33:BV33)</f>
        <v>0</v>
      </c>
      <c r="CA33" s="47">
        <f>SUM(BS37:BV37)</f>
        <v>0</v>
      </c>
      <c r="CB33" s="47">
        <f>SUM(BT36:BT39)</f>
        <v>0</v>
      </c>
      <c r="CC33" s="47">
        <f>CA33-CB33</f>
        <v>0</v>
      </c>
      <c r="CD33" s="49">
        <f>IF(BP$38="",(((((((CE33*10+BZ33)*100+CC33)*100+CA33)*10+CK33)*10+CJ33)*100+CP33)*100+CU33)*10+CV33,(((((((CE33*10+BZ33)*10+CK33)*10+CJ33)*100+CP33)*100+CU33)*100+CC33)*100+CA33)*10+CV33)</f>
        <v>3</v>
      </c>
      <c r="CE33" s="94"/>
      <c r="CF33" s="113">
        <f>IF($BZ33=$BZ32,$BS33-$BT32,0)</f>
        <v>0</v>
      </c>
      <c r="CG33" s="113"/>
      <c r="CH33" s="113">
        <f>IF($BZ33=$BZ34,$BU33-$BT34,0)</f>
        <v>0</v>
      </c>
      <c r="CI33" s="115">
        <f>IF($BZ33=$BZ35,$BV33-$BT35,0)</f>
        <v>0</v>
      </c>
      <c r="CJ33" s="115">
        <f>SUM(CF33:CI33)</f>
        <v>0</v>
      </c>
      <c r="CK33" s="95"/>
      <c r="CL33" s="115">
        <f>IF($BZ33=$BZ32,$BS37-$BT36,0)</f>
        <v>0</v>
      </c>
      <c r="CM33" s="115"/>
      <c r="CN33" s="115">
        <f>IF($BZ33=$BZ34,$BU37-$BT38,0)</f>
        <v>0</v>
      </c>
      <c r="CO33" s="115">
        <f>IF($BZ33=$BZ35,$BV37-$BT39,0)</f>
        <v>0</v>
      </c>
      <c r="CP33" s="115">
        <f>SUM(CL33:CO33)</f>
        <v>0</v>
      </c>
      <c r="CQ33" s="115">
        <f>IF($BZ33=$BZ32,$BS37,0)</f>
        <v>0</v>
      </c>
      <c r="CR33" s="115"/>
      <c r="CS33" s="115">
        <f>IF($BZ33=$BZ34,$BU37,0)</f>
        <v>0</v>
      </c>
      <c r="CT33" s="115">
        <f>IF($BZ33=$BZ35,$BV37,0)</f>
        <v>0</v>
      </c>
      <c r="CU33" s="115">
        <f>SUM(CQ33:CT33)</f>
        <v>0</v>
      </c>
      <c r="CV33" s="114">
        <f>IF(AND(COUNTIF(BK33:BK38,$B$57)=COUNTA(BH33:BH38),COUNTIF(BK33:BK38,$B$57)=COUNTA(BJ33:BJ38)),IF(CU33=CU32,BS37-BT36,IF(CU33=CU34,BU37-BT38,IF(CU33=CU35,BV37-BT39,3))),3)</f>
        <v>3</v>
      </c>
      <c r="CW33" s="49"/>
    </row>
    <row r="34" spans="1:101" ht="12.75">
      <c r="A34" s="2">
        <v>8</v>
      </c>
      <c r="B34" s="5">
        <v>45129.583333333336</v>
      </c>
      <c r="C34" s="4" t="s">
        <v>183</v>
      </c>
      <c r="D34" s="43" t="str">
        <f>Y34</f>
        <v>Dänemark</v>
      </c>
      <c r="E34" s="50" t="s">
        <v>35</v>
      </c>
      <c r="F34" s="43" t="str">
        <f>Y35</f>
        <v>China</v>
      </c>
      <c r="G34" s="35"/>
      <c r="H34" s="103"/>
      <c r="I34" s="105" t="s">
        <v>36</v>
      </c>
      <c r="J34" s="103"/>
      <c r="K34" s="6" t="s">
        <v>62</v>
      </c>
      <c r="L34" s="1"/>
      <c r="M34" s="39" t="str">
        <f>VLOOKUP(3,$X$32:$AC$35,2,FALSE)</f>
        <v>Dänemark</v>
      </c>
      <c r="N34" s="2">
        <f>VLOOKUP(3,$X$32:$AC$35,3,FALSE)</f>
        <v>0</v>
      </c>
      <c r="O34" s="2">
        <f>VLOOKUP(3,$X$32:$AC$35,4,FALSE)</f>
        <v>0</v>
      </c>
      <c r="P34" s="2">
        <f>VLOOKUP(3,$X$32:$AC$35,5,FALSE)</f>
        <v>0</v>
      </c>
      <c r="Q34" s="2">
        <f>VLOOKUP(3,$X$32:$AC$35,6,FALSE)</f>
        <v>0</v>
      </c>
      <c r="S34" s="46">
        <f>IF(J35="",0,IF(K35=$B$57,IF(H35&lt;J35,3,IF(H35=J35,1,0)),0))</f>
        <v>0</v>
      </c>
      <c r="T34" s="46">
        <f>IF(J38="",0,IF(K38=$B$57,IF(H38&lt;J38,3,IF(H38=J38,1,0)),0))</f>
        <v>0</v>
      </c>
      <c r="U34" s="45"/>
      <c r="V34" s="46">
        <f>IF(H34="",0,IF(K34=$B$57,IF(H34&gt;J34,3,IF(H34=J34,1,0)),0))</f>
        <v>0</v>
      </c>
      <c r="W34" s="47"/>
      <c r="X34" s="112">
        <f>RANK(AD34,AD32:AD35)+COUNTIF(AD32:AD34,AD34)-1</f>
        <v>3</v>
      </c>
      <c r="Y34" s="48" t="s">
        <v>155</v>
      </c>
      <c r="Z34" s="47">
        <f>SUM(S34:V34)</f>
        <v>0</v>
      </c>
      <c r="AA34" s="47">
        <f>SUM(S38:V38)</f>
        <v>0</v>
      </c>
      <c r="AB34" s="47">
        <f>SUM(U36:U39)</f>
        <v>0</v>
      </c>
      <c r="AC34" s="47">
        <f>AA34-AB34</f>
        <v>0</v>
      </c>
      <c r="AD34" s="49">
        <f>IF(P$38="",(((((((AE34*10+Z34)*100+AC34)*100+AA34)*10+AK34)*10+AJ34)*100+AP34)*100+AU34)*10+AV34,(((((((AE34*10+Z34)*10+AK34)*10+AJ34)*100+AP34)*100+AU34)*100+AC34)*100+AA34)*10+AV34)</f>
        <v>2</v>
      </c>
      <c r="AE34" s="94"/>
      <c r="AF34" s="113">
        <f>IF($Z34=$Z32,$S34-$U32,0)</f>
        <v>0</v>
      </c>
      <c r="AG34" s="113">
        <f>IF($Z34=$Z33,$T34-$U33,0)</f>
        <v>0</v>
      </c>
      <c r="AH34" s="113"/>
      <c r="AI34" s="113">
        <f>IF($Z34=$Z35,$V34-$U35,0)</f>
        <v>0</v>
      </c>
      <c r="AJ34" s="113">
        <f>SUM(AF34:AI34)</f>
        <v>0</v>
      </c>
      <c r="AK34" s="94"/>
      <c r="AL34" s="113">
        <f>IF($Z34=$Z32,$S38-$U36,0)</f>
        <v>0</v>
      </c>
      <c r="AM34" s="113">
        <f>IF($Z34=$Z33,$T38-$U37,0)</f>
        <v>0</v>
      </c>
      <c r="AN34" s="113"/>
      <c r="AO34" s="113">
        <f>IF($Z34=$Z35,$V38-$U39,0)</f>
        <v>0</v>
      </c>
      <c r="AP34" s="113">
        <f>SUM(AL34:AO34)</f>
        <v>0</v>
      </c>
      <c r="AQ34" s="113">
        <f>IF($Z34=$Z32,$S38,0)</f>
        <v>0</v>
      </c>
      <c r="AR34" s="113">
        <f>IF($Z34=$Z33,$T38,0)</f>
        <v>0</v>
      </c>
      <c r="AS34" s="113"/>
      <c r="AT34" s="113">
        <f>IF($Z34=$Z35,$V38,0)</f>
        <v>0</v>
      </c>
      <c r="AU34" s="113">
        <f>SUM(AQ34:AT34)</f>
        <v>0</v>
      </c>
      <c r="AV34" s="114">
        <f>IF(AND(COUNTIF(K33:K38,$B$57)=COUNTA(H33:H38),COUNTIF(K33:K38,$B$57)=COUNTA(J33:J38)),IF(AU34=AU32,S38-U36,IF(AU34=AU33,T38-U37,IF(AU34=AU35,V38-U39,2))),2)</f>
        <v>2</v>
      </c>
      <c r="AW34" s="88"/>
      <c r="BA34" s="2">
        <v>16</v>
      </c>
      <c r="BB34" s="5">
        <v>45132.166666666664</v>
      </c>
      <c r="BC34" s="4" t="s">
        <v>173</v>
      </c>
      <c r="BD34" s="43" t="str">
        <f>BY34</f>
        <v>Kolumbien</v>
      </c>
      <c r="BE34" s="50" t="s">
        <v>35</v>
      </c>
      <c r="BF34" s="43" t="str">
        <f>BY35</f>
        <v>Südkorea</v>
      </c>
      <c r="BG34" s="35"/>
      <c r="BH34" s="103"/>
      <c r="BI34" s="105" t="s">
        <v>36</v>
      </c>
      <c r="BJ34" s="103"/>
      <c r="BK34" s="6" t="s">
        <v>62</v>
      </c>
      <c r="BL34" s="1"/>
      <c r="BM34" s="39" t="str">
        <f>VLOOKUP(3,$BX$32:$CC$35,2,FALSE)</f>
        <v>Kolumbien</v>
      </c>
      <c r="BN34" s="2">
        <f>VLOOKUP(3,$BX$32:$CC$35,3,FALSE)</f>
        <v>0</v>
      </c>
      <c r="BO34" s="2">
        <f>VLOOKUP(3,$BX$32:$CC$35,4,FALSE)</f>
        <v>0</v>
      </c>
      <c r="BP34" s="2">
        <f>VLOOKUP(3,$BX$32:$CC$35,5,FALSE)</f>
        <v>0</v>
      </c>
      <c r="BQ34" s="2">
        <f>VLOOKUP(3,$BX$32:$CC$35,6,FALSE)</f>
        <v>0</v>
      </c>
      <c r="BS34" s="46">
        <f>IF(BJ35="",0,IF(BK35=$B$57,IF(BH35&lt;BJ35,3,IF(BH35=BJ35,1,0)),0))</f>
        <v>0</v>
      </c>
      <c r="BT34" s="46">
        <f>IF(BJ38="",0,IF(BK38=$B$57,IF(BH38&lt;BJ38,3,IF(BH38=BJ38,1,0)),0))</f>
        <v>0</v>
      </c>
      <c r="BU34" s="45"/>
      <c r="BV34" s="46">
        <f>IF(BH34="",0,IF(BK34=$B$57,IF(BH34&gt;BJ34,3,IF(BH34=BJ34,1,0)),0))</f>
        <v>0</v>
      </c>
      <c r="BW34" s="47"/>
      <c r="BX34" s="112">
        <f>RANK(CD34,CD32:CD35)+COUNTIF(CD32:CD34,CD34)-1</f>
        <v>3</v>
      </c>
      <c r="BY34" s="48" t="s">
        <v>195</v>
      </c>
      <c r="BZ34" s="47">
        <f>SUM(BS34:BV34)</f>
        <v>0</v>
      </c>
      <c r="CA34" s="47">
        <f>SUM(BS38:BV38)</f>
        <v>0</v>
      </c>
      <c r="CB34" s="47">
        <f>SUM(BU36:BU39)</f>
        <v>0</v>
      </c>
      <c r="CC34" s="47">
        <f>CA34-CB34</f>
        <v>0</v>
      </c>
      <c r="CD34" s="49">
        <f>IF(BP$38="",(((((((CE34*10+BZ34)*100+CC34)*100+CA34)*10+CK34)*10+CJ34)*100+CP34)*100+CU34)*10+CV34,(((((((CE34*10+BZ34)*10+CK34)*10+CJ34)*100+CP34)*100+CU34)*100+CC34)*100+CA34)*10+CV34)</f>
        <v>2</v>
      </c>
      <c r="CE34" s="94"/>
      <c r="CF34" s="113">
        <f>IF($BZ34=$BZ32,$BS34-$BU32,0)</f>
        <v>0</v>
      </c>
      <c r="CG34" s="113">
        <f>IF($BZ34=$BZ33,$BT34-$BU33,0)</f>
        <v>0</v>
      </c>
      <c r="CH34" s="113"/>
      <c r="CI34" s="115">
        <f>IF($BZ34=$BZ35,$BV34-$BU35,0)</f>
        <v>0</v>
      </c>
      <c r="CJ34" s="115">
        <f>SUM(CF34:CI34)</f>
        <v>0</v>
      </c>
      <c r="CK34" s="95"/>
      <c r="CL34" s="115">
        <f>IF($BZ34=$BZ32,$BS38-$BU36,0)</f>
        <v>0</v>
      </c>
      <c r="CM34" s="115">
        <f>IF($BZ34=$BZ33,$BT38-$BU37,0)</f>
        <v>0</v>
      </c>
      <c r="CN34" s="115"/>
      <c r="CO34" s="115">
        <f>IF($BZ34=$BZ35,$BV38-$BU39,0)</f>
        <v>0</v>
      </c>
      <c r="CP34" s="115">
        <f>SUM(CL34:CO34)</f>
        <v>0</v>
      </c>
      <c r="CQ34" s="115">
        <f>IF($BZ34=$BZ32,$BS38,0)</f>
        <v>0</v>
      </c>
      <c r="CR34" s="115">
        <f>IF($BZ34=$BZ33,$BT38,0)</f>
        <v>0</v>
      </c>
      <c r="CS34" s="115"/>
      <c r="CT34" s="115">
        <f>IF($BZ34=$BZ35,$BV38,0)</f>
        <v>0</v>
      </c>
      <c r="CU34" s="115">
        <f>SUM(CQ34:CT34)</f>
        <v>0</v>
      </c>
      <c r="CV34" s="114">
        <f>IF(AND(COUNTIF(BK33:BK38,$B$57)=COUNTA(BH33:BH38),COUNTIF(BK33:BK38,$B$57)=COUNTA(BJ33:BJ38)),IF(CU34=CU32,BS38-BU36,IF(CU34=CU33,BT38-BU37,IF(CU34=CU35,BV38-BU39,2))),2)</f>
        <v>2</v>
      </c>
      <c r="CW34" s="49"/>
    </row>
    <row r="35" spans="1:101" ht="12.75">
      <c r="A35" s="2">
        <v>23</v>
      </c>
      <c r="B35" s="5">
        <v>45135.4375</v>
      </c>
      <c r="C35" s="4" t="s">
        <v>173</v>
      </c>
      <c r="D35" s="43" t="str">
        <f>Y32</f>
        <v>England</v>
      </c>
      <c r="E35" s="50" t="s">
        <v>35</v>
      </c>
      <c r="F35" s="43" t="str">
        <f>Y34</f>
        <v>Dänemark</v>
      </c>
      <c r="G35" s="35"/>
      <c r="H35" s="103"/>
      <c r="I35" s="105" t="s">
        <v>36</v>
      </c>
      <c r="J35" s="103"/>
      <c r="K35" s="6" t="s">
        <v>62</v>
      </c>
      <c r="L35" s="1"/>
      <c r="M35" s="39" t="str">
        <f>VLOOKUP(4,$X$32:$AC$35,2,FALSE)</f>
        <v>China</v>
      </c>
      <c r="N35" s="2">
        <f>VLOOKUP(4,$X$32:$AC$35,3,FALSE)</f>
        <v>0</v>
      </c>
      <c r="O35" s="2">
        <f>VLOOKUP(4,$X$32:$AC$35,4,FALSE)</f>
        <v>0</v>
      </c>
      <c r="P35" s="2">
        <f>VLOOKUP(4,$X$32:$AC$35,5,FALSE)</f>
        <v>0</v>
      </c>
      <c r="Q35" s="2">
        <f>VLOOKUP(4,$X$32:$AC$35,6,FALSE)</f>
        <v>0</v>
      </c>
      <c r="S35" s="46">
        <f>IF(H37="",0,IF(K37=$B$57,IF(H37&gt;J37,3,IF(H37=J37,1,0)),0))</f>
        <v>0</v>
      </c>
      <c r="T35" s="46">
        <f>IF(J36="",0,IF(K36=$B$57,IF(H36&lt;J36,3,IF(H36=J36,1,0)),0))</f>
        <v>0</v>
      </c>
      <c r="U35" s="46">
        <f>IF(J34="",0,IF(K34=$B$57,IF(H34&lt;J34,3,IF(H34=J34,1,0)),0))</f>
        <v>0</v>
      </c>
      <c r="V35" s="45"/>
      <c r="W35" s="47"/>
      <c r="X35" s="112">
        <f>RANK(AD35,AD32:AD35)+COUNTIF(AD32:AD35,AD35)-1</f>
        <v>4</v>
      </c>
      <c r="Y35" s="48" t="s">
        <v>196</v>
      </c>
      <c r="Z35" s="47">
        <f>SUM(S35:V35)</f>
        <v>0</v>
      </c>
      <c r="AA35" s="47">
        <f>SUM(S39:V39)</f>
        <v>0</v>
      </c>
      <c r="AB35" s="47">
        <f>SUM(V36:V39)</f>
        <v>0</v>
      </c>
      <c r="AC35" s="47">
        <f>AA35-AB35</f>
        <v>0</v>
      </c>
      <c r="AD35" s="49">
        <f>IF(P$38="",(((((((AE35*10+Z35)*100+AC35)*100+AA35)*10+AK35)*10+AJ35)*100+AP35)*100+AU35)*10+AV35,(((((((AE35*10+Z35)*10+AK35)*10+AJ35)*100+AP35)*100+AU35)*100+AC35)*100+AA35)*10+AV35)</f>
        <v>1</v>
      </c>
      <c r="AE35" s="94"/>
      <c r="AF35" s="113">
        <f>IF($Z35=$Z32,$S35-$V32,0)</f>
        <v>0</v>
      </c>
      <c r="AG35" s="113">
        <f>IF($Z35=$Z33,$T35-$V33,0)</f>
        <v>0</v>
      </c>
      <c r="AH35" s="113">
        <f>IF($Z35=$Z34,$U35-$V34,0)</f>
        <v>0</v>
      </c>
      <c r="AI35" s="113"/>
      <c r="AJ35" s="113">
        <f>SUM(AF35:AI35)</f>
        <v>0</v>
      </c>
      <c r="AK35" s="94"/>
      <c r="AL35" s="113">
        <f>IF($Z35=$Z32,$S39-$V36,0)</f>
        <v>0</v>
      </c>
      <c r="AM35" s="113">
        <f>IF($Z35=$Z33,$T39-$V37,0)</f>
        <v>0</v>
      </c>
      <c r="AN35" s="113">
        <f>IF($Z35=$Z34,$U39-$V38,0)</f>
        <v>0</v>
      </c>
      <c r="AO35" s="113"/>
      <c r="AP35" s="113">
        <f>SUM(AL35:AO35)</f>
        <v>0</v>
      </c>
      <c r="AQ35" s="113">
        <f>IF($Z35=$Z32,$S39,0)</f>
        <v>0</v>
      </c>
      <c r="AR35" s="113">
        <f>IF($Z35=$Z33,$T39,0)</f>
        <v>0</v>
      </c>
      <c r="AS35" s="113">
        <f>IF($Z35=$Z34,$U39,0)</f>
        <v>0</v>
      </c>
      <c r="AT35" s="113"/>
      <c r="AU35" s="113">
        <f>SUM(AQ35:AT35)</f>
        <v>0</v>
      </c>
      <c r="AV35" s="114">
        <f>IF(AND(COUNTIF(K33:K38,$B$57)=COUNTA(H33:H38),COUNTIF(K33:K38,$B$57)=COUNTA(J33:J38)),IF(AU35=AU32,S39-V36,IF(AU35=AU33,T39-V37,IF(AU35=AU34,U39-V38,1))),1)</f>
        <v>1</v>
      </c>
      <c r="AW35" s="88"/>
      <c r="BA35" s="2">
        <v>31</v>
      </c>
      <c r="BB35" s="5">
        <v>45137.479166666664</v>
      </c>
      <c r="BC35" s="4" t="s">
        <v>173</v>
      </c>
      <c r="BD35" s="43" t="str">
        <f>BY32</f>
        <v>Deutschland</v>
      </c>
      <c r="BE35" s="50" t="s">
        <v>35</v>
      </c>
      <c r="BF35" s="43" t="str">
        <f>BY34</f>
        <v>Kolumbien</v>
      </c>
      <c r="BG35" s="35"/>
      <c r="BH35" s="103"/>
      <c r="BI35" s="105" t="s">
        <v>36</v>
      </c>
      <c r="BJ35" s="103"/>
      <c r="BK35" s="6" t="s">
        <v>62</v>
      </c>
      <c r="BL35" s="1"/>
      <c r="BM35" s="39" t="str">
        <f>VLOOKUP(4,$BX$32:$CC$35,2,FALSE)</f>
        <v>Südkorea</v>
      </c>
      <c r="BN35" s="2">
        <f>VLOOKUP(4,$BX$32:$CC$35,3,FALSE)</f>
        <v>0</v>
      </c>
      <c r="BO35" s="2">
        <f>VLOOKUP(4,$BX$32:$CC$35,4,FALSE)</f>
        <v>0</v>
      </c>
      <c r="BP35" s="2">
        <f>VLOOKUP(4,$BX$32:$CC$35,5,FALSE)</f>
        <v>0</v>
      </c>
      <c r="BQ35" s="2">
        <f>VLOOKUP(4,$BX$32:$CC$35,6,FALSE)</f>
        <v>0</v>
      </c>
      <c r="BS35" s="46">
        <f>IF(BH37="",0,IF(BK37=$B$57,IF(BH37&gt;BJ37,3,IF(BH37=BJ37,1,0)),0))</f>
        <v>0</v>
      </c>
      <c r="BT35" s="46">
        <f>IF(BJ36="",0,IF(BK36=$B$57,IF(BH36&lt;BJ36,3,IF(BH36=BJ36,1,0)),0))</f>
        <v>0</v>
      </c>
      <c r="BU35" s="46">
        <f>IF(BJ34="",0,IF(BK34=$B$57,IF(BH34&lt;BJ34,3,IF(BH34=BJ34,1,0)),0))</f>
        <v>0</v>
      </c>
      <c r="BV35" s="45"/>
      <c r="BW35" s="47"/>
      <c r="BX35" s="112">
        <f>RANK(CD35,CD32:CD35)+COUNTIF(CD32:CD35,CD35)-1</f>
        <v>4</v>
      </c>
      <c r="BY35" s="48" t="s">
        <v>197</v>
      </c>
      <c r="BZ35" s="47">
        <f>SUM(BS35:BV35)</f>
        <v>0</v>
      </c>
      <c r="CA35" s="47">
        <f>SUM(BS39:BV39)</f>
        <v>0</v>
      </c>
      <c r="CB35" s="47">
        <f>SUM(BV36:BV39)</f>
        <v>0</v>
      </c>
      <c r="CC35" s="47">
        <f>CA35-CB35</f>
        <v>0</v>
      </c>
      <c r="CD35" s="49">
        <f>IF(BP$38="",(((((((CE35*10+BZ35)*100+CC35)*100+CA35)*10+CK35)*10+CJ35)*100+CP35)*100+CU35)*10+CV35,(((((((CE35*10+BZ35)*10+CK35)*10+CJ35)*100+CP35)*100+CU35)*100+CC35)*100+CA35)*10+CV35)</f>
        <v>1</v>
      </c>
      <c r="CE35" s="94"/>
      <c r="CF35" s="113">
        <f>IF($BZ35=$BZ32,$BS35-$BV32,0)</f>
        <v>0</v>
      </c>
      <c r="CG35" s="113">
        <f>IF($BZ35=$BZ33,$BT35-$BV33,0)</f>
        <v>0</v>
      </c>
      <c r="CH35" s="113">
        <f>IF($BZ35=$BZ34,$BU35-$BV34,0)</f>
        <v>0</v>
      </c>
      <c r="CI35" s="115"/>
      <c r="CJ35" s="115">
        <f>SUM(CF35:CI35)</f>
        <v>0</v>
      </c>
      <c r="CK35" s="95"/>
      <c r="CL35" s="115">
        <f>IF($BZ35=$BZ32,$BS39-$BV36,0)</f>
        <v>0</v>
      </c>
      <c r="CM35" s="115">
        <f>IF($BZ35=$BZ33,$BT39-$BV37,0)</f>
        <v>0</v>
      </c>
      <c r="CN35" s="115">
        <f>IF($BZ35=$BZ34,$BU39-$BV38,0)</f>
        <v>0</v>
      </c>
      <c r="CO35" s="115"/>
      <c r="CP35" s="115">
        <f>SUM(CL35:CO35)</f>
        <v>0</v>
      </c>
      <c r="CQ35" s="115">
        <f>IF($BZ35=$BZ32,$BS39,0)</f>
        <v>0</v>
      </c>
      <c r="CR35" s="115">
        <f>IF($BZ35=$BZ33,$BT39,0)</f>
        <v>0</v>
      </c>
      <c r="CS35" s="115">
        <f>IF($BZ35=$BZ34,$BU39,0)</f>
        <v>0</v>
      </c>
      <c r="CT35" s="115"/>
      <c r="CU35" s="115">
        <f>SUM(CQ35:CT35)</f>
        <v>0</v>
      </c>
      <c r="CV35" s="114">
        <f>IF(AND(COUNTIF(BK33:BK38,$B$57)=COUNTA(BH33:BH38),COUNTIF(BK33:BK38,$B$57)=COUNTA(BJ33:BJ38)),IF(CU35=CU32,BS39-BV36,IF(CU35=CU33,BT39-BV37,IF(CU35=CU34,BU39-BV38,1))),1)</f>
        <v>1</v>
      </c>
      <c r="CW35" s="49"/>
    </row>
    <row r="36" spans="1:101" ht="12.75">
      <c r="A36" s="2">
        <v>24</v>
      </c>
      <c r="B36" s="5">
        <v>45135.541666666664</v>
      </c>
      <c r="C36" s="4" t="s">
        <v>178</v>
      </c>
      <c r="D36" s="43" t="str">
        <f>Y33</f>
        <v>Haiti</v>
      </c>
      <c r="E36" s="50" t="s">
        <v>35</v>
      </c>
      <c r="F36" s="43" t="str">
        <f>Y35</f>
        <v>China</v>
      </c>
      <c r="G36" s="35"/>
      <c r="H36" s="103"/>
      <c r="I36" s="105" t="s">
        <v>36</v>
      </c>
      <c r="J36" s="103"/>
      <c r="K36" s="6" t="s">
        <v>62</v>
      </c>
      <c r="L36" s="1"/>
      <c r="N36" s="1"/>
      <c r="O36" s="1"/>
      <c r="P36" s="1"/>
      <c r="S36" s="45"/>
      <c r="T36" s="46">
        <f>IF(K33=$B$57,H33,0)</f>
        <v>0</v>
      </c>
      <c r="U36" s="46">
        <f>IF(K35=$B$57,H35,0)</f>
        <v>0</v>
      </c>
      <c r="V36" s="46">
        <f>IF(K37=$B$57,J37,0)</f>
        <v>0</v>
      </c>
      <c r="W36" s="47"/>
      <c r="X36" s="47"/>
      <c r="Y36" s="47"/>
      <c r="Z36" s="47"/>
      <c r="AA36" s="47"/>
      <c r="AB36" s="47"/>
      <c r="AC36" s="47"/>
      <c r="AD36" s="71"/>
      <c r="AE36" s="96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V36" s="113"/>
      <c r="AW36" s="88"/>
      <c r="BA36" s="2">
        <v>32</v>
      </c>
      <c r="BB36" s="5">
        <v>45137.270833333336</v>
      </c>
      <c r="BC36" s="4" t="s">
        <v>178</v>
      </c>
      <c r="BD36" s="43" t="str">
        <f>BY33</f>
        <v>Marokko</v>
      </c>
      <c r="BE36" s="50" t="s">
        <v>35</v>
      </c>
      <c r="BF36" s="43" t="str">
        <f>BY35</f>
        <v>Südkorea</v>
      </c>
      <c r="BG36" s="35"/>
      <c r="BH36" s="103"/>
      <c r="BI36" s="105" t="s">
        <v>36</v>
      </c>
      <c r="BJ36" s="103"/>
      <c r="BK36" s="6" t="s">
        <v>62</v>
      </c>
      <c r="BL36" s="1"/>
      <c r="BN36" s="1"/>
      <c r="BO36" s="1"/>
      <c r="BP36" s="1"/>
      <c r="BS36" s="45"/>
      <c r="BT36" s="46">
        <f>IF(BK33=$B$57,BH33,0)</f>
        <v>0</v>
      </c>
      <c r="BU36" s="46">
        <f>IF(BK35=$B$57,BH35,0)</f>
        <v>0</v>
      </c>
      <c r="BV36" s="46">
        <f>IF(BK37=$B$57,BJ37,0)</f>
        <v>0</v>
      </c>
      <c r="BW36" s="47"/>
      <c r="BX36" s="47"/>
      <c r="BY36" s="47"/>
      <c r="BZ36" s="47"/>
      <c r="CA36" s="47"/>
      <c r="CB36" s="47"/>
      <c r="CC36" s="47"/>
      <c r="CD36" s="71"/>
      <c r="CE36" s="96"/>
      <c r="CF36" s="113"/>
      <c r="CG36" s="113"/>
      <c r="CH36" s="113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V36" s="115"/>
      <c r="CW36" s="49"/>
    </row>
    <row r="37" spans="1:101" ht="12.75">
      <c r="A37" s="2">
        <v>39</v>
      </c>
      <c r="B37" s="5">
        <v>45139.541666666664</v>
      </c>
      <c r="C37" s="4" t="s">
        <v>178</v>
      </c>
      <c r="D37" s="43" t="str">
        <f>Y35</f>
        <v>China</v>
      </c>
      <c r="E37" s="50" t="s">
        <v>35</v>
      </c>
      <c r="F37" s="43" t="str">
        <f>Y32</f>
        <v>England</v>
      </c>
      <c r="G37" s="42"/>
      <c r="H37" s="103"/>
      <c r="I37" s="105" t="s">
        <v>36</v>
      </c>
      <c r="J37" s="103"/>
      <c r="K37" s="6" t="s">
        <v>62</v>
      </c>
      <c r="M37" s="108">
        <f>IF(N32&gt;0,M32,"")</f>
      </c>
      <c r="N37" s="2" t="s">
        <v>51</v>
      </c>
      <c r="P37" s="52"/>
      <c r="S37" s="46">
        <f>IF(K33=$B$57,J33,0)</f>
        <v>0</v>
      </c>
      <c r="T37" s="45"/>
      <c r="U37" s="46">
        <f>IF(K38=$B$57,H38,0)</f>
        <v>0</v>
      </c>
      <c r="V37" s="46">
        <f>IF(K36=$B$57,H36,0)</f>
        <v>0</v>
      </c>
      <c r="AD37" s="42" t="s">
        <v>140</v>
      </c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V37" s="116"/>
      <c r="AW37" s="88"/>
      <c r="BA37" s="2">
        <v>47</v>
      </c>
      <c r="BB37" s="5">
        <v>45141.5</v>
      </c>
      <c r="BC37" s="4" t="s">
        <v>180</v>
      </c>
      <c r="BD37" s="43" t="str">
        <f>BY35</f>
        <v>Südkorea</v>
      </c>
      <c r="BE37" s="50" t="s">
        <v>35</v>
      </c>
      <c r="BF37" s="43" t="str">
        <f>BY32</f>
        <v>Deutschland</v>
      </c>
      <c r="BG37" s="42"/>
      <c r="BH37" s="103"/>
      <c r="BI37" s="105" t="s">
        <v>36</v>
      </c>
      <c r="BJ37" s="103"/>
      <c r="BK37" s="6" t="s">
        <v>62</v>
      </c>
      <c r="BM37" s="17">
        <f>IF(BN32&gt;0,BM32,"")</f>
      </c>
      <c r="BN37" s="2" t="s">
        <v>198</v>
      </c>
      <c r="BP37" s="52"/>
      <c r="BS37" s="46">
        <f>IF(BK33=$B$57,BJ33,0)</f>
        <v>0</v>
      </c>
      <c r="BT37" s="45"/>
      <c r="BU37" s="46">
        <f>IF(BK38=$B$57,BH38,0)</f>
        <v>0</v>
      </c>
      <c r="BV37" s="46">
        <f>IF(BK36=$B$57,BH36,0)</f>
        <v>0</v>
      </c>
      <c r="CD37" s="42" t="s">
        <v>140</v>
      </c>
      <c r="CF37" s="116"/>
      <c r="CG37" s="116"/>
      <c r="CH37" s="116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V37" s="117"/>
      <c r="CW37" s="49"/>
    </row>
    <row r="38" spans="1:101" ht="12.75">
      <c r="A38" s="2">
        <v>40</v>
      </c>
      <c r="B38" s="5">
        <v>45139.541666666664</v>
      </c>
      <c r="C38" s="4" t="s">
        <v>183</v>
      </c>
      <c r="D38" s="43" t="str">
        <f>Y33</f>
        <v>Haiti</v>
      </c>
      <c r="E38" s="50" t="s">
        <v>35</v>
      </c>
      <c r="F38" s="43" t="str">
        <f>Y34</f>
        <v>Dänemark</v>
      </c>
      <c r="G38" s="42"/>
      <c r="H38" s="103"/>
      <c r="I38" s="105" t="s">
        <v>36</v>
      </c>
      <c r="J38" s="103"/>
      <c r="K38" s="6" t="s">
        <v>62</v>
      </c>
      <c r="M38" s="108">
        <f>IF(N33&gt;0,M33,"")</f>
      </c>
      <c r="N38" s="2" t="s">
        <v>52</v>
      </c>
      <c r="O38" s="53"/>
      <c r="P38" s="89" t="s">
        <v>170</v>
      </c>
      <c r="S38" s="46">
        <f>IF(K35=$B$57,J35,0)</f>
        <v>0</v>
      </c>
      <c r="T38" s="46">
        <f>IF(K38=$B$57,J38,0)</f>
        <v>0</v>
      </c>
      <c r="U38" s="45"/>
      <c r="V38" s="46">
        <f>IF(K34=$B$57,H34,0)</f>
        <v>0</v>
      </c>
      <c r="AD38" s="42" t="s">
        <v>141</v>
      </c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V38" s="116"/>
      <c r="AW38" s="88"/>
      <c r="BA38" s="2">
        <v>48</v>
      </c>
      <c r="BB38" s="5">
        <v>45141.5</v>
      </c>
      <c r="BC38" s="4" t="s">
        <v>183</v>
      </c>
      <c r="BD38" s="43" t="str">
        <f>BY33</f>
        <v>Marokko</v>
      </c>
      <c r="BE38" s="50" t="s">
        <v>35</v>
      </c>
      <c r="BF38" s="43" t="str">
        <f>BY34</f>
        <v>Kolumbien</v>
      </c>
      <c r="BG38" s="42"/>
      <c r="BH38" s="103"/>
      <c r="BI38" s="105" t="s">
        <v>36</v>
      </c>
      <c r="BJ38" s="103"/>
      <c r="BK38" s="6" t="s">
        <v>62</v>
      </c>
      <c r="BM38" s="17">
        <f>IF(BN33&gt;0,BM33,"")</f>
      </c>
      <c r="BN38" s="2" t="s">
        <v>199</v>
      </c>
      <c r="BO38" s="53"/>
      <c r="BP38" s="89" t="s">
        <v>170</v>
      </c>
      <c r="BS38" s="46">
        <f>IF(BK35=$B$57,BJ35,0)</f>
        <v>0</v>
      </c>
      <c r="BT38" s="46">
        <f>IF(BK38=$B$57,BJ38,0)</f>
        <v>0</v>
      </c>
      <c r="BU38" s="45"/>
      <c r="BV38" s="46">
        <f>IF(BK34=$B$57,BH34,0)</f>
        <v>0</v>
      </c>
      <c r="CD38" s="42" t="s">
        <v>141</v>
      </c>
      <c r="CF38" s="116"/>
      <c r="CG38" s="116"/>
      <c r="CH38" s="116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V38" s="117"/>
      <c r="CW38" s="49"/>
    </row>
    <row r="39" spans="4:101" ht="12.75">
      <c r="D39" s="42"/>
      <c r="E39" s="42"/>
      <c r="F39" s="42"/>
      <c r="G39" s="42"/>
      <c r="N39" s="1"/>
      <c r="S39" s="46">
        <f>IF(K37=$B$57,H37,0)</f>
        <v>0</v>
      </c>
      <c r="T39" s="46">
        <f>IF(K36=$B$57,J36,0)</f>
        <v>0</v>
      </c>
      <c r="U39" s="46">
        <f>IF(K34=$B$57,J34,0)</f>
        <v>0</v>
      </c>
      <c r="V39" s="45"/>
      <c r="AD39" s="2" t="s">
        <v>171</v>
      </c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V39" s="116"/>
      <c r="AW39" s="88"/>
      <c r="BN39" s="1"/>
      <c r="BS39" s="46">
        <f>IF(BK37=$B$57,BH37,0)</f>
        <v>0</v>
      </c>
      <c r="BT39" s="46">
        <f>IF(BK36=$B$57,BJ36,0)</f>
        <v>0</v>
      </c>
      <c r="BU39" s="46">
        <f>IF(BK34=$B$57,BJ34,0)</f>
        <v>0</v>
      </c>
      <c r="BV39" s="45"/>
      <c r="CD39" s="2" t="s">
        <v>171</v>
      </c>
      <c r="CF39" s="116"/>
      <c r="CG39" s="116"/>
      <c r="CH39" s="116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V39" s="117"/>
      <c r="CW39" s="49"/>
    </row>
    <row r="40" spans="4:101" ht="6" customHeight="1">
      <c r="D40" s="42"/>
      <c r="E40" s="38"/>
      <c r="F40" s="37"/>
      <c r="G40" s="37"/>
      <c r="H40" s="42"/>
      <c r="I40" s="42"/>
      <c r="J40" s="42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V40" s="116"/>
      <c r="AW40" s="88"/>
      <c r="BE40" s="13"/>
      <c r="BF40" s="10"/>
      <c r="BG40" s="10"/>
      <c r="BH40" s="2"/>
      <c r="BI40" s="2"/>
      <c r="BJ40" s="2"/>
      <c r="CF40" s="116"/>
      <c r="CG40" s="116"/>
      <c r="CH40" s="116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V40" s="117"/>
      <c r="CW40" s="49"/>
    </row>
    <row r="41" spans="1:104" s="10" customFormat="1" ht="12.75">
      <c r="A41" s="2"/>
      <c r="B41" s="7" t="s">
        <v>80</v>
      </c>
      <c r="C41" s="3"/>
      <c r="D41" s="35"/>
      <c r="E41" s="36"/>
      <c r="F41" s="35"/>
      <c r="G41" s="35"/>
      <c r="H41" s="104"/>
      <c r="I41" s="105"/>
      <c r="J41" s="104"/>
      <c r="K41" s="97"/>
      <c r="L41" s="1"/>
      <c r="M41" s="3"/>
      <c r="N41" s="1"/>
      <c r="O41" s="1"/>
      <c r="P41" s="1"/>
      <c r="Q41" s="7"/>
      <c r="R41" s="7"/>
      <c r="S41" s="35"/>
      <c r="T41" s="35"/>
      <c r="U41" s="35"/>
      <c r="V41" s="35"/>
      <c r="W41" s="35"/>
      <c r="X41" s="35"/>
      <c r="Y41" s="43"/>
      <c r="Z41" s="35"/>
      <c r="AA41" s="35"/>
      <c r="AB41" s="35"/>
      <c r="AC41" s="35"/>
      <c r="AD41" s="91"/>
      <c r="AE41" s="92"/>
      <c r="AF41" s="35"/>
      <c r="AG41" s="35"/>
      <c r="AH41" s="35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Y41" s="7"/>
      <c r="AZ41" s="7"/>
      <c r="BA41" s="2"/>
      <c r="BB41" s="26" t="s">
        <v>53</v>
      </c>
      <c r="BC41" s="3"/>
      <c r="BD41" s="7"/>
      <c r="BE41" s="9"/>
      <c r="BF41" s="7"/>
      <c r="BG41" s="7"/>
      <c r="BH41" s="104"/>
      <c r="BI41" s="92"/>
      <c r="BJ41" s="104"/>
      <c r="BK41" s="97"/>
      <c r="BL41" s="7"/>
      <c r="BM41" s="8"/>
      <c r="BN41" s="7"/>
      <c r="BO41" s="7"/>
      <c r="BP41" s="7"/>
      <c r="BQ41" s="1"/>
      <c r="BR41" s="1"/>
      <c r="BS41" s="35"/>
      <c r="BT41" s="35"/>
      <c r="BU41" s="35"/>
      <c r="BV41" s="35"/>
      <c r="BW41" s="35"/>
      <c r="BX41" s="35"/>
      <c r="BY41" s="43"/>
      <c r="BZ41" s="35"/>
      <c r="CA41" s="35"/>
      <c r="CB41" s="35"/>
      <c r="CC41" s="35"/>
      <c r="CD41" s="91"/>
      <c r="CE41" s="92"/>
      <c r="CF41" s="35"/>
      <c r="CG41" s="35"/>
      <c r="CH41" s="35"/>
      <c r="CY41" s="7"/>
      <c r="CZ41" s="7"/>
    </row>
    <row r="42" spans="1:104" ht="12.75">
      <c r="A42" s="2">
        <v>49</v>
      </c>
      <c r="B42" s="5">
        <v>45143.291666666664</v>
      </c>
      <c r="C42" s="4" t="s">
        <v>163</v>
      </c>
      <c r="D42" s="41">
        <f>M7</f>
      </c>
      <c r="E42" s="11" t="s">
        <v>35</v>
      </c>
      <c r="F42" s="59">
        <f>M28</f>
      </c>
      <c r="G42" s="35"/>
      <c r="H42" s="103"/>
      <c r="I42" s="105" t="s">
        <v>36</v>
      </c>
      <c r="J42" s="103"/>
      <c r="K42" s="6" t="s">
        <v>62</v>
      </c>
      <c r="L42" s="1"/>
      <c r="M42" s="60">
        <f aca="true" t="shared" si="0" ref="M42:M49">IF(J42="","",IF(J42=H42,"falsch!!! K.Remis",IF(H42&gt;J42,D42,F42)))</f>
      </c>
      <c r="N42" s="1" t="str">
        <f>N7</f>
        <v>1A</v>
      </c>
      <c r="O42" s="1" t="str">
        <f>N28</f>
        <v>2C</v>
      </c>
      <c r="P42" s="1" t="s">
        <v>81</v>
      </c>
      <c r="Q42" s="1"/>
      <c r="R42" s="1"/>
      <c r="S42" s="47"/>
      <c r="U42" s="47"/>
      <c r="V42" s="47"/>
      <c r="W42" s="47"/>
      <c r="X42" s="92"/>
      <c r="Y42" s="48"/>
      <c r="Z42" s="47"/>
      <c r="AA42" s="47"/>
      <c r="AB42" s="47"/>
      <c r="AC42" s="47"/>
      <c r="AD42" s="71"/>
      <c r="AE42" s="96"/>
      <c r="AF42" s="47"/>
      <c r="AG42" s="47"/>
      <c r="AH42" s="47"/>
      <c r="AY42" s="1"/>
      <c r="AZ42" s="1"/>
      <c r="BA42" s="2">
        <v>57</v>
      </c>
      <c r="BB42" s="5">
        <v>45149.125</v>
      </c>
      <c r="BC42" s="4" t="s">
        <v>168</v>
      </c>
      <c r="BD42" s="61">
        <f>M42</f>
      </c>
      <c r="BE42" s="11" t="s">
        <v>35</v>
      </c>
      <c r="BF42" s="61">
        <f>M44</f>
      </c>
      <c r="BG42" s="7"/>
      <c r="BH42" s="103"/>
      <c r="BI42" s="105" t="s">
        <v>36</v>
      </c>
      <c r="BJ42" s="103"/>
      <c r="BK42" s="6" t="s">
        <v>62</v>
      </c>
      <c r="BL42" s="1"/>
      <c r="BM42" s="32">
        <f>IF(BJ42="","",IF(BJ42=BH42,"falsch!!! K.Remis",IF(BH42&gt;BJ42,BD42,BF42)))</f>
      </c>
      <c r="BN42" s="1" t="str">
        <f>P42</f>
        <v>AF1</v>
      </c>
      <c r="BO42" s="1" t="str">
        <f>P44</f>
        <v>AF3</v>
      </c>
      <c r="BP42" s="2" t="s">
        <v>54</v>
      </c>
      <c r="BQ42" s="1"/>
      <c r="BR42" s="1"/>
      <c r="BS42" s="47"/>
      <c r="BU42" s="47"/>
      <c r="BV42" s="47"/>
      <c r="BW42" s="47"/>
      <c r="BX42" s="92"/>
      <c r="BY42" s="48"/>
      <c r="BZ42" s="47"/>
      <c r="CA42" s="47"/>
      <c r="CB42" s="47"/>
      <c r="CC42" s="47"/>
      <c r="CD42" s="71"/>
      <c r="CE42" s="96"/>
      <c r="CF42" s="47"/>
      <c r="CG42" s="47"/>
      <c r="CH42" s="47"/>
      <c r="CY42" s="1"/>
      <c r="CZ42" s="1"/>
    </row>
    <row r="43" spans="1:102" ht="12.75">
      <c r="A43" s="2">
        <v>50</v>
      </c>
      <c r="B43" s="5">
        <v>45143.416666666664</v>
      </c>
      <c r="C43" s="4" t="s">
        <v>168</v>
      </c>
      <c r="D43" s="59">
        <f>M27</f>
      </c>
      <c r="E43" s="11" t="s">
        <v>35</v>
      </c>
      <c r="F43" s="51">
        <f>M8</f>
      </c>
      <c r="G43" s="35"/>
      <c r="H43" s="103"/>
      <c r="I43" s="105" t="s">
        <v>36</v>
      </c>
      <c r="J43" s="103"/>
      <c r="K43" s="6" t="s">
        <v>62</v>
      </c>
      <c r="L43" s="1"/>
      <c r="M43" s="67">
        <f t="shared" si="0"/>
      </c>
      <c r="N43" s="121" t="str">
        <f>N27</f>
        <v>1C</v>
      </c>
      <c r="O43" s="1" t="str">
        <f>N8</f>
        <v>2A</v>
      </c>
      <c r="P43" s="1" t="s">
        <v>82</v>
      </c>
      <c r="Q43" s="1"/>
      <c r="R43" s="1"/>
      <c r="S43" s="47"/>
      <c r="U43" s="47"/>
      <c r="V43" s="47"/>
      <c r="W43" s="4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X43" s="1"/>
      <c r="BA43" s="2">
        <v>58</v>
      </c>
      <c r="BB43" s="5">
        <v>45149.395833333336</v>
      </c>
      <c r="BC43" s="4" t="s">
        <v>163</v>
      </c>
      <c r="BD43" s="62">
        <f>M43</f>
      </c>
      <c r="BE43" s="50" t="s">
        <v>35</v>
      </c>
      <c r="BF43" s="62">
        <f>M45</f>
      </c>
      <c r="BG43" s="7"/>
      <c r="BH43" s="103"/>
      <c r="BI43" s="105" t="s">
        <v>36</v>
      </c>
      <c r="BJ43" s="103"/>
      <c r="BK43" s="6" t="s">
        <v>62</v>
      </c>
      <c r="BL43" s="1"/>
      <c r="BM43" s="63">
        <f>IF(BJ43="","",IF(BJ43=BH43,"falsch!!! K.Remis",IF(BH43&gt;BJ43,BD43,BF43)))</f>
      </c>
      <c r="BN43" s="1" t="str">
        <f>P43</f>
        <v>AF2</v>
      </c>
      <c r="BO43" s="1" t="str">
        <f>P45</f>
        <v>AF4</v>
      </c>
      <c r="BP43" s="1" t="s">
        <v>55</v>
      </c>
      <c r="BQ43" s="1"/>
      <c r="BR43" s="1"/>
      <c r="BS43" s="47"/>
      <c r="BU43" s="47"/>
      <c r="BV43" s="47"/>
      <c r="BW43" s="4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/>
      <c r="CJ43"/>
      <c r="CK43"/>
      <c r="CL43"/>
      <c r="CM43"/>
      <c r="CN43"/>
      <c r="CO43"/>
      <c r="CP43"/>
      <c r="CX43" s="1"/>
    </row>
    <row r="44" spans="1:102" ht="12.75">
      <c r="A44" s="2">
        <v>51</v>
      </c>
      <c r="B44" s="5">
        <v>45144.166666666664</v>
      </c>
      <c r="C44" s="4" t="s">
        <v>173</v>
      </c>
      <c r="D44" s="90">
        <f>BM7</f>
      </c>
      <c r="E44" s="11" t="s">
        <v>35</v>
      </c>
      <c r="F44" s="120">
        <f>BM28</f>
      </c>
      <c r="G44" s="35"/>
      <c r="H44" s="103"/>
      <c r="I44" s="105" t="s">
        <v>36</v>
      </c>
      <c r="J44" s="103"/>
      <c r="K44" s="6" t="s">
        <v>62</v>
      </c>
      <c r="L44" s="1"/>
      <c r="M44" s="60">
        <f t="shared" si="0"/>
      </c>
      <c r="N44" s="1" t="str">
        <f>BN7</f>
        <v>1E</v>
      </c>
      <c r="O44" s="1" t="str">
        <f>BN28</f>
        <v>2G</v>
      </c>
      <c r="P44" s="1" t="s">
        <v>83</v>
      </c>
      <c r="Q44" s="1"/>
      <c r="R44" s="3"/>
      <c r="S44" s="47"/>
      <c r="U44" s="75"/>
      <c r="V44" s="47"/>
      <c r="W44" s="4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X44" s="1"/>
      <c r="BA44" s="2">
        <v>59</v>
      </c>
      <c r="BB44" s="5">
        <v>45150.375</v>
      </c>
      <c r="BC44" s="4" t="s">
        <v>180</v>
      </c>
      <c r="BD44" s="66">
        <f>M47</f>
      </c>
      <c r="BE44" s="11" t="s">
        <v>35</v>
      </c>
      <c r="BF44" s="66">
        <f>M49</f>
      </c>
      <c r="BG44" s="7"/>
      <c r="BH44" s="103"/>
      <c r="BI44" s="105" t="s">
        <v>36</v>
      </c>
      <c r="BJ44" s="103"/>
      <c r="BK44" s="6" t="s">
        <v>62</v>
      </c>
      <c r="BL44" s="1"/>
      <c r="BM44" s="34">
        <f>IF(BJ44="","",IF(BJ44=BH44,"falsch!!! K.Remis",IF(BH44&gt;BJ44,BD44,BF44)))</f>
      </c>
      <c r="BN44" s="1" t="str">
        <f>P47</f>
        <v>AF6</v>
      </c>
      <c r="BO44" s="1" t="str">
        <f>P49</f>
        <v>AF8</v>
      </c>
      <c r="BP44" s="1" t="s">
        <v>56</v>
      </c>
      <c r="BQ44" s="1"/>
      <c r="BR44" s="1"/>
      <c r="BS44" s="47"/>
      <c r="BU44" s="75"/>
      <c r="BV44" s="47"/>
      <c r="BW44" s="4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/>
      <c r="CX44" s="1"/>
    </row>
    <row r="45" spans="1:102" ht="12.75">
      <c r="A45" s="2">
        <v>52</v>
      </c>
      <c r="B45" s="5">
        <v>45144.458333333336</v>
      </c>
      <c r="C45" s="4" t="s">
        <v>176</v>
      </c>
      <c r="D45" s="120">
        <f>BM27</f>
      </c>
      <c r="E45" s="11" t="s">
        <v>35</v>
      </c>
      <c r="F45" s="90">
        <f>BM8</f>
      </c>
      <c r="G45" s="35"/>
      <c r="H45" s="103"/>
      <c r="I45" s="105" t="s">
        <v>36</v>
      </c>
      <c r="J45" s="103"/>
      <c r="K45" s="6" t="s">
        <v>62</v>
      </c>
      <c r="L45" s="1"/>
      <c r="M45" s="67">
        <f t="shared" si="0"/>
      </c>
      <c r="N45" s="1" t="str">
        <f>BN27</f>
        <v>1G</v>
      </c>
      <c r="O45" s="1" t="str">
        <f>BN8</f>
        <v>2E</v>
      </c>
      <c r="P45" s="1" t="s">
        <v>84</v>
      </c>
      <c r="Q45" s="1"/>
      <c r="R45" s="3"/>
      <c r="S45" s="47"/>
      <c r="U45" s="75"/>
      <c r="V45" s="47"/>
      <c r="W45" s="4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X45" s="1"/>
      <c r="BA45" s="122">
        <v>60</v>
      </c>
      <c r="BB45" s="5">
        <v>45150.520833333336</v>
      </c>
      <c r="BC45" s="4" t="s">
        <v>173</v>
      </c>
      <c r="BD45" s="65">
        <f>M46</f>
      </c>
      <c r="BE45" s="50" t="s">
        <v>35</v>
      </c>
      <c r="BF45" s="65">
        <f>M48</f>
      </c>
      <c r="BG45" s="7"/>
      <c r="BH45" s="103"/>
      <c r="BI45" s="105" t="s">
        <v>36</v>
      </c>
      <c r="BJ45" s="103"/>
      <c r="BK45" s="6" t="s">
        <v>62</v>
      </c>
      <c r="BL45" s="1"/>
      <c r="BM45" s="33">
        <f>IF(BJ45="","",IF(BJ45=BH45,"falsch!!! K.Remis",IF(BH45&gt;BJ45,BD45,BF45)))</f>
      </c>
      <c r="BN45" s="1" t="str">
        <f>P46</f>
        <v>AF5</v>
      </c>
      <c r="BO45" s="1" t="str">
        <f>P48</f>
        <v>AF7</v>
      </c>
      <c r="BP45" s="2" t="s">
        <v>57</v>
      </c>
      <c r="BQ45" s="1"/>
      <c r="BR45" s="1"/>
      <c r="BS45" s="47"/>
      <c r="BU45" s="75"/>
      <c r="BV45" s="47"/>
      <c r="BW45" s="4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/>
      <c r="CJ45"/>
      <c r="CK45"/>
      <c r="CL45"/>
      <c r="CM45"/>
      <c r="CN45"/>
      <c r="CO45"/>
      <c r="CP45"/>
      <c r="CX45" s="1"/>
    </row>
    <row r="46" spans="1:102" ht="12.75">
      <c r="A46" s="2">
        <v>53</v>
      </c>
      <c r="B46" s="4">
        <v>45145.395833333336</v>
      </c>
      <c r="C46" s="4" t="s">
        <v>180</v>
      </c>
      <c r="D46" s="108">
        <f>M37</f>
      </c>
      <c r="E46" s="11" t="s">
        <v>35</v>
      </c>
      <c r="F46" s="56">
        <f>M18</f>
      </c>
      <c r="G46" s="35"/>
      <c r="H46" s="103"/>
      <c r="I46" s="105" t="s">
        <v>36</v>
      </c>
      <c r="J46" s="103"/>
      <c r="K46" s="6" t="s">
        <v>62</v>
      </c>
      <c r="L46" s="1"/>
      <c r="M46" s="64">
        <f t="shared" si="0"/>
      </c>
      <c r="N46" s="121" t="str">
        <f>N37</f>
        <v>1D</v>
      </c>
      <c r="O46" s="1" t="str">
        <f>N18</f>
        <v>2B</v>
      </c>
      <c r="P46" s="1" t="s">
        <v>85</v>
      </c>
      <c r="Q46" s="1"/>
      <c r="R46" s="3"/>
      <c r="S46" s="47"/>
      <c r="U46" s="35"/>
      <c r="V46" s="47"/>
      <c r="W46" s="4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X46" s="1"/>
      <c r="BQ46" s="1"/>
      <c r="BR46" s="1"/>
      <c r="BS46" s="47"/>
      <c r="BU46" s="35"/>
      <c r="BV46" s="47"/>
      <c r="BW46" s="4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/>
      <c r="CJ46"/>
      <c r="CK46"/>
      <c r="CL46"/>
      <c r="CM46"/>
      <c r="CN46"/>
      <c r="CO46"/>
      <c r="CP46"/>
      <c r="CX46" s="1"/>
    </row>
    <row r="47" spans="1:94" ht="12.75">
      <c r="A47" s="2">
        <v>54</v>
      </c>
      <c r="B47" s="5">
        <v>45145.5</v>
      </c>
      <c r="C47" s="4" t="s">
        <v>173</v>
      </c>
      <c r="D47" s="56">
        <f>M17</f>
      </c>
      <c r="E47" s="11" t="s">
        <v>35</v>
      </c>
      <c r="F47" s="108">
        <f>M38</f>
      </c>
      <c r="G47" s="35"/>
      <c r="H47" s="103"/>
      <c r="I47" s="105" t="s">
        <v>36</v>
      </c>
      <c r="J47" s="103"/>
      <c r="K47" s="6" t="s">
        <v>62</v>
      </c>
      <c r="L47" s="1"/>
      <c r="M47" s="68">
        <f t="shared" si="0"/>
      </c>
      <c r="N47" s="1" t="str">
        <f>N17</f>
        <v>1B</v>
      </c>
      <c r="O47" s="1" t="str">
        <f>N38</f>
        <v>2D</v>
      </c>
      <c r="P47" s="1" t="s">
        <v>86</v>
      </c>
      <c r="Q47" s="1"/>
      <c r="R47" s="3"/>
      <c r="S47" s="47"/>
      <c r="U47" s="35"/>
      <c r="V47" s="47"/>
      <c r="W47" s="4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BB47" s="25" t="s">
        <v>58</v>
      </c>
      <c r="BC47" s="3"/>
      <c r="BD47" s="7"/>
      <c r="BE47" s="9"/>
      <c r="BF47" s="7"/>
      <c r="BG47" s="7"/>
      <c r="BH47" s="104"/>
      <c r="BI47" s="105"/>
      <c r="BJ47" s="104"/>
      <c r="BK47" s="97"/>
      <c r="BL47" s="1"/>
      <c r="BM47" s="3"/>
      <c r="BN47" s="1"/>
      <c r="BO47" s="1"/>
      <c r="BP47" s="1"/>
      <c r="BQ47" s="1"/>
      <c r="BR47" s="1"/>
      <c r="BS47" s="47"/>
      <c r="BU47" s="35"/>
      <c r="BV47" s="47"/>
      <c r="BW47" s="4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/>
      <c r="CJ47"/>
      <c r="CK47"/>
      <c r="CL47"/>
      <c r="CM47"/>
      <c r="CN47"/>
      <c r="CO47"/>
      <c r="CP47"/>
    </row>
    <row r="48" spans="1:94" ht="12.75">
      <c r="A48" s="2">
        <v>55</v>
      </c>
      <c r="B48" s="5">
        <v>45146.416666666664</v>
      </c>
      <c r="C48" s="4" t="s">
        <v>176</v>
      </c>
      <c r="D48" s="17">
        <f>BM37</f>
      </c>
      <c r="E48" s="11" t="s">
        <v>35</v>
      </c>
      <c r="F48" s="118">
        <f>BM18</f>
      </c>
      <c r="G48" s="35"/>
      <c r="H48" s="103"/>
      <c r="I48" s="105" t="s">
        <v>36</v>
      </c>
      <c r="J48" s="103"/>
      <c r="K48" s="6" t="s">
        <v>62</v>
      </c>
      <c r="L48" s="1"/>
      <c r="M48" s="64">
        <f t="shared" si="0"/>
      </c>
      <c r="N48" s="1" t="str">
        <f>BN37</f>
        <v>1H</v>
      </c>
      <c r="O48" s="1" t="str">
        <f>BN18</f>
        <v>2F</v>
      </c>
      <c r="P48" s="1" t="s">
        <v>87</v>
      </c>
      <c r="Q48" s="1"/>
      <c r="R48" s="3"/>
      <c r="S48" s="47"/>
      <c r="U48" s="75"/>
      <c r="V48" s="47"/>
      <c r="W48" s="4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BA48" s="2">
        <v>61</v>
      </c>
      <c r="BB48" s="5">
        <v>45153.416666666664</v>
      </c>
      <c r="BC48" s="4" t="s">
        <v>163</v>
      </c>
      <c r="BD48" s="29">
        <f>BM42</f>
      </c>
      <c r="BE48" s="8" t="s">
        <v>35</v>
      </c>
      <c r="BF48" s="24">
        <f>BM43</f>
      </c>
      <c r="BG48" s="7"/>
      <c r="BH48" s="103"/>
      <c r="BI48" s="105" t="s">
        <v>36</v>
      </c>
      <c r="BJ48" s="103"/>
      <c r="BK48" s="6" t="s">
        <v>62</v>
      </c>
      <c r="BL48" s="1"/>
      <c r="BM48" s="30">
        <f>IF(BJ48="","",IF(BJ48=BH48,"falsch!!! K.Remis",IF(BH48&gt;BJ48,BD48,BF48)))</f>
      </c>
      <c r="BN48" s="1" t="str">
        <f>BP42</f>
        <v>VF1</v>
      </c>
      <c r="BO48" s="1" t="str">
        <f>BP43</f>
        <v>VF2</v>
      </c>
      <c r="BP48" s="1" t="s">
        <v>59</v>
      </c>
      <c r="BQ48" s="1"/>
      <c r="BR48" s="1"/>
      <c r="BS48" s="47"/>
      <c r="BU48" s="75"/>
      <c r="BV48" s="47"/>
      <c r="BW48" s="4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/>
    </row>
    <row r="49" spans="1:94" ht="12.75">
      <c r="A49" s="2">
        <v>56</v>
      </c>
      <c r="B49" s="5">
        <v>45146.541666666664</v>
      </c>
      <c r="C49" s="4" t="s">
        <v>178</v>
      </c>
      <c r="D49" s="118">
        <f>BM17</f>
      </c>
      <c r="E49" s="11" t="s">
        <v>35</v>
      </c>
      <c r="F49" s="17">
        <f>BM38</f>
      </c>
      <c r="G49" s="35"/>
      <c r="H49" s="103"/>
      <c r="I49" s="105" t="s">
        <v>36</v>
      </c>
      <c r="J49" s="103"/>
      <c r="K49" s="6" t="s">
        <v>62</v>
      </c>
      <c r="L49" s="1"/>
      <c r="M49" s="68">
        <f t="shared" si="0"/>
      </c>
      <c r="N49" s="1" t="str">
        <f>BN17</f>
        <v>1F</v>
      </c>
      <c r="O49" s="1" t="str">
        <f>BN38</f>
        <v>2H</v>
      </c>
      <c r="P49" s="1" t="s">
        <v>88</v>
      </c>
      <c r="Q49" s="1"/>
      <c r="R49" s="3"/>
      <c r="S49" s="47"/>
      <c r="U49" s="35"/>
      <c r="V49" s="47"/>
      <c r="W49" s="4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BA49" s="2">
        <v>62</v>
      </c>
      <c r="BB49" s="5">
        <v>45154.5</v>
      </c>
      <c r="BC49" s="4" t="s">
        <v>173</v>
      </c>
      <c r="BD49" s="69">
        <f>BM44</f>
      </c>
      <c r="BE49" s="8" t="s">
        <v>35</v>
      </c>
      <c r="BF49" s="123">
        <f>BM45</f>
      </c>
      <c r="BG49" s="7"/>
      <c r="BH49" s="103"/>
      <c r="BI49" s="105" t="s">
        <v>36</v>
      </c>
      <c r="BJ49" s="103"/>
      <c r="BK49" s="6" t="s">
        <v>62</v>
      </c>
      <c r="BL49" s="1"/>
      <c r="BM49" s="30">
        <f>IF(BJ49="","",IF(BJ49=BH49,"falsch!!! K.Remis",IF(BH49&gt;BJ49,BD49,BF49)))</f>
      </c>
      <c r="BN49" s="1" t="str">
        <f>BP44</f>
        <v>VF3</v>
      </c>
      <c r="BO49" s="1" t="str">
        <f>BP45</f>
        <v>VF4</v>
      </c>
      <c r="BP49" s="1" t="s">
        <v>60</v>
      </c>
      <c r="BQ49" s="1"/>
      <c r="BR49" s="1"/>
      <c r="BS49" s="47"/>
      <c r="BU49" s="35"/>
      <c r="BV49" s="47"/>
      <c r="BW49" s="4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/>
      <c r="CJ49"/>
      <c r="CK49"/>
      <c r="CL49"/>
      <c r="CM49"/>
      <c r="CN49"/>
      <c r="CO49"/>
      <c r="CP49"/>
    </row>
    <row r="50" spans="4:94" ht="12.75">
      <c r="D50" s="42"/>
      <c r="E50" s="42"/>
      <c r="F50" s="42"/>
      <c r="G50" s="42"/>
      <c r="Q50" s="1"/>
      <c r="R50" s="3"/>
      <c r="S50" s="47"/>
      <c r="U50" s="75"/>
      <c r="V50" s="47"/>
      <c r="W50" s="4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BB50" s="1"/>
      <c r="BC50" s="3"/>
      <c r="BD50" s="7"/>
      <c r="BE50" s="9"/>
      <c r="BG50" s="7"/>
      <c r="BH50" s="104"/>
      <c r="BI50" s="105"/>
      <c r="BJ50" s="104"/>
      <c r="BK50" s="97"/>
      <c r="BL50" s="1"/>
      <c r="BM50" s="70">
        <f>IF(BJ48="","",IF(BD48=BM48,BF48,BD48))</f>
      </c>
      <c r="BO50" s="1"/>
      <c r="BP50" s="1" t="s">
        <v>89</v>
      </c>
      <c r="BQ50" s="1"/>
      <c r="BR50" s="1"/>
      <c r="BS50" s="47"/>
      <c r="BU50" s="75"/>
      <c r="BV50" s="47"/>
      <c r="BW50" s="4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/>
    </row>
    <row r="51" spans="2:94" ht="12.75">
      <c r="B51" s="1"/>
      <c r="C51" s="3"/>
      <c r="D51" s="35"/>
      <c r="E51" s="36"/>
      <c r="F51" s="35"/>
      <c r="G51" s="35"/>
      <c r="H51" s="104"/>
      <c r="I51" s="105"/>
      <c r="J51" s="104"/>
      <c r="K51" s="97"/>
      <c r="L51" s="1"/>
      <c r="M51" s="3"/>
      <c r="N51" s="1"/>
      <c r="O51" s="1"/>
      <c r="P51" s="1"/>
      <c r="Q51" s="1"/>
      <c r="R51" s="1"/>
      <c r="S51" s="47"/>
      <c r="T51" s="47"/>
      <c r="U51" s="47"/>
      <c r="V51" s="47"/>
      <c r="W51" s="4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BC51" s="3"/>
      <c r="BD51" s="10"/>
      <c r="BE51" s="13"/>
      <c r="BF51" s="10"/>
      <c r="BG51" s="10"/>
      <c r="BH51" s="12"/>
      <c r="BJ51" s="12"/>
      <c r="BK51" s="97"/>
      <c r="BM51" s="70">
        <f>IF(BJ49="","",IF(BF49=BM49,BD49,BF49))</f>
      </c>
      <c r="BP51" s="1" t="s">
        <v>90</v>
      </c>
      <c r="BQ51" s="1"/>
      <c r="BR51" s="1"/>
      <c r="BS51" s="47"/>
      <c r="BT51" s="47"/>
      <c r="BU51" s="47"/>
      <c r="BV51" s="47"/>
      <c r="BW51" s="4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/>
    </row>
    <row r="52" spans="2:93" ht="12.75">
      <c r="B52" s="21" t="s">
        <v>61</v>
      </c>
      <c r="C52" s="3"/>
      <c r="D52" s="37"/>
      <c r="E52" s="38"/>
      <c r="F52" s="37"/>
      <c r="G52" s="37"/>
      <c r="H52" s="106"/>
      <c r="J52" s="106"/>
      <c r="K52" s="97"/>
      <c r="M52" s="2" t="s">
        <v>200</v>
      </c>
      <c r="S52" s="47"/>
      <c r="T52" s="47"/>
      <c r="U52" s="47"/>
      <c r="V52" s="47"/>
      <c r="W52" s="47"/>
      <c r="X52" s="47"/>
      <c r="Y52" s="48"/>
      <c r="Z52" s="47"/>
      <c r="AA52" s="47"/>
      <c r="AB52" s="47"/>
      <c r="AC52" s="47"/>
      <c r="AD52" s="47"/>
      <c r="AE52" s="71"/>
      <c r="AF52" s="96"/>
      <c r="AG52" s="47"/>
      <c r="AH52" s="47"/>
      <c r="AO52" s="47"/>
      <c r="BB52" s="21" t="s">
        <v>91</v>
      </c>
      <c r="BC52" s="3"/>
      <c r="BD52" s="10"/>
      <c r="BE52" s="13"/>
      <c r="BF52" s="10"/>
      <c r="BG52" s="10"/>
      <c r="BH52" s="106"/>
      <c r="BJ52" s="106"/>
      <c r="BK52" s="97"/>
      <c r="BM52" s="2"/>
      <c r="BP52" s="1"/>
      <c r="BQ52" s="1"/>
      <c r="BR52" s="1"/>
      <c r="BS52" s="47"/>
      <c r="BT52" s="47"/>
      <c r="BU52" s="47"/>
      <c r="BV52" s="47"/>
      <c r="BW52" s="47"/>
      <c r="BX52" s="47"/>
      <c r="BY52" s="48"/>
      <c r="BZ52" s="47"/>
      <c r="CA52" s="47"/>
      <c r="CB52" s="47"/>
      <c r="CC52" s="47"/>
      <c r="CD52" s="47"/>
      <c r="CE52" s="71"/>
      <c r="CF52" s="96"/>
      <c r="CG52" s="47"/>
      <c r="CH52" s="47"/>
      <c r="CO52" s="1"/>
    </row>
    <row r="53" spans="1:93" ht="12.75">
      <c r="A53" s="2">
        <v>64</v>
      </c>
      <c r="B53" s="5">
        <v>45158.5</v>
      </c>
      <c r="C53" s="4" t="s">
        <v>173</v>
      </c>
      <c r="D53" s="20">
        <f>BM48</f>
      </c>
      <c r="E53" s="8" t="s">
        <v>35</v>
      </c>
      <c r="F53" s="20">
        <f>BM49</f>
      </c>
      <c r="G53" s="35"/>
      <c r="H53" s="103"/>
      <c r="I53" s="105" t="s">
        <v>36</v>
      </c>
      <c r="J53" s="103"/>
      <c r="K53" s="6" t="s">
        <v>62</v>
      </c>
      <c r="L53" s="1"/>
      <c r="M53" s="22">
        <f>IF(J53="","",IF(J53=H53,"falsch!!! K.Remis",IF(H53&gt;J53,D53,F53)))</f>
      </c>
      <c r="N53" s="1" t="str">
        <f>BP48</f>
        <v>F1</v>
      </c>
      <c r="O53" s="1" t="str">
        <f>BP49</f>
        <v>F2</v>
      </c>
      <c r="P53" s="1"/>
      <c r="AE53" s="48"/>
      <c r="AF53" s="54"/>
      <c r="BA53" s="2">
        <v>63</v>
      </c>
      <c r="BB53" s="5">
        <v>45157.416666666664</v>
      </c>
      <c r="BC53" s="4" t="s">
        <v>180</v>
      </c>
      <c r="BD53" s="23">
        <f>BM50</f>
      </c>
      <c r="BE53" s="8" t="s">
        <v>35</v>
      </c>
      <c r="BF53" s="23">
        <f>BM51</f>
      </c>
      <c r="BG53" s="7"/>
      <c r="BH53" s="103"/>
      <c r="BI53" s="105" t="s">
        <v>36</v>
      </c>
      <c r="BJ53" s="103"/>
      <c r="BK53" s="6" t="s">
        <v>62</v>
      </c>
      <c r="BL53" s="1"/>
      <c r="BM53" s="22">
        <f>IF(BJ53="","",IF(BJ53=BH53,"falsch!!! K.Remis",IF(BH53&gt;BJ53,BD53,BF53)))</f>
      </c>
      <c r="BN53" s="1" t="str">
        <f>BP50</f>
        <v>HF1</v>
      </c>
      <c r="BO53" s="1" t="str">
        <f>BP51</f>
        <v>HF2</v>
      </c>
      <c r="BS53" s="47"/>
      <c r="BT53" s="47"/>
      <c r="BU53" s="47"/>
      <c r="BV53" s="47"/>
      <c r="BW53" s="47"/>
      <c r="BX53" s="47"/>
      <c r="BY53" s="48"/>
      <c r="BZ53" s="47"/>
      <c r="CA53" s="47"/>
      <c r="CB53" s="47"/>
      <c r="CC53" s="47"/>
      <c r="CE53" s="71"/>
      <c r="CF53" s="96"/>
      <c r="CG53" s="47"/>
      <c r="CH53" s="47"/>
      <c r="CO53" s="1"/>
    </row>
    <row r="54" spans="16:93" ht="12.75">
      <c r="P54" s="1"/>
      <c r="Q54" s="1"/>
      <c r="R54" s="1"/>
      <c r="S54" s="47"/>
      <c r="T54" s="47"/>
      <c r="U54" s="47"/>
      <c r="V54" s="47"/>
      <c r="W54" s="47"/>
      <c r="AE54" s="47"/>
      <c r="AF54" s="96"/>
      <c r="AG54" s="47"/>
      <c r="AH54" s="47"/>
      <c r="AO54" s="47"/>
      <c r="BS54" s="47"/>
      <c r="BT54" s="47"/>
      <c r="BU54" s="47"/>
      <c r="BV54" s="47"/>
      <c r="BW54" s="47"/>
      <c r="BX54" s="47"/>
      <c r="BY54" s="48"/>
      <c r="BZ54" s="47"/>
      <c r="CA54" s="47"/>
      <c r="CB54" s="47"/>
      <c r="CC54" s="47"/>
      <c r="CE54" s="71"/>
      <c r="CF54" s="96"/>
      <c r="CG54" s="47"/>
      <c r="CH54" s="47"/>
      <c r="CO54" s="1"/>
    </row>
    <row r="55" spans="17:93" ht="12.75">
      <c r="Q55" s="1"/>
      <c r="R55" s="1"/>
      <c r="S55" s="47"/>
      <c r="T55" s="47"/>
      <c r="U55" s="47"/>
      <c r="V55" s="47"/>
      <c r="W55" s="47"/>
      <c r="AE55" s="47"/>
      <c r="AF55" s="96"/>
      <c r="AG55" s="47"/>
      <c r="AH55" s="47"/>
      <c r="AO55" s="47"/>
      <c r="BQ55" s="1"/>
      <c r="BR55" s="1"/>
      <c r="BS55" s="47"/>
      <c r="BT55" s="47"/>
      <c r="BU55" s="47"/>
      <c r="BV55" s="47"/>
      <c r="BW55" s="47"/>
      <c r="BX55" s="47"/>
      <c r="BY55" s="27"/>
      <c r="BZ55" s="27"/>
      <c r="CA55" s="27"/>
      <c r="CB55" s="27"/>
      <c r="CC55" s="27"/>
      <c r="CE55" s="27"/>
      <c r="CF55" s="27"/>
      <c r="CG55" s="27"/>
      <c r="CH55" s="27"/>
      <c r="CI55"/>
      <c r="CJ55"/>
      <c r="CK55"/>
      <c r="CL55"/>
      <c r="CM55"/>
      <c r="CN55"/>
      <c r="CO55"/>
    </row>
    <row r="56" spans="2:83" ht="13.5" thickBot="1">
      <c r="B56" s="124"/>
      <c r="C56" s="3"/>
      <c r="D56" s="3"/>
      <c r="E56" s="3"/>
      <c r="F56" s="3"/>
      <c r="AE56" s="42"/>
      <c r="BH56" s="2"/>
      <c r="BI56" s="2"/>
      <c r="BJ56" s="2"/>
      <c r="BK56" s="2"/>
      <c r="BM56" s="2"/>
      <c r="CE56" s="42"/>
    </row>
    <row r="57" spans="2:82" ht="14.25" thickBot="1" thickTop="1">
      <c r="B57" s="125" t="s">
        <v>62</v>
      </c>
      <c r="C57" s="1" t="s">
        <v>63</v>
      </c>
      <c r="D57" s="3"/>
      <c r="E57" s="3"/>
      <c r="F57" s="3"/>
      <c r="H57" s="107"/>
      <c r="AD57" s="48"/>
      <c r="BH57" s="2"/>
      <c r="BI57" s="2"/>
      <c r="BJ57" s="2"/>
      <c r="BK57" s="2"/>
      <c r="BM57" s="2"/>
      <c r="CD57" s="48"/>
    </row>
    <row r="58" ht="13.5" thickTop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9"/>
  <sheetViews>
    <sheetView zoomScalePageLayoutView="0" workbookViewId="0" topLeftCell="A16">
      <selection activeCell="H57" sqref="H57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02" customWidth="1"/>
    <col min="9" max="9" width="1.57421875" style="102" customWidth="1"/>
    <col min="10" max="10" width="3.57421875" style="102" customWidth="1"/>
    <col min="11" max="11" width="3.00390625" style="6" customWidth="1"/>
    <col min="12" max="12" width="2.00390625" style="2" customWidth="1"/>
    <col min="13" max="13" width="14.28125" style="39" customWidth="1"/>
    <col min="14" max="17" width="4.28125" style="2" customWidth="1"/>
    <col min="18" max="18" width="3.8515625" style="2" customWidth="1"/>
    <col min="19" max="22" width="2.00390625" style="42" hidden="1" customWidth="1"/>
    <col min="23" max="23" width="1.7109375" style="42" hidden="1" customWidth="1"/>
    <col min="24" max="24" width="3.00390625" style="42" hidden="1" customWidth="1"/>
    <col min="25" max="25" width="14.28125" style="42" hidden="1" customWidth="1"/>
    <col min="26" max="26" width="2.28125" style="42" hidden="1" customWidth="1"/>
    <col min="27" max="27" width="3.28125" style="42" hidden="1" customWidth="1"/>
    <col min="28" max="28" width="3.00390625" style="42" hidden="1" customWidth="1"/>
    <col min="29" max="29" width="4.421875" style="42" hidden="1" customWidth="1"/>
    <col min="30" max="30" width="19.28125" style="42" hidden="1" customWidth="1"/>
    <col min="31" max="31" width="3.140625" style="54" hidden="1" customWidth="1"/>
    <col min="32" max="32" width="3.57421875" style="42" hidden="1" customWidth="1"/>
    <col min="33" max="36" width="2.8515625" style="42" hidden="1" customWidth="1"/>
    <col min="37" max="37" width="3.140625" style="42" hidden="1" customWidth="1"/>
    <col min="38" max="38" width="6.421875" style="42" hidden="1" customWidth="1"/>
    <col min="39" max="42" width="2.8515625" style="42" hidden="1" customWidth="1"/>
    <col min="43" max="43" width="7.7109375" style="42" hidden="1" customWidth="1"/>
    <col min="44" max="47" width="3.00390625" style="42" hidden="1" customWidth="1"/>
    <col min="48" max="48" width="3.140625" style="42" hidden="1" customWidth="1"/>
    <col min="49" max="49" width="11.421875" style="42" hidden="1" customWidth="1"/>
    <col min="50" max="52" width="11.421875" style="2" hidden="1" customWidth="1"/>
    <col min="53" max="53" width="3.57421875" style="2" customWidth="1"/>
    <col min="54" max="54" width="15.28125" style="2" customWidth="1"/>
    <col min="55" max="55" width="15.421875" style="2" customWidth="1"/>
    <col min="56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02" customWidth="1"/>
    <col min="61" max="61" width="1.57421875" style="102" customWidth="1"/>
    <col min="62" max="62" width="3.57421875" style="102" customWidth="1"/>
    <col min="63" max="63" width="3.00390625" style="6" customWidth="1"/>
    <col min="64" max="64" width="2.00390625" style="2" customWidth="1"/>
    <col min="65" max="65" width="14.28125" style="39" customWidth="1"/>
    <col min="66" max="69" width="4.28125" style="2" customWidth="1"/>
    <col min="70" max="70" width="3.8515625" style="2" customWidth="1"/>
    <col min="71" max="74" width="2.00390625" style="42" customWidth="1"/>
    <col min="75" max="75" width="1.7109375" style="42" customWidth="1"/>
    <col min="76" max="76" width="3.00390625" style="42" customWidth="1"/>
    <col min="77" max="77" width="14.28125" style="42" customWidth="1"/>
    <col min="78" max="78" width="2.28125" style="42" customWidth="1"/>
    <col min="79" max="79" width="3.28125" style="42" customWidth="1"/>
    <col min="80" max="80" width="3.00390625" style="42" customWidth="1"/>
    <col min="81" max="81" width="4.421875" style="42" customWidth="1"/>
    <col min="82" max="82" width="19.28125" style="42" customWidth="1"/>
    <col min="83" max="83" width="3.140625" style="54" customWidth="1"/>
    <col min="84" max="84" width="3.57421875" style="42" customWidth="1"/>
    <col min="85" max="86" width="2.8515625" style="42" customWidth="1"/>
    <col min="87" max="88" width="2.8515625" style="2" customWidth="1"/>
    <col min="89" max="89" width="3.140625" style="2" customWidth="1"/>
    <col min="90" max="90" width="6.421875" style="2" customWidth="1"/>
    <col min="91" max="94" width="2.8515625" style="2" customWidth="1"/>
    <col min="95" max="95" width="7.7109375" style="2" customWidth="1"/>
    <col min="96" max="99" width="3.00390625" style="2" customWidth="1"/>
    <col min="100" max="100" width="3.140625" style="2" customWidth="1"/>
    <col min="101" max="104" width="11.421875" style="2" customWidth="1"/>
    <col min="105" max="16384" width="11.421875" style="2" customWidth="1"/>
  </cols>
  <sheetData>
    <row r="1" spans="1:101" s="10" customFormat="1" ht="14.25" thickBot="1" thickTop="1">
      <c r="A1" s="10" t="s">
        <v>64</v>
      </c>
      <c r="B1" s="40" t="s">
        <v>23</v>
      </c>
      <c r="C1" s="41" t="s">
        <v>24</v>
      </c>
      <c r="D1" s="7"/>
      <c r="E1" s="9"/>
      <c r="F1" s="7"/>
      <c r="G1" s="86"/>
      <c r="H1" s="101"/>
      <c r="I1" s="92"/>
      <c r="J1" s="104"/>
      <c r="K1" s="93"/>
      <c r="L1" s="7"/>
      <c r="M1" s="31" t="s">
        <v>26</v>
      </c>
      <c r="N1" s="7" t="s">
        <v>27</v>
      </c>
      <c r="O1" s="7" t="s">
        <v>28</v>
      </c>
      <c r="P1" s="7" t="s">
        <v>29</v>
      </c>
      <c r="Q1" s="7" t="s">
        <v>30</v>
      </c>
      <c r="R1" s="7"/>
      <c r="S1" s="42"/>
      <c r="T1" s="42"/>
      <c r="U1" s="42"/>
      <c r="V1" s="42"/>
      <c r="W1" s="35"/>
      <c r="X1" s="35" t="s">
        <v>31</v>
      </c>
      <c r="Y1" s="43" t="s">
        <v>32</v>
      </c>
      <c r="Z1" s="35" t="s">
        <v>27</v>
      </c>
      <c r="AA1" s="35" t="s">
        <v>28</v>
      </c>
      <c r="AB1" s="35" t="s">
        <v>29</v>
      </c>
      <c r="AC1" s="35" t="s">
        <v>30</v>
      </c>
      <c r="AD1" s="35"/>
      <c r="AE1" s="92" t="s">
        <v>65</v>
      </c>
      <c r="AF1" s="50" t="s">
        <v>66</v>
      </c>
      <c r="AG1" s="50"/>
      <c r="AH1" s="50"/>
      <c r="AI1" s="50"/>
      <c r="AJ1" s="50" t="s">
        <v>67</v>
      </c>
      <c r="AK1" s="43" t="s">
        <v>68</v>
      </c>
      <c r="AL1" s="50" t="s">
        <v>69</v>
      </c>
      <c r="AM1" s="50"/>
      <c r="AN1" s="50"/>
      <c r="AO1" s="50"/>
      <c r="AP1" s="50" t="s">
        <v>70</v>
      </c>
      <c r="AQ1" s="50" t="s">
        <v>71</v>
      </c>
      <c r="AR1" s="50"/>
      <c r="AS1" s="50"/>
      <c r="AT1" s="50"/>
      <c r="AU1" s="38" t="s">
        <v>72</v>
      </c>
      <c r="AV1" s="43" t="s">
        <v>73</v>
      </c>
      <c r="AW1" s="87"/>
      <c r="BB1" s="18" t="s">
        <v>23</v>
      </c>
      <c r="BC1" s="19" t="s">
        <v>74</v>
      </c>
      <c r="BD1" s="35" t="s">
        <v>25</v>
      </c>
      <c r="BE1" s="36"/>
      <c r="BF1" s="35"/>
      <c r="BG1" s="111"/>
      <c r="BH1" s="101"/>
      <c r="BI1" s="92"/>
      <c r="BJ1" s="104"/>
      <c r="BK1" s="93"/>
      <c r="BL1" s="7"/>
      <c r="BM1" s="31" t="s">
        <v>26</v>
      </c>
      <c r="BN1" s="7" t="s">
        <v>27</v>
      </c>
      <c r="BO1" s="7" t="s">
        <v>28</v>
      </c>
      <c r="BP1" s="7" t="s">
        <v>29</v>
      </c>
      <c r="BQ1" s="7" t="s">
        <v>30</v>
      </c>
      <c r="BR1" s="7"/>
      <c r="BS1" s="42"/>
      <c r="BT1" s="42"/>
      <c r="BU1" s="42"/>
      <c r="BV1" s="42"/>
      <c r="BW1" s="35"/>
      <c r="BX1" s="35" t="s">
        <v>31</v>
      </c>
      <c r="BY1" s="43" t="s">
        <v>32</v>
      </c>
      <c r="BZ1" s="35" t="s">
        <v>27</v>
      </c>
      <c r="CA1" s="35" t="s">
        <v>28</v>
      </c>
      <c r="CB1" s="35" t="s">
        <v>29</v>
      </c>
      <c r="CC1" s="35" t="s">
        <v>30</v>
      </c>
      <c r="CD1" s="35"/>
      <c r="CE1" s="92" t="s">
        <v>65</v>
      </c>
      <c r="CF1" s="50" t="s">
        <v>66</v>
      </c>
      <c r="CG1" s="50"/>
      <c r="CH1" s="50"/>
      <c r="CI1" s="11"/>
      <c r="CJ1" s="11" t="s">
        <v>67</v>
      </c>
      <c r="CK1" s="8" t="s">
        <v>68</v>
      </c>
      <c r="CL1" s="11" t="s">
        <v>69</v>
      </c>
      <c r="CM1" s="11"/>
      <c r="CN1" s="11"/>
      <c r="CO1" s="11"/>
      <c r="CP1" s="11" t="s">
        <v>70</v>
      </c>
      <c r="CQ1" s="11" t="s">
        <v>71</v>
      </c>
      <c r="CR1" s="11"/>
      <c r="CS1" s="11"/>
      <c r="CT1" s="11"/>
      <c r="CU1" s="13" t="s">
        <v>72</v>
      </c>
      <c r="CV1" s="8" t="s">
        <v>73</v>
      </c>
      <c r="CW1" s="44"/>
    </row>
    <row r="2" spans="2:101" ht="13.5" thickTop="1">
      <c r="B2" s="3" t="s">
        <v>33</v>
      </c>
      <c r="C2" s="3" t="s">
        <v>34</v>
      </c>
      <c r="L2" s="1"/>
      <c r="M2" s="39" t="str">
        <f>VLOOKUP(1,$X$2:$AC$5,2,FALSE)</f>
        <v>Norwegen</v>
      </c>
      <c r="N2" s="2">
        <f>VLOOKUP(1,$X$2:$AC$5,3,FALSE)</f>
        <v>9</v>
      </c>
      <c r="O2" s="2">
        <f>VLOOKUP(1,$X$2:$AC$5,4,FALSE)</f>
        <v>9</v>
      </c>
      <c r="P2" s="2">
        <f>VLOOKUP(1,$X$2:$AC$5,5,FALSE)</f>
        <v>3</v>
      </c>
      <c r="Q2" s="2">
        <f>VLOOKUP(1,$X$2:$AC$5,6,FALSE)</f>
        <v>6</v>
      </c>
      <c r="S2" s="45"/>
      <c r="T2" s="46">
        <f>IF(H3="",0,IF(K3=$B$57,IF(H3&gt;J3,3,IF(H3=J3,1,0)),0))</f>
        <v>0</v>
      </c>
      <c r="U2" s="46">
        <f>IF(H5="",0,IF(K5=$B$57,IF(H5&gt;J5,3,IF(H5=J5,1,0)),0))</f>
        <v>3</v>
      </c>
      <c r="V2" s="46">
        <f>IF(J7="",0,IF(K7=$B$57,IF(H7&lt;J7,3,IF(H7=J7,1,0)),0))</f>
        <v>1</v>
      </c>
      <c r="W2" s="47"/>
      <c r="X2" s="112">
        <f>RANK(AD2,AD2:AD5)+COUNTIF(AD2:AD2,AD2)-1</f>
        <v>2</v>
      </c>
      <c r="Y2" s="48" t="s">
        <v>161</v>
      </c>
      <c r="Z2" s="47">
        <f>SUM(S2:V2)</f>
        <v>4</v>
      </c>
      <c r="AA2" s="47">
        <f>SUM(S6:V6)</f>
        <v>4</v>
      </c>
      <c r="AB2" s="47">
        <f>SUM(S6:S9)</f>
        <v>3</v>
      </c>
      <c r="AC2" s="47">
        <f>AA2-AB2</f>
        <v>1</v>
      </c>
      <c r="AD2" s="49">
        <f>IF(P$8="",(((((((AE2*10+Z2)*100+AC2)*100+AA2)*10+AK2)*10+AJ2)*100+AP2)*100+AU2)*10+AV2,(((((((AE2*10+Z2)*10+AK2)*10+AJ2)*100+AP2)*100+AU2)*100+AC2)*100+AA2)*10+AV2)</f>
        <v>400000101040</v>
      </c>
      <c r="AE2" s="94"/>
      <c r="AF2" s="113"/>
      <c r="AG2" s="113">
        <f>IF($Z2=$Z3,$T2-$S3,0)</f>
        <v>0</v>
      </c>
      <c r="AH2" s="113">
        <f>IF($Z2=$Z4,$U2-$S4,0)</f>
        <v>0</v>
      </c>
      <c r="AI2" s="113">
        <f>IF($Z2=$Z5,$V2-$S5,0)</f>
        <v>0</v>
      </c>
      <c r="AJ2" s="113">
        <f>SUM(AF2:AI2)</f>
        <v>0</v>
      </c>
      <c r="AK2" s="94"/>
      <c r="AL2" s="113"/>
      <c r="AM2" s="113">
        <f>IF($Z2=$Z3,$T6-$S7,0)</f>
        <v>0</v>
      </c>
      <c r="AN2" s="113">
        <f>IF($Z2=$Z4,$U6-$S8,0)</f>
        <v>0</v>
      </c>
      <c r="AO2" s="113">
        <f>IF($Z2=$Z5,$V6-$S9,0)</f>
        <v>0</v>
      </c>
      <c r="AP2" s="113">
        <f>SUM(AL2:AO2)</f>
        <v>0</v>
      </c>
      <c r="AQ2" s="113"/>
      <c r="AR2" s="113">
        <f>IF($Z2=$Z3,$T6,0)</f>
        <v>0</v>
      </c>
      <c r="AS2" s="113">
        <f>IF($Z2=$Z4,$U6,0)</f>
        <v>0</v>
      </c>
      <c r="AT2" s="113">
        <f>IF($Z2=$Z5,$V6,0)</f>
        <v>1</v>
      </c>
      <c r="AU2" s="113">
        <f>SUM(AQ2:AT2)</f>
        <v>1</v>
      </c>
      <c r="AV2" s="114">
        <f>IF(AND(COUNTIF(K3:K8,$B$57)=COUNTA(H3:H8),COUNTIF(K3:K8,$B$57)=COUNTA(J3:J8)),IF(AU2=AU3,T6-S7,IF(AU2=AU4,U6-S8,IF(AU2=AU5,V6-S9,4))),4)</f>
        <v>0</v>
      </c>
      <c r="AW2" s="88"/>
      <c r="BB2" s="3" t="s">
        <v>33</v>
      </c>
      <c r="BC2" s="3" t="s">
        <v>34</v>
      </c>
      <c r="BD2" s="42"/>
      <c r="BE2" s="42"/>
      <c r="BF2" s="42"/>
      <c r="BG2" s="42"/>
      <c r="BL2" s="1"/>
      <c r="BM2" s="39" t="str">
        <f>VLOOKUP(1,$BX$2:$CC$5,2,FALSE)</f>
        <v>USA</v>
      </c>
      <c r="BN2" s="2">
        <f>VLOOKUP(1,$BX$2:$CC$5,3,FALSE)</f>
        <v>7</v>
      </c>
      <c r="BO2" s="2">
        <f>VLOOKUP(1,$BX$2:$CC$5,4,FALSE)</f>
        <v>8</v>
      </c>
      <c r="BP2" s="2">
        <f>VLOOKUP(1,$BX$2:$CC$5,5,FALSE)</f>
        <v>3</v>
      </c>
      <c r="BQ2" s="2">
        <f>VLOOKUP(1,$BX$2:$CC$5,6,FALSE)</f>
        <v>5</v>
      </c>
      <c r="BS2" s="45"/>
      <c r="BT2" s="46">
        <f>IF(BH3="",0,IF(BK3=$B$57,IF(BH3&gt;BJ3,3,IF(BH3=BJ3,1,0)),0))</f>
        <v>3</v>
      </c>
      <c r="BU2" s="46">
        <f>IF(BH5="",0,IF(BK5=$B$57,IF(BH5&gt;BJ5,3,IF(BH5=BJ5,1,0)),0))</f>
        <v>1</v>
      </c>
      <c r="BV2" s="46">
        <f>IF(BJ7="",0,IF(BK7=$B$57,IF(BH7&lt;BJ7,3,IF(BH7=BJ7,1,0)),0))</f>
        <v>3</v>
      </c>
      <c r="BW2" s="47"/>
      <c r="BX2" s="112">
        <f>RANK(CD2,CD2:CD5)+COUNTIF(CD2:CD2,CD2)-1</f>
        <v>1</v>
      </c>
      <c r="BY2" s="48" t="s">
        <v>162</v>
      </c>
      <c r="BZ2" s="47">
        <f>SUM(BS2:BV2)</f>
        <v>7</v>
      </c>
      <c r="CA2" s="47">
        <f>SUM(BS6:BV6)</f>
        <v>8</v>
      </c>
      <c r="CB2" s="47">
        <f>SUM(BS6:BS9)</f>
        <v>3</v>
      </c>
      <c r="CC2" s="47">
        <f>CA2-CB2</f>
        <v>5</v>
      </c>
      <c r="CD2" s="49">
        <f>IF(BP$8="",(((((((CE2*10+BZ2)*100+CC2)*100+CA2)*10+CK2)*10+CJ2)*100+CP2)*100+CU2)*10+CV2,(((((((CE2*10+BZ2)*10+CK2)*10+CJ2)*100+CP2)*100+CU2)*100+CC2)*100+CA2)*10+CV2)</f>
        <v>700000105080</v>
      </c>
      <c r="CE2" s="94"/>
      <c r="CF2" s="113"/>
      <c r="CG2" s="113">
        <f>IF($BZ2=$BZ3,$BT2-$BS3,0)</f>
        <v>0</v>
      </c>
      <c r="CH2" s="113">
        <f>IF($BZ2=$BZ4,$BU2-$BS4,0)</f>
        <v>0</v>
      </c>
      <c r="CI2" s="115">
        <f>IF($BZ2=$BZ5,$BV2-$BS5,0)</f>
        <v>0</v>
      </c>
      <c r="CJ2" s="115">
        <f>SUM(CF2:CI2)</f>
        <v>0</v>
      </c>
      <c r="CK2" s="95"/>
      <c r="CL2" s="115"/>
      <c r="CM2" s="115">
        <f>IF($BZ2=$BZ3,$BT6-$BS7,0)</f>
        <v>0</v>
      </c>
      <c r="CN2" s="115">
        <f>IF($BZ2=$BZ4,$BU6-$BS8,0)</f>
        <v>0</v>
      </c>
      <c r="CO2" s="115">
        <f>IF($BZ2=$BZ5,$BV6-$BS9,0)</f>
        <v>0</v>
      </c>
      <c r="CP2" s="115">
        <f>SUM(CL2:CO2)</f>
        <v>0</v>
      </c>
      <c r="CQ2" s="115"/>
      <c r="CR2" s="115">
        <f>IF($BZ2=$BZ3,$BT6,0)</f>
        <v>0</v>
      </c>
      <c r="CS2" s="115">
        <f>IF($BZ2=$BZ4,$BU6,0)</f>
        <v>1</v>
      </c>
      <c r="CT2" s="115">
        <f>IF($BZ2=$BZ5,$BV6,0)</f>
        <v>0</v>
      </c>
      <c r="CU2" s="115">
        <f>SUM(CQ2:CT2)</f>
        <v>1</v>
      </c>
      <c r="CV2" s="114">
        <f>IF(AND(COUNTIF(BK3:BK8,$B$57)=COUNTA(BH3:BH8),COUNTIF(BK3:BK8,$B$57)=COUNTA(BJ3:BJ8)),IF(CU2=CU3,BT6-BS7,IF(CU2=CU4,BU6-BS8,IF(CU2=CU5,BV6-BS9,4))),4)</f>
        <v>0</v>
      </c>
      <c r="CW2" s="49"/>
    </row>
    <row r="3" spans="1:101" ht="12.75">
      <c r="A3" s="2">
        <v>1</v>
      </c>
      <c r="B3" s="5">
        <v>45127.375</v>
      </c>
      <c r="C3" s="4" t="s">
        <v>163</v>
      </c>
      <c r="D3" s="43" t="str">
        <f>Y2</f>
        <v>Neuseeland</v>
      </c>
      <c r="E3" s="50" t="s">
        <v>35</v>
      </c>
      <c r="F3" s="43" t="str">
        <f>Y3</f>
        <v>Norwegen</v>
      </c>
      <c r="G3" s="35"/>
      <c r="H3" s="103">
        <v>1</v>
      </c>
      <c r="I3" s="105" t="s">
        <v>36</v>
      </c>
      <c r="J3" s="103">
        <v>2</v>
      </c>
      <c r="K3" s="6" t="s">
        <v>62</v>
      </c>
      <c r="L3" s="1"/>
      <c r="M3" s="39" t="str">
        <f>VLOOKUP(2,$X$2:$AC$5,2,FALSE)</f>
        <v>Neuseeland</v>
      </c>
      <c r="N3" s="2">
        <f>VLOOKUP(2,$X$2:$AC$5,3,FALSE)</f>
        <v>4</v>
      </c>
      <c r="O3" s="2">
        <f>VLOOKUP(2,$X$2:$AC$5,4,FALSE)</f>
        <v>4</v>
      </c>
      <c r="P3" s="2">
        <f>VLOOKUP(2,$X$2:$AC$5,5,FALSE)</f>
        <v>3</v>
      </c>
      <c r="Q3" s="2">
        <f>VLOOKUP(2,$X$2:$AC$5,6,FALSE)</f>
        <v>1</v>
      </c>
      <c r="S3" s="46">
        <f>IF(J3="",0,IF(K3=$B$57,IF(H3&lt;J3,3,IF(H3=J3,1,0)),0))</f>
        <v>3</v>
      </c>
      <c r="T3" s="45"/>
      <c r="U3" s="46">
        <f>IF(H8="",0,IF(K8=$B$57,IF(H8&gt;J8,3,IF(H8=J8,1,0)),0))</f>
        <v>3</v>
      </c>
      <c r="V3" s="46">
        <f>IF(H6="",0,IF(K6=$B$57,IF(H6&gt;J6,3,IF(H6=J6,1,0)),0))</f>
        <v>3</v>
      </c>
      <c r="W3" s="47"/>
      <c r="X3" s="112">
        <f>RANK(AD3,AD2:AD5)+COUNTIF(AD2:AD3,AD3)-1</f>
        <v>1</v>
      </c>
      <c r="Y3" s="48" t="s">
        <v>164</v>
      </c>
      <c r="Z3" s="47">
        <f>SUM(S3:V3)</f>
        <v>9</v>
      </c>
      <c r="AA3" s="47">
        <f>SUM(S7:V7)</f>
        <v>9</v>
      </c>
      <c r="AB3" s="47">
        <f>SUM(T6:T9)</f>
        <v>3</v>
      </c>
      <c r="AC3" s="47">
        <f>AA3-AB3</f>
        <v>6</v>
      </c>
      <c r="AD3" s="49">
        <f>IF(P$8="",(((((((AE3*10+Z3)*100+AC3)*100+AA3)*10+AK3)*10+AJ3)*100+AP3)*100+AU3)*10+AV3,(((((((AE3*10+Z3)*10+AK3)*10+AJ3)*100+AP3)*100+AU3)*100+AC3)*100+AA3)*10+AV3)</f>
        <v>900000006093</v>
      </c>
      <c r="AE3" s="94"/>
      <c r="AF3" s="113">
        <f>IF($Z3=$Z2,$S3-$T2,0)</f>
        <v>0</v>
      </c>
      <c r="AG3" s="113"/>
      <c r="AH3" s="113">
        <f>IF($Z3=$Z4,$U3-$T4,0)</f>
        <v>0</v>
      </c>
      <c r="AI3" s="113">
        <f>IF($Z3=$Z5,$V3-$T5,0)</f>
        <v>0</v>
      </c>
      <c r="AJ3" s="113">
        <f>SUM(AF3:AI3)</f>
        <v>0</v>
      </c>
      <c r="AK3" s="94"/>
      <c r="AL3" s="113">
        <f>IF($Z3=$Z2,$S7-$T6,0)</f>
        <v>0</v>
      </c>
      <c r="AM3" s="113"/>
      <c r="AN3" s="113">
        <f>IF($Z3=$Z4,$U7-$T8,0)</f>
        <v>0</v>
      </c>
      <c r="AO3" s="113">
        <f>IF($Z3=$Z5,$V7-$T9,0)</f>
        <v>0</v>
      </c>
      <c r="AP3" s="113">
        <f>SUM(AL3:AO3)</f>
        <v>0</v>
      </c>
      <c r="AQ3" s="113">
        <f>IF($Z3=$Z2,$S7,0)</f>
        <v>0</v>
      </c>
      <c r="AR3" s="113"/>
      <c r="AS3" s="113">
        <f>IF($Z3=$Z4,$U7,0)</f>
        <v>0</v>
      </c>
      <c r="AT3" s="113">
        <f>IF($Z3=$Z5,$V7,0)</f>
        <v>0</v>
      </c>
      <c r="AU3" s="113">
        <f>SUM(AQ3:AT3)</f>
        <v>0</v>
      </c>
      <c r="AV3" s="114">
        <f>IF(AND(COUNTIF(K3:K8,$B$57)=COUNTA(H3:H8),COUNTIF(K3:K8,$B$57)=COUNTA(J3:J8)),IF(AU3=AU2,S7-T6,IF(AU3=AU4,U7-T8,IF(AU3=AU5,V7-T9,3))),3)</f>
        <v>3</v>
      </c>
      <c r="AW3" s="88"/>
      <c r="BA3" s="2">
        <v>9</v>
      </c>
      <c r="BB3" s="5">
        <v>45129.125</v>
      </c>
      <c r="BC3" s="4" t="s">
        <v>163</v>
      </c>
      <c r="BD3" s="43" t="str">
        <f>BY2</f>
        <v>USA</v>
      </c>
      <c r="BE3" s="50" t="s">
        <v>35</v>
      </c>
      <c r="BF3" s="43" t="str">
        <f>BY3</f>
        <v>Vietnam</v>
      </c>
      <c r="BG3" s="35"/>
      <c r="BH3" s="103">
        <v>4</v>
      </c>
      <c r="BI3" s="105" t="s">
        <v>36</v>
      </c>
      <c r="BJ3" s="103">
        <v>1</v>
      </c>
      <c r="BK3" s="6" t="s">
        <v>62</v>
      </c>
      <c r="BL3" s="1"/>
      <c r="BM3" s="39" t="str">
        <f>VLOOKUP(2,$BX$2:$CC$5,2,FALSE)</f>
        <v>Niederlande</v>
      </c>
      <c r="BN3" s="2">
        <f>VLOOKUP(2,$BX$2:$CC$5,3,FALSE)</f>
        <v>7</v>
      </c>
      <c r="BO3" s="2">
        <f>VLOOKUP(2,$BX$2:$CC$5,4,FALSE)</f>
        <v>6</v>
      </c>
      <c r="BP3" s="2">
        <f>VLOOKUP(2,$BX$2:$CC$5,5,FALSE)</f>
        <v>2</v>
      </c>
      <c r="BQ3" s="2">
        <f>VLOOKUP(2,$BX$2:$CC$5,6,FALSE)</f>
        <v>4</v>
      </c>
      <c r="BS3" s="46">
        <f>IF(BJ3="",0,IF(BK3=$B$57,IF(BH3&lt;BJ3,3,IF(BH3=BJ3,1,0)),0))</f>
        <v>0</v>
      </c>
      <c r="BT3" s="45"/>
      <c r="BU3" s="46">
        <f>IF(BH8="",0,IF(BK8=$B$57,IF(BH8&gt;BJ8,3,IF(BH8=BJ8,1,0)),0))</f>
        <v>0</v>
      </c>
      <c r="BV3" s="46">
        <f>IF(BH6="",0,IF(BK6=$B$57,IF(BH6&gt;BJ6,3,IF(BH6=BJ6,1,0)),0))</f>
        <v>0</v>
      </c>
      <c r="BW3" s="47"/>
      <c r="BX3" s="112">
        <f>RANK(CD3,CD2:CD5)+COUNTIF(CD2:CD3,CD3)-1</f>
        <v>4</v>
      </c>
      <c r="BY3" s="48" t="s">
        <v>165</v>
      </c>
      <c r="BZ3" s="47">
        <f>SUM(BS3:BV3)</f>
        <v>0</v>
      </c>
      <c r="CA3" s="47">
        <f>SUM(BS7:BV7)</f>
        <v>1</v>
      </c>
      <c r="CB3" s="47">
        <f>SUM(BT6:BT9)</f>
        <v>10</v>
      </c>
      <c r="CC3" s="47">
        <f>CA3-CB3</f>
        <v>-9</v>
      </c>
      <c r="CD3" s="49">
        <f>IF(BP$8="",(((((((CE3*10+BZ3)*100+CC3)*100+CA3)*10+CK3)*10+CJ3)*100+CP3)*100+CU3)*10+CV3,(((((((CE3*10+BZ3)*10+CK3)*10+CJ3)*100+CP3)*100+CU3)*100+CC3)*100+CA3)*10+CV3)</f>
        <v>-8993</v>
      </c>
      <c r="CE3" s="94"/>
      <c r="CF3" s="113">
        <f>IF($BZ3=$BZ2,$BS3-$BT2,0)</f>
        <v>0</v>
      </c>
      <c r="CG3" s="113"/>
      <c r="CH3" s="113">
        <f>IF($BZ3=$BZ4,$BU3-$BT4,0)</f>
        <v>0</v>
      </c>
      <c r="CI3" s="115">
        <f>IF($BZ3=$BZ5,$BV3-$BT5,0)</f>
        <v>0</v>
      </c>
      <c r="CJ3" s="115">
        <f>SUM(CF3:CI3)</f>
        <v>0</v>
      </c>
      <c r="CK3" s="95"/>
      <c r="CL3" s="115">
        <f>IF($BZ3=$BZ2,$BS7-$BT6,0)</f>
        <v>0</v>
      </c>
      <c r="CM3" s="115"/>
      <c r="CN3" s="115">
        <f>IF($BZ3=$BZ4,$BU7-$BT8,0)</f>
        <v>0</v>
      </c>
      <c r="CO3" s="115">
        <f>IF($BZ3=$BZ5,$BV7-$BT9,0)</f>
        <v>0</v>
      </c>
      <c r="CP3" s="115">
        <f>SUM(CL3:CO3)</f>
        <v>0</v>
      </c>
      <c r="CQ3" s="115">
        <f>IF($BZ3=$BZ2,$BS7,0)</f>
        <v>0</v>
      </c>
      <c r="CR3" s="115"/>
      <c r="CS3" s="115">
        <f>IF($BZ3=$BZ4,$BU7,0)</f>
        <v>0</v>
      </c>
      <c r="CT3" s="115">
        <f>IF($BZ3=$BZ5,$BV7,0)</f>
        <v>0</v>
      </c>
      <c r="CU3" s="115">
        <f>SUM(CQ3:CT3)</f>
        <v>0</v>
      </c>
      <c r="CV3" s="114">
        <f>IF(AND(COUNTIF(BK3:BK8,$B$57)=COUNTA(BH3:BH8),COUNTIF(BK3:BK8,$B$57)=COUNTA(BJ3:BJ8)),IF(CU3=CU2,BS7-BT6,IF(CU3=CU4,BU7-BT8,IF(CU3=CU5,BV7-BT9,3))),3)</f>
        <v>-3</v>
      </c>
      <c r="CW3" s="49"/>
    </row>
    <row r="4" spans="1:101" ht="12.75">
      <c r="A4" s="2">
        <v>2</v>
      </c>
      <c r="B4" s="5">
        <v>45128.291666666664</v>
      </c>
      <c r="C4" s="4" t="s">
        <v>166</v>
      </c>
      <c r="D4" s="43" t="str">
        <f>Y4</f>
        <v>Philippinen</v>
      </c>
      <c r="E4" s="50" t="s">
        <v>35</v>
      </c>
      <c r="F4" s="43" t="str">
        <f>Y5</f>
        <v>Schweiz</v>
      </c>
      <c r="G4" s="35"/>
      <c r="H4" s="103">
        <v>0</v>
      </c>
      <c r="I4" s="105" t="s">
        <v>36</v>
      </c>
      <c r="J4" s="103">
        <v>2</v>
      </c>
      <c r="K4" s="6" t="s">
        <v>62</v>
      </c>
      <c r="L4" s="1"/>
      <c r="M4" s="39" t="str">
        <f>VLOOKUP(3,$X$2:$AC$5,2,FALSE)</f>
        <v>Schweiz</v>
      </c>
      <c r="N4" s="2">
        <f>VLOOKUP(3,$X$2:$AC$5,3,FALSE)</f>
        <v>4</v>
      </c>
      <c r="O4" s="2">
        <f>VLOOKUP(3,$X$2:$AC$5,4,FALSE)</f>
        <v>4</v>
      </c>
      <c r="P4" s="2">
        <f>VLOOKUP(3,$X$2:$AC$5,5,FALSE)</f>
        <v>4</v>
      </c>
      <c r="Q4" s="2">
        <f>VLOOKUP(3,$X$2:$AC$5,6,FALSE)</f>
        <v>0</v>
      </c>
      <c r="S4" s="46">
        <f>IF(J5="",0,IF(K5=$B$57,IF(H5&lt;J5,3,IF(H5=J5,1,0)),0))</f>
        <v>0</v>
      </c>
      <c r="T4" s="46">
        <f>IF(J8="",0,IF(K8=$B$57,IF(H8&lt;J8,3,IF(H8=J8,1,0)),0))</f>
        <v>0</v>
      </c>
      <c r="U4" s="45"/>
      <c r="V4" s="46">
        <f>IF(H4="",0,IF(K4=$B$57,IF(H4&gt;J4,3,IF(H4=J4,1,0)),0))</f>
        <v>0</v>
      </c>
      <c r="W4" s="47"/>
      <c r="X4" s="112">
        <f>RANK(AD4,AD2:AD5)+COUNTIF(AD2:AD4,AD4)-1</f>
        <v>4</v>
      </c>
      <c r="Y4" s="48" t="s">
        <v>167</v>
      </c>
      <c r="Z4" s="47">
        <f>SUM(S4:V4)</f>
        <v>0</v>
      </c>
      <c r="AA4" s="47">
        <f>SUM(S8:V8)</f>
        <v>1</v>
      </c>
      <c r="AB4" s="47">
        <f>SUM(U6:U9)</f>
        <v>8</v>
      </c>
      <c r="AC4" s="47">
        <f>AA4-AB4</f>
        <v>-7</v>
      </c>
      <c r="AD4" s="49">
        <f>IF(P$8="",(((((((AE4*10+Z4)*100+AC4)*100+AA4)*10+AK4)*10+AJ4)*100+AP4)*100+AU4)*10+AV4,(((((((AE4*10+Z4)*10+AK4)*10+AJ4)*100+AP4)*100+AU4)*100+AC4)*100+AA4)*10+AV4)</f>
        <v>-6993</v>
      </c>
      <c r="AE4" s="94"/>
      <c r="AF4" s="113">
        <f>IF($Z4=$Z2,$S4-$U2,0)</f>
        <v>0</v>
      </c>
      <c r="AG4" s="113">
        <f>IF($Z4=$Z3,$T4-$U3,0)</f>
        <v>0</v>
      </c>
      <c r="AH4" s="113"/>
      <c r="AI4" s="113">
        <f>IF($Z4=$Z5,$V4-$U5,0)</f>
        <v>0</v>
      </c>
      <c r="AJ4" s="113">
        <f>SUM(AF4:AI4)</f>
        <v>0</v>
      </c>
      <c r="AK4" s="94"/>
      <c r="AL4" s="113">
        <f>IF($Z4=$Z2,$S8-$U6,0)</f>
        <v>0</v>
      </c>
      <c r="AM4" s="113">
        <f>IF($Z4=$Z3,$T8-$U7,0)</f>
        <v>0</v>
      </c>
      <c r="AN4" s="113"/>
      <c r="AO4" s="113">
        <f>IF($Z4=$Z5,$V8-$U9,0)</f>
        <v>0</v>
      </c>
      <c r="AP4" s="113">
        <f>SUM(AL4:AO4)</f>
        <v>0</v>
      </c>
      <c r="AQ4" s="113">
        <f>IF($Z4=$Z2,$S8,0)</f>
        <v>0</v>
      </c>
      <c r="AR4" s="113">
        <f>IF($Z4=$Z3,$T8,0)</f>
        <v>0</v>
      </c>
      <c r="AS4" s="113"/>
      <c r="AT4" s="113">
        <f>IF($Z4=$Z5,$V8,0)</f>
        <v>0</v>
      </c>
      <c r="AU4" s="113">
        <f>SUM(AQ4:AT4)</f>
        <v>0</v>
      </c>
      <c r="AV4" s="114">
        <f>IF(AND(COUNTIF(K3:K8,$B$57)=COUNTA(H3:H8),COUNTIF(K3:K8,$B$57)=COUNTA(J3:J8)),IF(AU4=AU2,S8-U6,IF(AU4=AU3,T8-U7,IF(AU4=AU5,V8-U9,2))),2)</f>
        <v>-3</v>
      </c>
      <c r="AW4" s="88"/>
      <c r="BA4" s="2">
        <v>10</v>
      </c>
      <c r="BB4" s="5">
        <v>45130.395833333336</v>
      </c>
      <c r="BC4" s="4" t="s">
        <v>166</v>
      </c>
      <c r="BD4" s="43" t="str">
        <f>BY4</f>
        <v>Niederlande</v>
      </c>
      <c r="BE4" s="50" t="s">
        <v>35</v>
      </c>
      <c r="BF4" s="43" t="str">
        <f>BY5</f>
        <v>Portugal</v>
      </c>
      <c r="BG4" s="35"/>
      <c r="BH4" s="103">
        <v>2</v>
      </c>
      <c r="BI4" s="105" t="s">
        <v>36</v>
      </c>
      <c r="BJ4" s="103">
        <v>1</v>
      </c>
      <c r="BK4" s="6" t="s">
        <v>62</v>
      </c>
      <c r="BL4" s="1"/>
      <c r="BM4" s="39" t="str">
        <f>VLOOKUP(3,$BX$2:$CC$5,2,FALSE)</f>
        <v>Portugal</v>
      </c>
      <c r="BN4" s="2">
        <f>VLOOKUP(3,$BX$2:$CC$5,3,FALSE)</f>
        <v>3</v>
      </c>
      <c r="BO4" s="2">
        <f>VLOOKUP(3,$BX$2:$CC$5,4,FALSE)</f>
        <v>5</v>
      </c>
      <c r="BP4" s="2">
        <f>VLOOKUP(3,$BX$2:$CC$5,5,FALSE)</f>
        <v>5</v>
      </c>
      <c r="BQ4" s="2">
        <f>VLOOKUP(3,$BX$2:$CC$5,6,FALSE)</f>
        <v>0</v>
      </c>
      <c r="BS4" s="46">
        <f>IF(BJ5="",0,IF(BK5=$B$57,IF(BH5&lt;BJ5,3,IF(BH5=BJ5,1,0)),0))</f>
        <v>1</v>
      </c>
      <c r="BT4" s="46">
        <f>IF(BJ8="",0,IF(BK8=$B$57,IF(BH8&lt;BJ8,3,IF(BH8=BJ8,1,0)),0))</f>
        <v>3</v>
      </c>
      <c r="BU4" s="45"/>
      <c r="BV4" s="46">
        <f>IF(BH4="",0,IF(BK4=$B$57,IF(BH4&gt;BJ4,3,IF(BH4=BJ4,1,0)),0))</f>
        <v>3</v>
      </c>
      <c r="BW4" s="47"/>
      <c r="BX4" s="112">
        <f>RANK(CD4,CD2:CD5)+COUNTIF(CD2:CD4,CD4)-1</f>
        <v>2</v>
      </c>
      <c r="BY4" s="48" t="s">
        <v>40</v>
      </c>
      <c r="BZ4" s="47">
        <f>SUM(BS4:BV4)</f>
        <v>7</v>
      </c>
      <c r="CA4" s="47">
        <f>SUM(BS8:BV8)</f>
        <v>6</v>
      </c>
      <c r="CB4" s="47">
        <f>SUM(BU6:BU9)</f>
        <v>2</v>
      </c>
      <c r="CC4" s="47">
        <f>CA4-CB4</f>
        <v>4</v>
      </c>
      <c r="CD4" s="49">
        <f>IF(BP$8="",(((((((CE4*10+BZ4)*100+CC4)*100+CA4)*10+CK4)*10+CJ4)*100+CP4)*100+CU4)*10+CV4,(((((((CE4*10+BZ4)*10+CK4)*10+CJ4)*100+CP4)*100+CU4)*100+CC4)*100+CA4)*10+CV4)</f>
        <v>700000104060</v>
      </c>
      <c r="CE4" s="94"/>
      <c r="CF4" s="113">
        <f>IF($BZ4=$BZ2,$BS4-$BU2,0)</f>
        <v>0</v>
      </c>
      <c r="CG4" s="113">
        <f>IF($BZ4=$BZ3,$BT4-$BU3,0)</f>
        <v>0</v>
      </c>
      <c r="CH4" s="113"/>
      <c r="CI4" s="115">
        <f>IF($BZ4=$BZ5,$BV4-$BU5,0)</f>
        <v>0</v>
      </c>
      <c r="CJ4" s="115">
        <f>SUM(CF4:CI4)</f>
        <v>0</v>
      </c>
      <c r="CK4" s="95"/>
      <c r="CL4" s="115">
        <f>IF($BZ4=$BZ2,$BS8-$BU6,0)</f>
        <v>0</v>
      </c>
      <c r="CM4" s="115">
        <f>IF($BZ4=$BZ3,$BT8-$BU7,0)</f>
        <v>0</v>
      </c>
      <c r="CN4" s="115"/>
      <c r="CO4" s="115">
        <f>IF($BZ4=$BZ5,$BV8-$BU9,0)</f>
        <v>0</v>
      </c>
      <c r="CP4" s="115">
        <f>SUM(CL4:CO4)</f>
        <v>0</v>
      </c>
      <c r="CQ4" s="115">
        <f>IF($BZ4=$BZ2,$BS8,0)</f>
        <v>1</v>
      </c>
      <c r="CR4" s="115">
        <f>IF($BZ4=$BZ3,$BT8,0)</f>
        <v>0</v>
      </c>
      <c r="CS4" s="115"/>
      <c r="CT4" s="115">
        <f>IF($BZ4=$BZ5,$BV8,0)</f>
        <v>0</v>
      </c>
      <c r="CU4" s="115">
        <f>SUM(CQ4:CT4)</f>
        <v>1</v>
      </c>
      <c r="CV4" s="114">
        <f>IF(AND(COUNTIF(BK3:BK8,$B$57)=COUNTA(BH3:BH8),COUNTIF(BK3:BK8,$B$57)=COUNTA(BJ3:BJ8)),IF(CU4=CU2,BS8-BU6,IF(CU4=CU3,BT8-BU7,IF(CU4=CU5,BV8-BU9,2))),2)</f>
        <v>0</v>
      </c>
      <c r="CW4" s="49"/>
    </row>
    <row r="5" spans="1:101" ht="12.75">
      <c r="A5" s="2">
        <v>17</v>
      </c>
      <c r="B5" s="4">
        <v>45132.3125</v>
      </c>
      <c r="C5" s="4" t="s">
        <v>168</v>
      </c>
      <c r="D5" s="43" t="str">
        <f>Y2</f>
        <v>Neuseeland</v>
      </c>
      <c r="E5" s="50" t="s">
        <v>35</v>
      </c>
      <c r="F5" s="43" t="str">
        <f>Y4</f>
        <v>Philippinen</v>
      </c>
      <c r="G5" s="35"/>
      <c r="H5" s="103">
        <v>2</v>
      </c>
      <c r="I5" s="105" t="s">
        <v>36</v>
      </c>
      <c r="J5" s="103">
        <v>0</v>
      </c>
      <c r="K5" s="6" t="s">
        <v>62</v>
      </c>
      <c r="L5" s="1"/>
      <c r="M5" s="39" t="str">
        <f>VLOOKUP(4,$X$2:$AC$5,2,FALSE)</f>
        <v>Philippinen</v>
      </c>
      <c r="N5" s="2">
        <f>VLOOKUP(4,$X$2:$AC$5,3,FALSE)</f>
        <v>0</v>
      </c>
      <c r="O5" s="2">
        <f>VLOOKUP(4,$X$2:$AC$5,4,FALSE)</f>
        <v>1</v>
      </c>
      <c r="P5" s="2">
        <f>VLOOKUP(4,$X$2:$AC$5,5,FALSE)</f>
        <v>8</v>
      </c>
      <c r="Q5" s="2">
        <f>VLOOKUP(4,$X$2:$AC$5,6,FALSE)</f>
        <v>-7</v>
      </c>
      <c r="S5" s="46">
        <f>IF(H7="",0,IF(K7=$B$57,IF(H7&gt;J7,3,IF(H7=J7,1,0)),0))</f>
        <v>1</v>
      </c>
      <c r="T5" s="46">
        <f>IF(J6="",0,IF(K6=$B$57,IF(H6&lt;J6,3,IF(H6=J6,1,0)),0))</f>
        <v>0</v>
      </c>
      <c r="U5" s="46">
        <f>IF(J4="",0,IF(K4=$B$57,IF(H4&lt;J4,3,IF(H4=J4,1,0)),0))</f>
        <v>3</v>
      </c>
      <c r="V5" s="45"/>
      <c r="W5" s="47"/>
      <c r="X5" s="112">
        <f>RANK(AD5,AD2:AD5)+COUNTIF(AD2:AD5,AD5)-1</f>
        <v>3</v>
      </c>
      <c r="Y5" s="48" t="s">
        <v>154</v>
      </c>
      <c r="Z5" s="47">
        <f>SUM(S5:V5)</f>
        <v>4</v>
      </c>
      <c r="AA5" s="47">
        <f>SUM(S9:V9)</f>
        <v>4</v>
      </c>
      <c r="AB5" s="47">
        <f>SUM(V6:V9)</f>
        <v>4</v>
      </c>
      <c r="AC5" s="47">
        <f>AA5-AB5</f>
        <v>0</v>
      </c>
      <c r="AD5" s="49">
        <f>IF(P$8="",(((((((AE5*10+Z5)*100+AC5)*100+AA5)*10+AK5)*10+AJ5)*100+AP5)*100+AU5)*10+AV5,(((((((AE5*10+Z5)*10+AK5)*10+AJ5)*100+AP5)*100+AU5)*100+AC5)*100+AA5)*10+AV5)</f>
        <v>400000100040</v>
      </c>
      <c r="AE5" s="94"/>
      <c r="AF5" s="113">
        <f>IF($Z5=$Z2,$S5-$V2,0)</f>
        <v>0</v>
      </c>
      <c r="AG5" s="113">
        <f>IF($Z5=$Z3,$T5-$V3,0)</f>
        <v>0</v>
      </c>
      <c r="AH5" s="113">
        <f>IF($Z5=$Z4,$U5-$V4,0)</f>
        <v>0</v>
      </c>
      <c r="AI5" s="113"/>
      <c r="AJ5" s="113">
        <f>SUM(AF5:AI5)</f>
        <v>0</v>
      </c>
      <c r="AK5" s="94"/>
      <c r="AL5" s="113">
        <f>IF($Z5=$Z2,$S9-$V6,0)</f>
        <v>0</v>
      </c>
      <c r="AM5" s="113">
        <f>IF($Z5=$Z3,$T9-$V7,0)</f>
        <v>0</v>
      </c>
      <c r="AN5" s="113">
        <f>IF($Z5=$Z4,$U9-$V8,0)</f>
        <v>0</v>
      </c>
      <c r="AO5" s="113"/>
      <c r="AP5" s="113">
        <f>SUM(AL5:AO5)</f>
        <v>0</v>
      </c>
      <c r="AQ5" s="113">
        <f>IF($Z5=$Z2,$S9,0)</f>
        <v>1</v>
      </c>
      <c r="AR5" s="113">
        <f>IF($Z5=$Z3,$T9,0)</f>
        <v>0</v>
      </c>
      <c r="AS5" s="113">
        <f>IF($Z5=$Z4,$U9,0)</f>
        <v>0</v>
      </c>
      <c r="AT5" s="113"/>
      <c r="AU5" s="113">
        <f>SUM(AQ5:AT5)</f>
        <v>1</v>
      </c>
      <c r="AV5" s="114">
        <f>IF(AND(COUNTIF(K3:K8,$B$57)=COUNTA(H3:H8),COUNTIF(K3:K8,$B$57)=COUNTA(J3:J8)),IF(AU5=AU2,S9-V6,IF(AU5=AU3,T9-V7,IF(AU5=AU4,U9-V8,1))),1)</f>
        <v>0</v>
      </c>
      <c r="AW5" s="88"/>
      <c r="BA5" s="2">
        <v>25</v>
      </c>
      <c r="BB5" s="5">
        <v>45134.125</v>
      </c>
      <c r="BC5" s="4" t="s">
        <v>168</v>
      </c>
      <c r="BD5" s="43" t="str">
        <f>BY2</f>
        <v>USA</v>
      </c>
      <c r="BE5" s="50" t="s">
        <v>35</v>
      </c>
      <c r="BF5" s="43" t="str">
        <f>BY4</f>
        <v>Niederlande</v>
      </c>
      <c r="BG5" s="35"/>
      <c r="BH5" s="103">
        <v>1</v>
      </c>
      <c r="BI5" s="105" t="s">
        <v>36</v>
      </c>
      <c r="BJ5" s="103">
        <v>1</v>
      </c>
      <c r="BK5" s="6" t="s">
        <v>62</v>
      </c>
      <c r="BL5" s="1"/>
      <c r="BM5" s="39" t="str">
        <f>VLOOKUP(4,$BX$2:CC$5,2,FALSE)</f>
        <v>Vietnam</v>
      </c>
      <c r="BN5" s="2">
        <f>VLOOKUP(4,$BX$2:$CC$5,3,FALSE)</f>
        <v>0</v>
      </c>
      <c r="BO5" s="2">
        <f>VLOOKUP(4,$BX$2:$CC$5,4,FALSE)</f>
        <v>1</v>
      </c>
      <c r="BP5" s="2">
        <f>VLOOKUP(4,$BX$2:$CC$5,5,FALSE)</f>
        <v>10</v>
      </c>
      <c r="BQ5" s="2">
        <f>VLOOKUP(4,$BX$2:$CC$5,6,FALSE)</f>
        <v>-9</v>
      </c>
      <c r="BS5" s="46">
        <f>IF(BH7="",0,IF(BK7=$B$57,IF(BH7&gt;BJ7,3,IF(BH7=BJ7,1,0)),0))</f>
        <v>0</v>
      </c>
      <c r="BT5" s="46">
        <f>IF(BJ6="",0,IF(BK6=$B$57,IF(BH6&lt;BJ6,3,IF(BH6=BJ6,1,0)),0))</f>
        <v>3</v>
      </c>
      <c r="BU5" s="46">
        <f>IF(BJ4="",0,IF(BK4=$B$57,IF(BH4&lt;BJ4,3,IF(BH4=BJ4,1,0)),0))</f>
        <v>0</v>
      </c>
      <c r="BV5" s="45"/>
      <c r="BW5" s="47"/>
      <c r="BX5" s="112">
        <f>RANK(CD5,CD2:CD5)+COUNTIF(CD2:CD5,CD5)-1</f>
        <v>3</v>
      </c>
      <c r="BY5" s="48" t="s">
        <v>156</v>
      </c>
      <c r="BZ5" s="47">
        <f>SUM(BS5:BV5)</f>
        <v>3</v>
      </c>
      <c r="CA5" s="47">
        <f>SUM(BS9:BV9)</f>
        <v>5</v>
      </c>
      <c r="CB5" s="47">
        <f>SUM(BV6:BV9)</f>
        <v>5</v>
      </c>
      <c r="CC5" s="47">
        <f>CA5-CB5</f>
        <v>0</v>
      </c>
      <c r="CD5" s="49">
        <f>IF(BP$8="",(((((((CE5*10+BZ5)*100+CC5)*100+CA5)*10+CK5)*10+CJ5)*100+CP5)*100+CU5)*10+CV5,(((((((CE5*10+BZ5)*10+CK5)*10+CJ5)*100+CP5)*100+CU5)*100+CC5)*100+CA5)*10+CV5)</f>
        <v>300000000053</v>
      </c>
      <c r="CE5" s="94"/>
      <c r="CF5" s="113">
        <f>IF($BZ5=$BZ2,$BS5-$BV2,0)</f>
        <v>0</v>
      </c>
      <c r="CG5" s="113">
        <f>IF($BZ5=$BZ3,$BT5-$BV3,0)</f>
        <v>0</v>
      </c>
      <c r="CH5" s="113">
        <f>IF($BZ5=$BZ4,$BU5-$BV4,0)</f>
        <v>0</v>
      </c>
      <c r="CI5" s="115"/>
      <c r="CJ5" s="115">
        <f>SUM(CF5:CI5)</f>
        <v>0</v>
      </c>
      <c r="CK5" s="95"/>
      <c r="CL5" s="115">
        <f>IF($BZ5=$BZ2,$BS9-$BV6,0)</f>
        <v>0</v>
      </c>
      <c r="CM5" s="115">
        <f>IF($BZ5=$BZ3,$BT9-$BV7,0)</f>
        <v>0</v>
      </c>
      <c r="CN5" s="115">
        <f>IF($BZ5=$BZ4,$BU9-$BV8,0)</f>
        <v>0</v>
      </c>
      <c r="CO5" s="115"/>
      <c r="CP5" s="115">
        <f>SUM(CL5:CO5)</f>
        <v>0</v>
      </c>
      <c r="CQ5" s="115">
        <f>IF($BZ5=$BZ2,$BS9,0)</f>
        <v>0</v>
      </c>
      <c r="CR5" s="115">
        <f>IF($BZ5=$BZ3,$BT9,0)</f>
        <v>0</v>
      </c>
      <c r="CS5" s="115">
        <f>IF($BZ5=$BZ4,$BU9,0)</f>
        <v>0</v>
      </c>
      <c r="CT5" s="115"/>
      <c r="CU5" s="115">
        <f>SUM(CQ5:CT5)</f>
        <v>0</v>
      </c>
      <c r="CV5" s="114">
        <f>IF(AND(COUNTIF(BK3:BK8,$B$57)=COUNTA(BH3:BH8),COUNTIF(BK3:BK8,$B$57)=COUNTA(BJ3:BJ8)),IF(CU5=CU2,BS9-BV6,IF(CU5=CU3,BT9-BV7,IF(CU5=CU4,BU9-BV8,1))),1)</f>
        <v>3</v>
      </c>
      <c r="CW5" s="49"/>
    </row>
    <row r="6" spans="1:101" ht="12.75">
      <c r="A6" s="2">
        <v>18</v>
      </c>
      <c r="B6" s="4">
        <v>45132.416666666664</v>
      </c>
      <c r="C6" s="4" t="s">
        <v>169</v>
      </c>
      <c r="D6" s="43" t="str">
        <f>Y3</f>
        <v>Norwegen</v>
      </c>
      <c r="E6" s="50" t="s">
        <v>35</v>
      </c>
      <c r="F6" s="43" t="str">
        <f>Y5</f>
        <v>Schweiz</v>
      </c>
      <c r="G6" s="35"/>
      <c r="H6" s="103">
        <v>3</v>
      </c>
      <c r="I6" s="105" t="s">
        <v>36</v>
      </c>
      <c r="J6" s="103">
        <v>1</v>
      </c>
      <c r="K6" s="6" t="s">
        <v>62</v>
      </c>
      <c r="L6" s="1"/>
      <c r="N6" s="1"/>
      <c r="O6" s="1"/>
      <c r="P6" s="1"/>
      <c r="S6" s="45"/>
      <c r="T6" s="46">
        <f>IF(K3=$B$57,H3,0)</f>
        <v>1</v>
      </c>
      <c r="U6" s="46">
        <f>IF(K5=$B$57,H5,0)</f>
        <v>2</v>
      </c>
      <c r="V6" s="46">
        <f>IF(K7=$B$57,J7,0)</f>
        <v>1</v>
      </c>
      <c r="W6" s="47"/>
      <c r="X6" s="47"/>
      <c r="Y6" s="47"/>
      <c r="Z6" s="47"/>
      <c r="AA6" s="47"/>
      <c r="AB6" s="47"/>
      <c r="AC6" s="47"/>
      <c r="AD6" s="71"/>
      <c r="AE6" s="96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V6" s="113"/>
      <c r="AW6" s="88"/>
      <c r="BA6" s="2">
        <v>26</v>
      </c>
      <c r="BB6" s="5">
        <v>45134.395833333336</v>
      </c>
      <c r="BC6" s="4" t="s">
        <v>169</v>
      </c>
      <c r="BD6" s="43" t="str">
        <f>BY3</f>
        <v>Vietnam</v>
      </c>
      <c r="BE6" s="50" t="s">
        <v>35</v>
      </c>
      <c r="BF6" s="43" t="str">
        <f>BY5</f>
        <v>Portugal</v>
      </c>
      <c r="BG6" s="35"/>
      <c r="BH6" s="103">
        <v>0</v>
      </c>
      <c r="BI6" s="105" t="s">
        <v>36</v>
      </c>
      <c r="BJ6" s="103">
        <v>3</v>
      </c>
      <c r="BK6" s="6" t="s">
        <v>62</v>
      </c>
      <c r="BL6" s="1"/>
      <c r="BN6" s="1"/>
      <c r="BO6" s="1"/>
      <c r="BP6" s="1"/>
      <c r="BS6" s="45"/>
      <c r="BT6" s="46">
        <f>IF(BK3=$B$57,BH3,0)</f>
        <v>4</v>
      </c>
      <c r="BU6" s="46">
        <f>IF(BK5=$B$57,BH5,0)</f>
        <v>1</v>
      </c>
      <c r="BV6" s="46">
        <f>IF(BK7=$B$57,BJ7,0)</f>
        <v>3</v>
      </c>
      <c r="BW6" s="47"/>
      <c r="BX6" s="47"/>
      <c r="BY6" s="47"/>
      <c r="BZ6" s="47"/>
      <c r="CA6" s="47"/>
      <c r="CB6" s="47"/>
      <c r="CC6" s="47"/>
      <c r="CD6" s="71"/>
      <c r="CE6" s="96"/>
      <c r="CF6" s="113"/>
      <c r="CG6" s="113"/>
      <c r="CH6" s="113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V6" s="115"/>
      <c r="CW6" s="49"/>
    </row>
    <row r="7" spans="1:101" ht="12.75">
      <c r="A7" s="2">
        <v>33</v>
      </c>
      <c r="B7" s="5">
        <v>45137.375</v>
      </c>
      <c r="C7" s="4" t="s">
        <v>166</v>
      </c>
      <c r="D7" s="43" t="str">
        <f>Y5</f>
        <v>Schweiz</v>
      </c>
      <c r="E7" s="50" t="s">
        <v>35</v>
      </c>
      <c r="F7" s="43" t="str">
        <f>Y2</f>
        <v>Neuseeland</v>
      </c>
      <c r="G7" s="42"/>
      <c r="H7" s="103">
        <v>1</v>
      </c>
      <c r="I7" s="105" t="s">
        <v>36</v>
      </c>
      <c r="J7" s="103">
        <v>1</v>
      </c>
      <c r="K7" s="6" t="s">
        <v>62</v>
      </c>
      <c r="M7" s="51" t="str">
        <f>IF(N2&gt;0,M2,"")</f>
        <v>Norwegen</v>
      </c>
      <c r="N7" s="2" t="s">
        <v>37</v>
      </c>
      <c r="P7" s="52"/>
      <c r="S7" s="46">
        <f>IF(K3=$B$57,J3,0)</f>
        <v>2</v>
      </c>
      <c r="T7" s="45"/>
      <c r="U7" s="46">
        <f>IF(K8=$B$57,H8,0)</f>
        <v>4</v>
      </c>
      <c r="V7" s="46">
        <f>IF(K6=$B$57,H6,0)</f>
        <v>3</v>
      </c>
      <c r="AD7" s="42" t="s">
        <v>140</v>
      </c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V7" s="116"/>
      <c r="AW7" s="88"/>
      <c r="BA7" s="2">
        <v>41</v>
      </c>
      <c r="BB7" s="5">
        <v>45139.375</v>
      </c>
      <c r="BC7" s="4" t="s">
        <v>163</v>
      </c>
      <c r="BD7" s="43" t="str">
        <f>BY5</f>
        <v>Portugal</v>
      </c>
      <c r="BE7" s="50" t="s">
        <v>35</v>
      </c>
      <c r="BF7" s="43" t="str">
        <f>BY2</f>
        <v>USA</v>
      </c>
      <c r="BG7" s="42"/>
      <c r="BH7" s="103">
        <v>1</v>
      </c>
      <c r="BI7" s="105" t="s">
        <v>36</v>
      </c>
      <c r="BJ7" s="103">
        <v>3</v>
      </c>
      <c r="BK7" s="6" t="s">
        <v>62</v>
      </c>
      <c r="BM7" s="90" t="str">
        <f>IF(BN2&gt;0,BM2,"")</f>
        <v>USA</v>
      </c>
      <c r="BN7" s="2" t="s">
        <v>75</v>
      </c>
      <c r="BP7" s="52"/>
      <c r="BS7" s="46">
        <f>IF(BK3=$B$57,BJ3,0)</f>
        <v>1</v>
      </c>
      <c r="BT7" s="45"/>
      <c r="BU7" s="46">
        <f>IF(BK8=$B$57,BH8,0)</f>
        <v>0</v>
      </c>
      <c r="BV7" s="46">
        <f>IF(BK6=$B$57,BH6,0)</f>
        <v>0</v>
      </c>
      <c r="CD7" s="42" t="s">
        <v>140</v>
      </c>
      <c r="CF7" s="116"/>
      <c r="CG7" s="116"/>
      <c r="CH7" s="116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V7" s="117"/>
      <c r="CW7" s="49"/>
    </row>
    <row r="8" spans="1:101" ht="12.75">
      <c r="A8" s="2">
        <v>34</v>
      </c>
      <c r="B8" s="5">
        <v>45137.375</v>
      </c>
      <c r="C8" s="4" t="s">
        <v>163</v>
      </c>
      <c r="D8" s="43" t="str">
        <f>Y3</f>
        <v>Norwegen</v>
      </c>
      <c r="E8" s="50" t="s">
        <v>35</v>
      </c>
      <c r="F8" s="43" t="str">
        <f>Y4</f>
        <v>Philippinen</v>
      </c>
      <c r="G8" s="42"/>
      <c r="H8" s="103">
        <v>4</v>
      </c>
      <c r="I8" s="105" t="s">
        <v>36</v>
      </c>
      <c r="J8" s="103">
        <v>1</v>
      </c>
      <c r="K8" s="6" t="s">
        <v>62</v>
      </c>
      <c r="M8" s="51" t="str">
        <f>IF(N3&gt;0,M3,"")</f>
        <v>Neuseeland</v>
      </c>
      <c r="N8" s="2" t="s">
        <v>38</v>
      </c>
      <c r="O8" s="53"/>
      <c r="P8" s="89" t="s">
        <v>170</v>
      </c>
      <c r="S8" s="46">
        <f>IF(K5=$B$57,J5,0)</f>
        <v>0</v>
      </c>
      <c r="T8" s="46">
        <f>IF(K8=$B$57,J8,0)</f>
        <v>1</v>
      </c>
      <c r="U8" s="45"/>
      <c r="V8" s="46">
        <f>IF(K4=$B$57,H4,0)</f>
        <v>0</v>
      </c>
      <c r="AD8" s="42" t="s">
        <v>141</v>
      </c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V8" s="116"/>
      <c r="AW8" s="88"/>
      <c r="BA8" s="2">
        <v>42</v>
      </c>
      <c r="BB8" s="5">
        <v>45139.375</v>
      </c>
      <c r="BC8" s="4" t="s">
        <v>166</v>
      </c>
      <c r="BD8" s="43" t="str">
        <f>BY3</f>
        <v>Vietnam</v>
      </c>
      <c r="BE8" s="50" t="s">
        <v>35</v>
      </c>
      <c r="BF8" s="43" t="str">
        <f>BY4</f>
        <v>Niederlande</v>
      </c>
      <c r="BG8" s="42"/>
      <c r="BH8" s="103">
        <v>0</v>
      </c>
      <c r="BI8" s="105" t="s">
        <v>36</v>
      </c>
      <c r="BJ8" s="103">
        <v>3</v>
      </c>
      <c r="BK8" s="6" t="s">
        <v>62</v>
      </c>
      <c r="BM8" s="90" t="str">
        <f>IF(BN3&gt;0,BM3,"")</f>
        <v>Niederlande</v>
      </c>
      <c r="BN8" s="2" t="s">
        <v>76</v>
      </c>
      <c r="BO8" s="53"/>
      <c r="BP8" s="89" t="s">
        <v>170</v>
      </c>
      <c r="BS8" s="46">
        <f>IF(BK5=$B$57,BJ5,0)</f>
        <v>1</v>
      </c>
      <c r="BT8" s="46">
        <f>IF(BK8=$B$57,BJ8,0)</f>
        <v>3</v>
      </c>
      <c r="BU8" s="45"/>
      <c r="BV8" s="46">
        <f>IF(BK4=$B$57,BH4,0)</f>
        <v>2</v>
      </c>
      <c r="CD8" s="42" t="s">
        <v>141</v>
      </c>
      <c r="CF8" s="116"/>
      <c r="CG8" s="116"/>
      <c r="CH8" s="116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V8" s="117"/>
      <c r="CW8" s="49"/>
    </row>
    <row r="9" spans="4:101" ht="12.75">
      <c r="D9" s="43"/>
      <c r="E9" s="50"/>
      <c r="F9" s="43"/>
      <c r="G9" s="42"/>
      <c r="N9" s="1"/>
      <c r="S9" s="46">
        <f>IF(K7=$B$57,H7,0)</f>
        <v>1</v>
      </c>
      <c r="T9" s="46">
        <f>IF(K6=$B$57,J6,0)</f>
        <v>1</v>
      </c>
      <c r="U9" s="46">
        <f>IF(K4=$B$57,J4,0)</f>
        <v>2</v>
      </c>
      <c r="V9" s="45"/>
      <c r="AD9" s="2" t="s">
        <v>171</v>
      </c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V9" s="116"/>
      <c r="AW9" s="88"/>
      <c r="BB9" s="2" t="s">
        <v>25</v>
      </c>
      <c r="BD9" s="43"/>
      <c r="BE9" s="50"/>
      <c r="BF9" s="43"/>
      <c r="BG9" s="42"/>
      <c r="BN9" s="1"/>
      <c r="BS9" s="46">
        <f>IF(BK7=$B$57,BH7,0)</f>
        <v>1</v>
      </c>
      <c r="BT9" s="46">
        <f>IF(BK6=$B$57,BJ6,0)</f>
        <v>3</v>
      </c>
      <c r="BU9" s="46">
        <f>IF(BK4=$B$57,BJ4,0)</f>
        <v>1</v>
      </c>
      <c r="BV9" s="45"/>
      <c r="CD9" s="2" t="s">
        <v>171</v>
      </c>
      <c r="CF9" s="116"/>
      <c r="CG9" s="116"/>
      <c r="CH9" s="116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V9" s="117"/>
      <c r="CW9" s="49"/>
    </row>
    <row r="10" spans="4:101" ht="6" customHeight="1">
      <c r="D10" s="43"/>
      <c r="E10" s="50"/>
      <c r="F10" s="43"/>
      <c r="G10" s="37"/>
      <c r="H10" s="42"/>
      <c r="I10" s="42"/>
      <c r="J10" s="42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V10" s="116"/>
      <c r="AW10" s="88"/>
      <c r="BC10" s="3"/>
      <c r="BD10" s="43"/>
      <c r="BE10" s="50"/>
      <c r="BF10" s="43"/>
      <c r="BG10" s="37"/>
      <c r="BH10" s="42"/>
      <c r="BI10" s="42"/>
      <c r="BJ10" s="42"/>
      <c r="CF10" s="116"/>
      <c r="CG10" s="116"/>
      <c r="CH10" s="116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V10" s="117"/>
      <c r="CW10" s="49"/>
    </row>
    <row r="11" spans="2:101" s="10" customFormat="1" ht="12.75">
      <c r="B11" s="14" t="s">
        <v>23</v>
      </c>
      <c r="C11" s="15" t="s">
        <v>39</v>
      </c>
      <c r="D11" s="43" t="s">
        <v>25</v>
      </c>
      <c r="E11" s="50"/>
      <c r="F11" s="43"/>
      <c r="G11" s="35"/>
      <c r="H11" s="104"/>
      <c r="I11" s="92"/>
      <c r="J11" s="104"/>
      <c r="K11" s="93"/>
      <c r="L11" s="7"/>
      <c r="M11" s="31" t="s">
        <v>26</v>
      </c>
      <c r="N11" s="7" t="s">
        <v>27</v>
      </c>
      <c r="O11" s="7" t="s">
        <v>28</v>
      </c>
      <c r="P11" s="7" t="s">
        <v>29</v>
      </c>
      <c r="Q11" s="7" t="s">
        <v>30</v>
      </c>
      <c r="R11" s="7"/>
      <c r="S11" s="42"/>
      <c r="T11" s="42"/>
      <c r="U11" s="42"/>
      <c r="V11" s="42"/>
      <c r="W11" s="35"/>
      <c r="X11" s="35" t="s">
        <v>31</v>
      </c>
      <c r="Y11" s="43" t="s">
        <v>32</v>
      </c>
      <c r="Z11" s="35" t="s">
        <v>27</v>
      </c>
      <c r="AA11" s="35" t="s">
        <v>28</v>
      </c>
      <c r="AB11" s="35" t="s">
        <v>29</v>
      </c>
      <c r="AC11" s="35" t="s">
        <v>30</v>
      </c>
      <c r="AD11" s="35"/>
      <c r="AE11" s="92" t="s">
        <v>65</v>
      </c>
      <c r="AF11" s="50" t="s">
        <v>66</v>
      </c>
      <c r="AG11" s="50"/>
      <c r="AH11" s="50"/>
      <c r="AI11" s="50"/>
      <c r="AJ11" s="50" t="s">
        <v>67</v>
      </c>
      <c r="AK11" s="43" t="s">
        <v>68</v>
      </c>
      <c r="AL11" s="50" t="s">
        <v>69</v>
      </c>
      <c r="AM11" s="50"/>
      <c r="AN11" s="50"/>
      <c r="AO11" s="50"/>
      <c r="AP11" s="50" t="s">
        <v>70</v>
      </c>
      <c r="AQ11" s="50" t="s">
        <v>71</v>
      </c>
      <c r="AR11" s="50"/>
      <c r="AS11" s="50"/>
      <c r="AT11" s="50"/>
      <c r="AU11" s="38" t="s">
        <v>72</v>
      </c>
      <c r="AV11" s="43" t="s">
        <v>73</v>
      </c>
      <c r="AW11" s="87"/>
      <c r="BB11" s="55" t="s">
        <v>23</v>
      </c>
      <c r="BC11" s="118" t="s">
        <v>77</v>
      </c>
      <c r="BD11" s="43" t="s">
        <v>25</v>
      </c>
      <c r="BE11" s="50"/>
      <c r="BF11" s="43"/>
      <c r="BG11" s="35"/>
      <c r="BH11" s="104"/>
      <c r="BI11" s="92"/>
      <c r="BJ11" s="104"/>
      <c r="BK11" s="93"/>
      <c r="BL11" s="7"/>
      <c r="BM11" s="31" t="s">
        <v>26</v>
      </c>
      <c r="BN11" s="7" t="s">
        <v>27</v>
      </c>
      <c r="BO11" s="7" t="s">
        <v>28</v>
      </c>
      <c r="BP11" s="7" t="s">
        <v>29</v>
      </c>
      <c r="BQ11" s="7" t="s">
        <v>30</v>
      </c>
      <c r="BR11" s="7"/>
      <c r="BS11" s="42"/>
      <c r="BT11" s="42"/>
      <c r="BU11" s="42"/>
      <c r="BV11" s="42"/>
      <c r="BW11" s="35"/>
      <c r="BX11" s="35" t="s">
        <v>31</v>
      </c>
      <c r="BY11" s="43" t="s">
        <v>32</v>
      </c>
      <c r="BZ11" s="35" t="s">
        <v>27</v>
      </c>
      <c r="CA11" s="35" t="s">
        <v>28</v>
      </c>
      <c r="CB11" s="35" t="s">
        <v>29</v>
      </c>
      <c r="CC11" s="35" t="s">
        <v>30</v>
      </c>
      <c r="CD11" s="35"/>
      <c r="CE11" s="92" t="s">
        <v>65</v>
      </c>
      <c r="CF11" s="50" t="s">
        <v>66</v>
      </c>
      <c r="CG11" s="50"/>
      <c r="CH11" s="50"/>
      <c r="CI11" s="11"/>
      <c r="CJ11" s="11" t="s">
        <v>67</v>
      </c>
      <c r="CK11" s="8" t="s">
        <v>68</v>
      </c>
      <c r="CL11" s="11" t="s">
        <v>69</v>
      </c>
      <c r="CM11" s="11"/>
      <c r="CN11" s="11"/>
      <c r="CO11" s="11"/>
      <c r="CP11" s="11" t="s">
        <v>70</v>
      </c>
      <c r="CQ11" s="11" t="s">
        <v>71</v>
      </c>
      <c r="CR11" s="11"/>
      <c r="CS11" s="11"/>
      <c r="CT11" s="11"/>
      <c r="CU11" s="13" t="s">
        <v>72</v>
      </c>
      <c r="CV11" s="8" t="s">
        <v>73</v>
      </c>
      <c r="CW11" s="44"/>
    </row>
    <row r="12" spans="2:101" ht="12.75">
      <c r="B12" s="3" t="s">
        <v>33</v>
      </c>
      <c r="C12" s="3" t="s">
        <v>34</v>
      </c>
      <c r="D12" s="43"/>
      <c r="E12" s="50"/>
      <c r="F12" s="43"/>
      <c r="G12" s="42"/>
      <c r="L12" s="1"/>
      <c r="M12" s="39" t="str">
        <f>VLOOKUP(1,$X$12:$AC$15,2,FALSE)</f>
        <v>Kanada</v>
      </c>
      <c r="N12" s="2">
        <f>VLOOKUP(1,$X$12:$AC$15,3,FALSE)</f>
        <v>9</v>
      </c>
      <c r="O12" s="2">
        <f>VLOOKUP(1,$X$12:$AC$15,4,FALSE)</f>
        <v>9</v>
      </c>
      <c r="P12" s="2">
        <f>VLOOKUP(1,$X$12:$AC$15,5,FALSE)</f>
        <v>4</v>
      </c>
      <c r="Q12" s="2">
        <f>VLOOKUP(1,$X$12:$AC$15,6,FALSE)</f>
        <v>5</v>
      </c>
      <c r="S12" s="45"/>
      <c r="T12" s="46">
        <f>IF(H13="",0,IF(K13=$B$57,IF(H13&gt;J13,3,IF(H13=J13,1,0)),0))</f>
        <v>3</v>
      </c>
      <c r="U12" s="46">
        <f>IF(H15="",0,IF(K15=$B$57,IF(H15&gt;J15,3,IF(H15=J15,1,0)),0))</f>
        <v>0</v>
      </c>
      <c r="V12" s="46">
        <f>IF(J17="",0,IF(K17=$B$57,IF(H17&lt;J17,3,IF(H17=J17,1,0)),0))</f>
        <v>0</v>
      </c>
      <c r="W12" s="47"/>
      <c r="X12" s="112">
        <f>RANK(AD12,AD12:AD15)+COUNTIF(AD12:AD12,AD12)-1</f>
        <v>3</v>
      </c>
      <c r="Y12" s="48" t="s">
        <v>172</v>
      </c>
      <c r="Z12" s="47">
        <f>SUM(S12:V12)</f>
        <v>3</v>
      </c>
      <c r="AA12" s="47">
        <f>SUM(S16:V16)</f>
        <v>4</v>
      </c>
      <c r="AB12" s="47">
        <f>SUM(S16:S19)</f>
        <v>5</v>
      </c>
      <c r="AC12" s="47">
        <f>AA12-AB12</f>
        <v>-1</v>
      </c>
      <c r="AD12" s="49">
        <f>IF(P$18="",(((((((AE12*10+Z12)*100+AC12)*100+AA12)*10+AK12)*10+AJ12)*100+AP12)*100+AU12)*10+AV12,(((((((AE12*10+Z12)*10+AK12)*10+AJ12)*100+AP12)*100+AU12)*100+AC12)*100+AA12)*10+AV12)</f>
        <v>299999999042</v>
      </c>
      <c r="AE12" s="94"/>
      <c r="AF12" s="113"/>
      <c r="AG12" s="113">
        <f>IF($Z12=$Z13,$T12-$S13,0)</f>
        <v>0</v>
      </c>
      <c r="AH12" s="113">
        <f>IF($Z12=$Z14,$U12-$S14,0)</f>
        <v>0</v>
      </c>
      <c r="AI12" s="113">
        <f>IF($Z12=$Z15,$V12-$S15,0)</f>
        <v>0</v>
      </c>
      <c r="AJ12" s="113">
        <f>SUM(AF12:AI12)</f>
        <v>0</v>
      </c>
      <c r="AK12" s="94"/>
      <c r="AL12" s="113"/>
      <c r="AM12" s="113">
        <f>IF($Z12=$Z13,$T16-$S17,0)</f>
        <v>0</v>
      </c>
      <c r="AN12" s="113">
        <f>IF($Z12=$Z14,$U16-$S18,0)</f>
        <v>0</v>
      </c>
      <c r="AO12" s="113">
        <f>IF($Z12=$Z15,$V16-$S19,0)</f>
        <v>0</v>
      </c>
      <c r="AP12" s="113">
        <f>SUM(AL12:AO12)</f>
        <v>0</v>
      </c>
      <c r="AQ12" s="113"/>
      <c r="AR12" s="113">
        <f>IF($Z12=$Z13,$T16,0)</f>
        <v>0</v>
      </c>
      <c r="AS12" s="113">
        <f>IF($Z12=$Z14,$U16,0)</f>
        <v>0</v>
      </c>
      <c r="AT12" s="113">
        <f>IF($Z12=$Z15,$V16,0)</f>
        <v>0</v>
      </c>
      <c r="AU12" s="113">
        <f>SUM(AQ12:AT12)</f>
        <v>0</v>
      </c>
      <c r="AV12" s="114">
        <f>IF(AND(COUNTIF(K13:K18,$B$57)=COUNTA(H13:H18),COUNTIF(K13:K18,$B$57)=COUNTA(J13:J18)),IF(AU12=AU13,T16-S17,IF(AU12=AU14,U16-S18,IF(AU12=AU15,V16-S19,4))),4)</f>
        <v>2</v>
      </c>
      <c r="AW12" s="88"/>
      <c r="BB12" s="3" t="s">
        <v>33</v>
      </c>
      <c r="BC12" s="3" t="s">
        <v>34</v>
      </c>
      <c r="BD12" s="43"/>
      <c r="BE12" s="50"/>
      <c r="BF12" s="43"/>
      <c r="BG12" s="42"/>
      <c r="BL12" s="1"/>
      <c r="BM12" s="39" t="str">
        <f>VLOOKUP(1,$BX$12:$CC$15,2,FALSE)</f>
        <v>Brasilien</v>
      </c>
      <c r="BN12" s="2">
        <f>VLOOKUP(1,$BX$12:$CC$15,3,FALSE)</f>
        <v>9</v>
      </c>
      <c r="BO12" s="2">
        <f>VLOOKUP(1,$BX$12:$CC$15,4,FALSE)</f>
        <v>14</v>
      </c>
      <c r="BP12" s="2">
        <f>VLOOKUP(1,$BX$12:$CC$15,5,FALSE)</f>
        <v>3</v>
      </c>
      <c r="BQ12" s="2">
        <f>VLOOKUP(1,$BX$12:$CC$15,6,FALSE)</f>
        <v>11</v>
      </c>
      <c r="BS12" s="45"/>
      <c r="BT12" s="46">
        <f>IF(BH13="",0,IF(BK13=$B$57,IF(BH13&gt;BJ13,3,IF(BH13=BJ13,1,0)),0))</f>
        <v>3</v>
      </c>
      <c r="BU12" s="46">
        <f>IF(BH15="",0,IF(BK15=$B$57,IF(BH15&gt;BJ15,3,IF(BH15=BJ15,1,0)),0))</f>
        <v>0</v>
      </c>
      <c r="BV12" s="46">
        <f>IF(BJ17="",0,IF(BK17=$B$57,IF(BH17&lt;BJ17,3,IF(BH17=BJ17,1,0)),0))</f>
        <v>3</v>
      </c>
      <c r="BW12" s="47"/>
      <c r="BX12" s="112">
        <f>RANK(CD12,CD12:CD15)+COUNTIF(CD12:CD12,CD12)-1</f>
        <v>2</v>
      </c>
      <c r="BY12" s="48" t="s">
        <v>49</v>
      </c>
      <c r="BZ12" s="47">
        <f>SUM(BS12:BV12)</f>
        <v>6</v>
      </c>
      <c r="CA12" s="47">
        <f>SUM(BS16:BV16)</f>
        <v>9</v>
      </c>
      <c r="CB12" s="47">
        <f>SUM(BS16:BS19)</f>
        <v>5</v>
      </c>
      <c r="CC12" s="47">
        <f>CA12-CB12</f>
        <v>4</v>
      </c>
      <c r="CD12" s="49">
        <f>IF(BP$18="",(((((((CE12*10+BZ12)*100+CC12)*100+CA12)*10+CK12)*10+CJ12)*100+CP12)*100+CU12)*10+CV12,(((((((CE12*10+BZ12)*10+CK12)*10+CJ12)*100+CP12)*100+CU12)*100+CC12)*100+CA12)*10+CV12)</f>
        <v>600000004089</v>
      </c>
      <c r="CE12" s="94"/>
      <c r="CF12" s="113"/>
      <c r="CG12" s="113">
        <f>IF($BZ12=$BZ13,$BT12-$BS13,0)</f>
        <v>0</v>
      </c>
      <c r="CH12" s="113">
        <f>IF($BZ12=$BZ14,$BU12-$BS14,0)</f>
        <v>0</v>
      </c>
      <c r="CI12" s="115">
        <f>IF($BZ12=$BZ15,$BV12-$BS15,0)</f>
        <v>0</v>
      </c>
      <c r="CJ12" s="115">
        <f>SUM(CF12:CI12)</f>
        <v>0</v>
      </c>
      <c r="CK12" s="95"/>
      <c r="CL12" s="115"/>
      <c r="CM12" s="115">
        <f>IF($BZ12=$BZ13,$BT16-$BS17,0)</f>
        <v>0</v>
      </c>
      <c r="CN12" s="115">
        <f>IF($BZ12=$BZ14,$BU16-$BS18,0)</f>
        <v>0</v>
      </c>
      <c r="CO12" s="115">
        <f>IF($BZ12=$BZ15,$BV16-$BS19,0)</f>
        <v>0</v>
      </c>
      <c r="CP12" s="115">
        <f>SUM(CL12:CO12)</f>
        <v>0</v>
      </c>
      <c r="CQ12" s="115"/>
      <c r="CR12" s="115">
        <f>IF($BZ12=$BZ13,$BT16,0)</f>
        <v>0</v>
      </c>
      <c r="CS12" s="115">
        <f>IF($BZ12=$BZ14,$BU16,0)</f>
        <v>0</v>
      </c>
      <c r="CT12" s="115">
        <f>IF($BZ12=$BZ15,$BV16,0)</f>
        <v>0</v>
      </c>
      <c r="CU12" s="115">
        <f>SUM(CQ12:CT12)</f>
        <v>0</v>
      </c>
      <c r="CV12" s="114">
        <f>IF(AND(COUNTIF(BK13:BK18,$B$57)=COUNTA(BH13:BH18),COUNTIF(BK13:BK18,$B$57)=COUNTA(BJ13:BJ18)),IF(CU12=CU13,BT16-BS17,IF(CU12=CU14,BU16-BS18,IF(CU12=CU15,BV16-BS19,4))),4)</f>
        <v>-1</v>
      </c>
      <c r="CW12" s="49"/>
    </row>
    <row r="13" spans="1:101" ht="12.75">
      <c r="A13" s="2">
        <v>3</v>
      </c>
      <c r="B13" s="5">
        <v>45127.5</v>
      </c>
      <c r="C13" s="4" t="s">
        <v>173</v>
      </c>
      <c r="D13" s="43" t="str">
        <f>Y12</f>
        <v>Australien</v>
      </c>
      <c r="E13" s="50" t="s">
        <v>35</v>
      </c>
      <c r="F13" s="43" t="str">
        <f>Y13</f>
        <v>Irland</v>
      </c>
      <c r="G13" s="35"/>
      <c r="H13" s="103">
        <v>2</v>
      </c>
      <c r="I13" s="105" t="s">
        <v>36</v>
      </c>
      <c r="J13" s="103">
        <v>0</v>
      </c>
      <c r="K13" s="6" t="s">
        <v>62</v>
      </c>
      <c r="L13" s="1"/>
      <c r="M13" s="39" t="str">
        <f>VLOOKUP(2,$X$12:$AC$15,2,FALSE)</f>
        <v>Nigeria</v>
      </c>
      <c r="N13" s="2">
        <f>VLOOKUP(2,$X$12:$AC$15,3,FALSE)</f>
        <v>4</v>
      </c>
      <c r="O13" s="2">
        <f>VLOOKUP(2,$X$12:$AC$15,4,FALSE)</f>
        <v>4</v>
      </c>
      <c r="P13" s="2">
        <f>VLOOKUP(2,$X$12:$AC$15,5,FALSE)</f>
        <v>4</v>
      </c>
      <c r="Q13" s="2">
        <f>VLOOKUP(2,$X$12:$AC$15,6,FALSE)</f>
        <v>0</v>
      </c>
      <c r="S13" s="46">
        <f>IF(J13="",0,IF(K13=$B$57,IF(H13&lt;J13,3,IF(H13=J13,1,0)),0))</f>
        <v>0</v>
      </c>
      <c r="T13" s="45"/>
      <c r="U13" s="46">
        <f>IF(H18="",0,IF(K18=$B$57,IF(H18&gt;J18,3,IF(H18=J18,1,0)),0))</f>
        <v>1</v>
      </c>
      <c r="V13" s="46">
        <f>IF(H16="",0,IF(K16=$B$57,IF(H16&gt;J16,3,IF(H16=J16,1,0)),0))</f>
        <v>0</v>
      </c>
      <c r="W13" s="47"/>
      <c r="X13" s="112">
        <f>RANK(AD13,AD12:AD15)+COUNTIF(AD12:AD13,AD13)-1</f>
        <v>4</v>
      </c>
      <c r="Y13" s="48" t="s">
        <v>174</v>
      </c>
      <c r="Z13" s="47">
        <f>SUM(S13:V13)</f>
        <v>1</v>
      </c>
      <c r="AA13" s="47">
        <f>SUM(S17:V17)</f>
        <v>2</v>
      </c>
      <c r="AB13" s="47">
        <f>SUM(T16:T19)</f>
        <v>6</v>
      </c>
      <c r="AC13" s="47">
        <f>AA13-AB13</f>
        <v>-4</v>
      </c>
      <c r="AD13" s="49">
        <f>IF(P$18="",(((((((AE13*10+Z13)*100+AC13)*100+AA13)*10+AK13)*10+AJ13)*100+AP13)*100+AU13)*10+AV13,(((((((AE13*10+Z13)*10+AK13)*10+AJ13)*100+AP13)*100+AU13)*100+AC13)*100+AA13)*10+AV13)</f>
        <v>99999996018</v>
      </c>
      <c r="AE13" s="94"/>
      <c r="AF13" s="113">
        <f>IF($Z13=$Z12,$S13-$T12,0)</f>
        <v>0</v>
      </c>
      <c r="AG13" s="113"/>
      <c r="AH13" s="113">
        <f>IF($Z13=$Z14,$U13-$T14,0)</f>
        <v>0</v>
      </c>
      <c r="AI13" s="113">
        <f>IF($Z13=$Z15,$V13-$T15,0)</f>
        <v>0</v>
      </c>
      <c r="AJ13" s="113">
        <f>SUM(AF13:AI13)</f>
        <v>0</v>
      </c>
      <c r="AK13" s="94"/>
      <c r="AL13" s="113">
        <f>IF($Z13=$Z12,$S17-$T16,0)</f>
        <v>0</v>
      </c>
      <c r="AM13" s="113"/>
      <c r="AN13" s="113">
        <f>IF($Z13=$Z14,$U17-$T18,0)</f>
        <v>0</v>
      </c>
      <c r="AO13" s="113">
        <f>IF($Z13=$Z15,$V17-$T19,0)</f>
        <v>0</v>
      </c>
      <c r="AP13" s="113">
        <f>SUM(AL13:AO13)</f>
        <v>0</v>
      </c>
      <c r="AQ13" s="113">
        <f>IF($Z13=$Z12,$S17,0)</f>
        <v>0</v>
      </c>
      <c r="AR13" s="113"/>
      <c r="AS13" s="113">
        <f>IF($Z13=$Z14,$U17,0)</f>
        <v>0</v>
      </c>
      <c r="AT13" s="113">
        <f>IF($Z13=$Z15,$V17,0)</f>
        <v>0</v>
      </c>
      <c r="AU13" s="113">
        <f>SUM(AQ13:AT13)</f>
        <v>0</v>
      </c>
      <c r="AV13" s="114">
        <f>IF(AND(COUNTIF(K13:K18,$B$57)=COUNTA(H13:H18),COUNTIF(K13:K18,$B$57)=COUNTA(J13:J18)),IF(AU13=AU12,S17-T16,IF(AU13=AU14,U17-T18,IF(AU13=AU15,V17-T19,3))),3)</f>
        <v>-2</v>
      </c>
      <c r="AW13" s="88"/>
      <c r="BA13" s="2">
        <v>11</v>
      </c>
      <c r="BB13" s="5">
        <v>45130.5</v>
      </c>
      <c r="BC13" s="4" t="s">
        <v>173</v>
      </c>
      <c r="BD13" s="43" t="str">
        <f>BY12</f>
        <v>Frankreich</v>
      </c>
      <c r="BE13" s="50" t="s">
        <v>35</v>
      </c>
      <c r="BF13" s="43" t="str">
        <f>BY13</f>
        <v>Jamaika</v>
      </c>
      <c r="BG13" s="35"/>
      <c r="BH13" s="103">
        <v>3</v>
      </c>
      <c r="BI13" s="105" t="s">
        <v>36</v>
      </c>
      <c r="BJ13" s="103">
        <v>1</v>
      </c>
      <c r="BK13" s="6" t="s">
        <v>62</v>
      </c>
      <c r="BL13" s="1"/>
      <c r="BM13" s="39" t="str">
        <f>VLOOKUP(2,$BX$12:$CC$15,2,FALSE)</f>
        <v>Frankreich</v>
      </c>
      <c r="BN13" s="2">
        <f>VLOOKUP(2,$BX$12:$CC$15,3,FALSE)</f>
        <v>6</v>
      </c>
      <c r="BO13" s="2">
        <f>VLOOKUP(2,$BX$12:$CC$15,4,FALSE)</f>
        <v>9</v>
      </c>
      <c r="BP13" s="2">
        <f>VLOOKUP(2,$BX$12:$CC$15,5,FALSE)</f>
        <v>5</v>
      </c>
      <c r="BQ13" s="2">
        <f>VLOOKUP(2,$BX$12:$CC$15,6,FALSE)</f>
        <v>4</v>
      </c>
      <c r="BS13" s="46">
        <f>IF(BJ13="",0,IF(BK13=$B$57,IF(BH13&lt;BJ13,3,IF(BH13=BJ13,1,0)),0))</f>
        <v>0</v>
      </c>
      <c r="BT13" s="45"/>
      <c r="BU13" s="46">
        <f>IF(BH18="",0,IF(BK18=$B$57,IF(BH18&gt;BJ18,3,IF(BH18=BJ18,1,0)),0))</f>
        <v>0</v>
      </c>
      <c r="BV13" s="46">
        <f>IF(BH16="",0,IF(BK16=$B$57,IF(BH16&gt;BJ16,3,IF(BH16=BJ16,1,0)),0))</f>
        <v>1</v>
      </c>
      <c r="BW13" s="47"/>
      <c r="BX13" s="112">
        <f>RANK(CD13,CD12:CD15)+COUNTIF(CD12:CD13,CD13)-1</f>
        <v>3</v>
      </c>
      <c r="BY13" s="48" t="s">
        <v>175</v>
      </c>
      <c r="BZ13" s="47">
        <f>SUM(BS13:BV13)</f>
        <v>1</v>
      </c>
      <c r="CA13" s="47">
        <f>SUM(BS17:BV17)</f>
        <v>3</v>
      </c>
      <c r="CB13" s="47">
        <f>SUM(BT16:BT19)</f>
        <v>9</v>
      </c>
      <c r="CC13" s="47">
        <f>CA13-CB13</f>
        <v>-6</v>
      </c>
      <c r="CD13" s="49">
        <f>IF(BP$18="",(((((((CE13*10+BZ13)*100+CC13)*100+CA13)*10+CK13)*10+CJ13)*100+CP13)*100+CU13)*10+CV13,(((((((CE13*10+BZ13)*10+CK13)*10+CJ13)*100+CP13)*100+CU13)*100+CC13)*100+CA13)*10+CV13)</f>
        <v>100000094030</v>
      </c>
      <c r="CE13" s="94"/>
      <c r="CF13" s="113">
        <f>IF($BZ13=$BZ12,$BS13-$BT12,0)</f>
        <v>0</v>
      </c>
      <c r="CG13" s="113"/>
      <c r="CH13" s="113">
        <f>IF($BZ13=$BZ14,$BU13-$BT14,0)</f>
        <v>0</v>
      </c>
      <c r="CI13" s="115">
        <f>IF($BZ13=$BZ15,$BV13-$BT15,0)</f>
        <v>0</v>
      </c>
      <c r="CJ13" s="115">
        <f>SUM(CF13:CI13)</f>
        <v>0</v>
      </c>
      <c r="CK13" s="95"/>
      <c r="CL13" s="115">
        <f>IF($BZ13=$BZ12,$BS17-$BT16,0)</f>
        <v>0</v>
      </c>
      <c r="CM13" s="115"/>
      <c r="CN13" s="115">
        <f>IF($BZ13=$BZ14,$BU17-$BT18,0)</f>
        <v>0</v>
      </c>
      <c r="CO13" s="115">
        <f>IF($BZ13=$BZ15,$BV17-$BT19,0)</f>
        <v>0</v>
      </c>
      <c r="CP13" s="115">
        <f>SUM(CL13:CO13)</f>
        <v>0</v>
      </c>
      <c r="CQ13" s="115">
        <f>IF($BZ13=$BZ12,$BS17,0)</f>
        <v>0</v>
      </c>
      <c r="CR13" s="115"/>
      <c r="CS13" s="115">
        <f>IF($BZ13=$BZ14,$BU17,0)</f>
        <v>0</v>
      </c>
      <c r="CT13" s="115">
        <f>IF($BZ13=$BZ15,$BV17,0)</f>
        <v>1</v>
      </c>
      <c r="CU13" s="115">
        <f>SUM(CQ13:CT13)</f>
        <v>1</v>
      </c>
      <c r="CV13" s="114">
        <f>IF(AND(COUNTIF(BK13:BK18,$B$57)=COUNTA(BH13:BH18),COUNTIF(BK13:BK18,$B$57)=COUNTA(BJ13:BJ18)),IF(CU13=CU12,BS17-BT16,IF(CU13=CU14,BU17-BT18,IF(CU13=CU15,BV17-BT19,3))),3)</f>
        <v>0</v>
      </c>
      <c r="CW13" s="49"/>
    </row>
    <row r="14" spans="1:101" ht="12.75">
      <c r="A14" s="2">
        <v>4</v>
      </c>
      <c r="B14" s="5">
        <v>45128.1875</v>
      </c>
      <c r="C14" s="4" t="s">
        <v>176</v>
      </c>
      <c r="D14" s="43" t="str">
        <f>Y14</f>
        <v>Nigeria</v>
      </c>
      <c r="E14" s="50" t="s">
        <v>35</v>
      </c>
      <c r="F14" s="43" t="str">
        <f>Y15</f>
        <v>Kanada</v>
      </c>
      <c r="G14" s="35"/>
      <c r="H14" s="103">
        <v>1</v>
      </c>
      <c r="I14" s="105" t="s">
        <v>36</v>
      </c>
      <c r="J14" s="103">
        <v>3</v>
      </c>
      <c r="K14" s="6" t="s">
        <v>62</v>
      </c>
      <c r="L14" s="1"/>
      <c r="M14" s="39" t="str">
        <f>VLOOKUP(3,$X$12:$AC$15,2,FALSE)</f>
        <v>Australien</v>
      </c>
      <c r="N14" s="2">
        <f>VLOOKUP(3,$X$12:$AC$15,3,FALSE)</f>
        <v>3</v>
      </c>
      <c r="O14" s="2">
        <f>VLOOKUP(3,$X$12:$AC$15,4,FALSE)</f>
        <v>4</v>
      </c>
      <c r="P14" s="2">
        <f>VLOOKUP(3,$X$12:$AC$15,5,FALSE)</f>
        <v>5</v>
      </c>
      <c r="Q14" s="2">
        <f>VLOOKUP(3,$X$12:$AC$15,6,FALSE)</f>
        <v>-1</v>
      </c>
      <c r="S14" s="46">
        <f>IF(J15="",0,IF(K15=$B$57,IF(H15&lt;J15,3,IF(H15=J15,1,0)),0))</f>
        <v>3</v>
      </c>
      <c r="T14" s="46">
        <f>IF(J18="",0,IF(K18=$B$57,IF(H18&lt;J18,3,IF(H18=J18,1,0)),0))</f>
        <v>1</v>
      </c>
      <c r="U14" s="45"/>
      <c r="V14" s="46">
        <f>IF(H14="",0,IF(K14=$B$57,IF(H14&gt;J14,3,IF(H14=J14,1,0)),0))</f>
        <v>0</v>
      </c>
      <c r="W14" s="47"/>
      <c r="X14" s="112">
        <f>RANK(AD14,AD12:AD15)+COUNTIF(AD12:AD14,AD14)-1</f>
        <v>2</v>
      </c>
      <c r="Y14" s="48" t="s">
        <v>177</v>
      </c>
      <c r="Z14" s="47">
        <f>SUM(S14:V14)</f>
        <v>4</v>
      </c>
      <c r="AA14" s="47">
        <f>SUM(S18:V18)</f>
        <v>4</v>
      </c>
      <c r="AB14" s="47">
        <f>SUM(U16:U19)</f>
        <v>4</v>
      </c>
      <c r="AC14" s="47">
        <f>AA14-AB14</f>
        <v>0</v>
      </c>
      <c r="AD14" s="49">
        <f>IF(P$18="",(((((((AE14*10+Z14)*100+AC14)*100+AA14)*10+AK14)*10+AJ14)*100+AP14)*100+AU14)*10+AV14,(((((((AE14*10+Z14)*10+AK14)*10+AJ14)*100+AP14)*100+AU14)*100+AC14)*100+AA14)*10+AV14)</f>
        <v>400000000042</v>
      </c>
      <c r="AE14" s="94"/>
      <c r="AF14" s="113">
        <f>IF($Z14=$Z12,$S14-$U12,0)</f>
        <v>0</v>
      </c>
      <c r="AG14" s="113">
        <f>IF($Z14=$Z13,$T14-$U13,0)</f>
        <v>0</v>
      </c>
      <c r="AH14" s="113"/>
      <c r="AI14" s="113">
        <f>IF($Z14=$Z15,$V14-$U15,0)</f>
        <v>0</v>
      </c>
      <c r="AJ14" s="113">
        <f>SUM(AF14:AI14)</f>
        <v>0</v>
      </c>
      <c r="AK14" s="94"/>
      <c r="AL14" s="113">
        <f>IF($Z14=$Z12,$S18-$U16,0)</f>
        <v>0</v>
      </c>
      <c r="AM14" s="113">
        <f>IF($Z14=$Z13,$T18-$U17,0)</f>
        <v>0</v>
      </c>
      <c r="AN14" s="113"/>
      <c r="AO14" s="113">
        <f>IF($Z14=$Z15,$V18-$U19,0)</f>
        <v>0</v>
      </c>
      <c r="AP14" s="113">
        <f>SUM(AL14:AO14)</f>
        <v>0</v>
      </c>
      <c r="AQ14" s="113">
        <f>IF($Z14=$Z12,$S18,0)</f>
        <v>0</v>
      </c>
      <c r="AR14" s="113">
        <f>IF($Z14=$Z13,$T18,0)</f>
        <v>0</v>
      </c>
      <c r="AS14" s="113"/>
      <c r="AT14" s="113">
        <f>IF($Z14=$Z15,$V18,0)</f>
        <v>0</v>
      </c>
      <c r="AU14" s="113">
        <f>SUM(AQ14:AT14)</f>
        <v>0</v>
      </c>
      <c r="AV14" s="114">
        <f>IF(AND(COUNTIF(K13:K18,$B$57)=COUNTA(H13:H18),COUNTIF(K13:K18,$B$57)=COUNTA(J13:J18)),IF(AU14=AU12,S18-U16,IF(AU14=AU13,T18-U17,IF(AU14=AU15,V18-U19,2))),2)</f>
        <v>2</v>
      </c>
      <c r="AW14" s="88"/>
      <c r="BA14" s="2">
        <v>12</v>
      </c>
      <c r="BB14" s="5">
        <v>45131.541666666664</v>
      </c>
      <c r="BC14" s="4" t="s">
        <v>178</v>
      </c>
      <c r="BD14" s="43" t="str">
        <f>BY14</f>
        <v>Brasilien</v>
      </c>
      <c r="BE14" s="50" t="s">
        <v>35</v>
      </c>
      <c r="BF14" s="43" t="str">
        <f>BY15</f>
        <v>Panama</v>
      </c>
      <c r="BG14" s="35"/>
      <c r="BH14" s="103">
        <v>6</v>
      </c>
      <c r="BI14" s="105" t="s">
        <v>36</v>
      </c>
      <c r="BJ14" s="103">
        <v>0</v>
      </c>
      <c r="BK14" s="6" t="s">
        <v>62</v>
      </c>
      <c r="BL14" s="1"/>
      <c r="BM14" s="39" t="str">
        <f>VLOOKUP(3,$BX$12:$CC$15,2,FALSE)</f>
        <v>Jamaika</v>
      </c>
      <c r="BN14" s="2">
        <f>VLOOKUP(3,$BX$12:$CC$15,3,FALSE)</f>
        <v>1</v>
      </c>
      <c r="BO14" s="2">
        <f>VLOOKUP(3,$BX$12:$CC$15,4,FALSE)</f>
        <v>3</v>
      </c>
      <c r="BP14" s="2">
        <f>VLOOKUP(3,$BX$12:$CC$15,5,FALSE)</f>
        <v>9</v>
      </c>
      <c r="BQ14" s="2">
        <f>VLOOKUP(3,$BX$12:$CC$15,6,FALSE)</f>
        <v>-6</v>
      </c>
      <c r="BS14" s="46">
        <f>IF(BJ15="",0,IF(BK15=$B$57,IF(BH15&lt;BJ15,3,IF(BH15=BJ15,1,0)),0))</f>
        <v>3</v>
      </c>
      <c r="BT14" s="46">
        <f>IF(BJ18="",0,IF(BK18=$B$57,IF(BH18&lt;BJ18,3,IF(BH18=BJ18,1,0)),0))</f>
        <v>3</v>
      </c>
      <c r="BU14" s="45"/>
      <c r="BV14" s="46">
        <f>IF(BH14="",0,IF(BK14=$B$57,IF(BH14&gt;BJ14,3,IF(BH14=BJ14,1,0)),0))</f>
        <v>3</v>
      </c>
      <c r="BW14" s="47"/>
      <c r="BX14" s="112">
        <f>RANK(CD14,CD12:CD15)+COUNTIF(CD12:CD14,CD14)-1</f>
        <v>1</v>
      </c>
      <c r="BY14" s="48" t="s">
        <v>179</v>
      </c>
      <c r="BZ14" s="47">
        <f>SUM(BS14:BV14)</f>
        <v>9</v>
      </c>
      <c r="CA14" s="47">
        <f>SUM(BS18:BV18)</f>
        <v>14</v>
      </c>
      <c r="CB14" s="47">
        <f>SUM(BU16:BU19)</f>
        <v>3</v>
      </c>
      <c r="CC14" s="47">
        <f>CA14-CB14</f>
        <v>11</v>
      </c>
      <c r="CD14" s="49">
        <f>IF(BP$18="",(((((((CE14*10+BZ14)*100+CC14)*100+CA14)*10+CK14)*10+CJ14)*100+CP14)*100+CU14)*10+CV14,(((((((CE14*10+BZ14)*10+CK14)*10+CJ14)*100+CP14)*100+CU14)*100+CC14)*100+CA14)*10+CV14)</f>
        <v>900000011141</v>
      </c>
      <c r="CE14" s="94"/>
      <c r="CF14" s="113">
        <f>IF($BZ14=$BZ12,$BS14-$BU12,0)</f>
        <v>0</v>
      </c>
      <c r="CG14" s="113">
        <f>IF($BZ14=$BZ13,$BT14-$BU13,0)</f>
        <v>0</v>
      </c>
      <c r="CH14" s="113"/>
      <c r="CI14" s="115">
        <f>IF($BZ14=$BZ15,$BV14-$BU15,0)</f>
        <v>0</v>
      </c>
      <c r="CJ14" s="115">
        <f>SUM(CF14:CI14)</f>
        <v>0</v>
      </c>
      <c r="CK14" s="95"/>
      <c r="CL14" s="115">
        <f>IF($BZ14=$BZ12,$BS18-$BU16,0)</f>
        <v>0</v>
      </c>
      <c r="CM14" s="115">
        <f>IF($BZ14=$BZ13,$BT18-$BU17,0)</f>
        <v>0</v>
      </c>
      <c r="CN14" s="115"/>
      <c r="CO14" s="115">
        <f>IF($BZ14=$BZ15,$BV18-$BU19,0)</f>
        <v>0</v>
      </c>
      <c r="CP14" s="115">
        <f>SUM(CL14:CO14)</f>
        <v>0</v>
      </c>
      <c r="CQ14" s="115">
        <f>IF($BZ14=$BZ12,$BS18,0)</f>
        <v>0</v>
      </c>
      <c r="CR14" s="115">
        <f>IF($BZ14=$BZ13,$BT18,0)</f>
        <v>0</v>
      </c>
      <c r="CS14" s="115"/>
      <c r="CT14" s="115">
        <f>IF($BZ14=$BZ15,$BV18,0)</f>
        <v>0</v>
      </c>
      <c r="CU14" s="115">
        <f>SUM(CQ14:CT14)</f>
        <v>0</v>
      </c>
      <c r="CV14" s="114">
        <f>IF(AND(COUNTIF(BK13:BK18,$B$57)=COUNTA(BH13:BH18),COUNTIF(BK13:BK18,$B$57)=COUNTA(BJ13:BJ18)),IF(CU14=CU12,BS18-BU16,IF(CU14=CU13,BT18-BU17,IF(CU14=CU15,BV18-BU19,2))),2)</f>
        <v>1</v>
      </c>
      <c r="CW14" s="49"/>
    </row>
    <row r="15" spans="1:101" ht="12.75">
      <c r="A15" s="2">
        <v>19</v>
      </c>
      <c r="B15" s="5">
        <v>45134.5</v>
      </c>
      <c r="C15" s="4" t="s">
        <v>180</v>
      </c>
      <c r="D15" s="43" t="str">
        <f>Y12</f>
        <v>Australien</v>
      </c>
      <c r="E15" s="50" t="s">
        <v>35</v>
      </c>
      <c r="F15" s="43" t="str">
        <f>Y14</f>
        <v>Nigeria</v>
      </c>
      <c r="G15" s="35"/>
      <c r="H15" s="103">
        <v>0</v>
      </c>
      <c r="I15" s="105" t="s">
        <v>36</v>
      </c>
      <c r="J15" s="103">
        <v>2</v>
      </c>
      <c r="K15" s="6" t="s">
        <v>62</v>
      </c>
      <c r="L15" s="1"/>
      <c r="M15" s="39" t="str">
        <f>VLOOKUP(4,$X$12:$AC$15,2,FALSE)</f>
        <v>Irland</v>
      </c>
      <c r="N15" s="2">
        <f>VLOOKUP(4,$X$12:$AC$15,3,FALSE)</f>
        <v>1</v>
      </c>
      <c r="O15" s="2">
        <f>VLOOKUP(4,$X$12:$AC$15,4,FALSE)</f>
        <v>2</v>
      </c>
      <c r="P15" s="2">
        <f>VLOOKUP(4,$X$12:$AC$15,5,FALSE)</f>
        <v>6</v>
      </c>
      <c r="Q15" s="2">
        <f>VLOOKUP(4,$X$12:$AC$15,6,FALSE)</f>
        <v>-4</v>
      </c>
      <c r="S15" s="46">
        <f>IF(H17="",0,IF(K17=$B$57,IF(H17&gt;J17,3,IF(H17=J17,1,0)),0))</f>
        <v>3</v>
      </c>
      <c r="T15" s="46">
        <f>IF(J16="",0,IF(K16=$B$57,IF(H16&lt;J16,3,IF(H16=J16,1,0)),0))</f>
        <v>3</v>
      </c>
      <c r="U15" s="46">
        <f>IF(J14="",0,IF(K14=$B$57,IF(H14&lt;J14,3,IF(H14=J14,1,0)),0))</f>
        <v>3</v>
      </c>
      <c r="V15" s="45"/>
      <c r="W15" s="47"/>
      <c r="X15" s="112">
        <f>RANK(AD15,AD12:AD15)+COUNTIF(AD12:AD15,AD15)-1</f>
        <v>1</v>
      </c>
      <c r="Y15" s="48" t="s">
        <v>181</v>
      </c>
      <c r="Z15" s="47">
        <f>SUM(S15:V15)</f>
        <v>9</v>
      </c>
      <c r="AA15" s="47">
        <f>SUM(S19:V19)</f>
        <v>9</v>
      </c>
      <c r="AB15" s="47">
        <f>SUM(V16:V19)</f>
        <v>4</v>
      </c>
      <c r="AC15" s="47">
        <f>AA15-AB15</f>
        <v>5</v>
      </c>
      <c r="AD15" s="49">
        <f>IF(P$18="",(((((((AE15*10+Z15)*100+AC15)*100+AA15)*10+AK15)*10+AJ15)*100+AP15)*100+AU15)*10+AV15,(((((((AE15*10+Z15)*10+AK15)*10+AJ15)*100+AP15)*100+AU15)*100+AC15)*100+AA15)*10+AV15)</f>
        <v>900000005091</v>
      </c>
      <c r="AE15" s="94"/>
      <c r="AF15" s="113">
        <f>IF($Z15=$Z12,$S15-$V12,0)</f>
        <v>0</v>
      </c>
      <c r="AG15" s="113">
        <f>IF($Z15=$Z13,$T15-$V13,0)</f>
        <v>0</v>
      </c>
      <c r="AH15" s="113">
        <f>IF($Z15=$Z14,$U15-$V14,0)</f>
        <v>0</v>
      </c>
      <c r="AI15" s="113"/>
      <c r="AJ15" s="113">
        <f>SUM(AF15:AI15)</f>
        <v>0</v>
      </c>
      <c r="AK15" s="94"/>
      <c r="AL15" s="113">
        <f>IF($Z15=$Z12,$S19-$V16,0)</f>
        <v>0</v>
      </c>
      <c r="AM15" s="113">
        <f>IF($Z15=$Z13,$T19-$V17,0)</f>
        <v>0</v>
      </c>
      <c r="AN15" s="113">
        <f>IF($Z15=$Z14,$U19-$V18,0)</f>
        <v>0</v>
      </c>
      <c r="AO15" s="113"/>
      <c r="AP15" s="113">
        <f>SUM(AL15:AO15)</f>
        <v>0</v>
      </c>
      <c r="AQ15" s="113">
        <f>IF($Z15=$Z12,$S19,0)</f>
        <v>0</v>
      </c>
      <c r="AR15" s="113">
        <f>IF($Z15=$Z13,$T19,0)</f>
        <v>0</v>
      </c>
      <c r="AS15" s="113">
        <f>IF($Z15=$Z14,$U19,0)</f>
        <v>0</v>
      </c>
      <c r="AT15" s="113"/>
      <c r="AU15" s="113">
        <f>SUM(AQ15:AT15)</f>
        <v>0</v>
      </c>
      <c r="AV15" s="114">
        <f>IF(AND(COUNTIF(K13:K18,$B$57)=COUNTA(H13:H18),COUNTIF(K13:K18,$B$57)=COUNTA(J13:J18)),IF(AU15=AU12,S19-V16,IF(AU15=AU13,T19-V17,IF(AU15=AU14,U19-V18,1))),1)</f>
        <v>1</v>
      </c>
      <c r="AW15" s="88"/>
      <c r="BA15" s="2">
        <v>27</v>
      </c>
      <c r="BB15" s="5">
        <v>45136.5</v>
      </c>
      <c r="BC15" s="4" t="s">
        <v>180</v>
      </c>
      <c r="BD15" s="43" t="str">
        <f>BY12</f>
        <v>Frankreich</v>
      </c>
      <c r="BE15" s="50" t="s">
        <v>35</v>
      </c>
      <c r="BF15" s="43" t="str">
        <f>BY14</f>
        <v>Brasilien</v>
      </c>
      <c r="BG15" s="35"/>
      <c r="BH15" s="103">
        <v>2</v>
      </c>
      <c r="BI15" s="105" t="s">
        <v>36</v>
      </c>
      <c r="BJ15" s="103">
        <v>3</v>
      </c>
      <c r="BK15" s="6" t="s">
        <v>62</v>
      </c>
      <c r="BL15" s="1"/>
      <c r="BM15" s="39" t="str">
        <f>VLOOKUP(4,$BX$12:$CC$15,2,FALSE)</f>
        <v>Panama</v>
      </c>
      <c r="BN15" s="2">
        <f>VLOOKUP(4,$BX$12:$CC$15,3,FALSE)</f>
        <v>1</v>
      </c>
      <c r="BO15" s="2">
        <f>VLOOKUP(4,$BX$12:$CC$15,4,FALSE)</f>
        <v>2</v>
      </c>
      <c r="BP15" s="2">
        <f>VLOOKUP(4,$BX$12:$CC$15,5,FALSE)</f>
        <v>11</v>
      </c>
      <c r="BQ15" s="2">
        <f>VLOOKUP(4,$BX$12:$CC$15,6,FALSE)</f>
        <v>-9</v>
      </c>
      <c r="BS15" s="46">
        <f>IF(BH17="",0,IF(BK17=$B$57,IF(BH17&gt;BJ17,3,IF(BH17=BJ17,1,0)),0))</f>
        <v>0</v>
      </c>
      <c r="BT15" s="46">
        <f>IF(BJ16="",0,IF(BK16=$B$57,IF(BH16&lt;BJ16,3,IF(BH16=BJ16,1,0)),0))</f>
        <v>1</v>
      </c>
      <c r="BU15" s="46">
        <f>IF(BJ14="",0,IF(BK14=$B$57,IF(BH14&lt;BJ14,3,IF(BH14=BJ14,1,0)),0))</f>
        <v>0</v>
      </c>
      <c r="BV15" s="45"/>
      <c r="BW15" s="47"/>
      <c r="BX15" s="112">
        <f>RANK(CD15,CD12:CD15)+COUNTIF(CD12:CD15,CD15)-1</f>
        <v>4</v>
      </c>
      <c r="BY15" s="48" t="s">
        <v>182</v>
      </c>
      <c r="BZ15" s="47">
        <f>SUM(BS15:BV15)</f>
        <v>1</v>
      </c>
      <c r="CA15" s="47">
        <f>SUM(BS19:BV19)</f>
        <v>2</v>
      </c>
      <c r="CB15" s="47">
        <f>SUM(BV16:BV19)</f>
        <v>11</v>
      </c>
      <c r="CC15" s="47">
        <f>CA15-CB15</f>
        <v>-9</v>
      </c>
      <c r="CD15" s="49">
        <f>IF(BP$18="",(((((((CE15*10+BZ15)*100+CC15)*100+CA15)*10+CK15)*10+CJ15)*100+CP15)*100+CU15)*10+CV15,(((((((CE15*10+BZ15)*10+CK15)*10+CJ15)*100+CP15)*100+CU15)*100+CC15)*100+CA15)*10+CV15)</f>
        <v>100000091020</v>
      </c>
      <c r="CE15" s="94"/>
      <c r="CF15" s="113">
        <f>IF($BZ15=$BZ12,$BS15-$BV12,0)</f>
        <v>0</v>
      </c>
      <c r="CG15" s="113">
        <f>IF($BZ15=$BZ13,$BT15-$BV13,0)</f>
        <v>0</v>
      </c>
      <c r="CH15" s="113">
        <f>IF($BZ15=$BZ14,$BU15-$BV14,0)</f>
        <v>0</v>
      </c>
      <c r="CI15" s="115"/>
      <c r="CJ15" s="115">
        <f>SUM(CF15:CI15)</f>
        <v>0</v>
      </c>
      <c r="CK15" s="95"/>
      <c r="CL15" s="115">
        <f>IF($BZ15=$BZ12,$BS19-$BV16,0)</f>
        <v>0</v>
      </c>
      <c r="CM15" s="115">
        <f>IF($BZ15=$BZ13,$BT19-$BV17,0)</f>
        <v>0</v>
      </c>
      <c r="CN15" s="115">
        <f>IF($BZ15=$BZ14,$BU19-$BV18,0)</f>
        <v>0</v>
      </c>
      <c r="CO15" s="115"/>
      <c r="CP15" s="115">
        <f>SUM(CL15:CO15)</f>
        <v>0</v>
      </c>
      <c r="CQ15" s="115">
        <f>IF($BZ15=$BZ12,$BS19,0)</f>
        <v>0</v>
      </c>
      <c r="CR15" s="115">
        <f>IF($BZ15=$BZ13,$BT19,0)</f>
        <v>1</v>
      </c>
      <c r="CS15" s="115">
        <f>IF($BZ15=$BZ14,$BU19,0)</f>
        <v>0</v>
      </c>
      <c r="CT15" s="115"/>
      <c r="CU15" s="115">
        <f>SUM(CQ15:CT15)</f>
        <v>1</v>
      </c>
      <c r="CV15" s="114">
        <f>IF(AND(COUNTIF(BK13:BK18,$B$57)=COUNTA(BH13:BH18),COUNTIF(BK13:BK18,$B$57)=COUNTA(BJ13:BJ18)),IF(CU15=CU12,BS19-BV16,IF(CU15=CU13,BT19-BV17,IF(CU15=CU14,BU19-BV18,1))),1)</f>
        <v>0</v>
      </c>
      <c r="CW15" s="49"/>
    </row>
    <row r="16" spans="1:101" ht="12.75">
      <c r="A16" s="2">
        <v>20</v>
      </c>
      <c r="B16" s="5">
        <v>45133.583333333336</v>
      </c>
      <c r="C16" s="4" t="s">
        <v>183</v>
      </c>
      <c r="D16" s="43" t="str">
        <f>Y13</f>
        <v>Irland</v>
      </c>
      <c r="E16" s="50" t="s">
        <v>35</v>
      </c>
      <c r="F16" s="43" t="str">
        <f>Y15</f>
        <v>Kanada</v>
      </c>
      <c r="G16" s="35"/>
      <c r="H16" s="103">
        <v>1</v>
      </c>
      <c r="I16" s="105" t="s">
        <v>36</v>
      </c>
      <c r="J16" s="103">
        <v>3</v>
      </c>
      <c r="K16" s="6" t="s">
        <v>62</v>
      </c>
      <c r="L16" s="1"/>
      <c r="N16" s="1"/>
      <c r="O16" s="1"/>
      <c r="P16" s="1"/>
      <c r="S16" s="45"/>
      <c r="T16" s="46">
        <f>IF(K13=$B$57,H13,0)</f>
        <v>2</v>
      </c>
      <c r="U16" s="46">
        <f>IF(K15=$B$57,H15,0)</f>
        <v>0</v>
      </c>
      <c r="V16" s="46">
        <f>IF(K17=$B$57,J17,0)</f>
        <v>2</v>
      </c>
      <c r="W16" s="47"/>
      <c r="X16" s="47"/>
      <c r="Y16" s="47"/>
      <c r="Z16" s="47"/>
      <c r="AA16" s="47"/>
      <c r="AB16" s="47"/>
      <c r="AC16" s="47"/>
      <c r="AD16" s="71"/>
      <c r="AE16" s="96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V16" s="113"/>
      <c r="AW16" s="88"/>
      <c r="BA16" s="2">
        <v>28</v>
      </c>
      <c r="BB16" s="5">
        <v>45136.604166666664</v>
      </c>
      <c r="BC16" s="4" t="s">
        <v>183</v>
      </c>
      <c r="BD16" s="43" t="str">
        <f>BY13</f>
        <v>Jamaika</v>
      </c>
      <c r="BE16" s="50" t="s">
        <v>35</v>
      </c>
      <c r="BF16" s="43" t="str">
        <f>BY15</f>
        <v>Panama</v>
      </c>
      <c r="BG16" s="35"/>
      <c r="BH16" s="103">
        <v>1</v>
      </c>
      <c r="BI16" s="105" t="s">
        <v>36</v>
      </c>
      <c r="BJ16" s="103">
        <v>1</v>
      </c>
      <c r="BK16" s="6" t="s">
        <v>62</v>
      </c>
      <c r="BL16" s="1"/>
      <c r="BN16" s="1"/>
      <c r="BO16" s="1"/>
      <c r="BP16" s="1"/>
      <c r="BS16" s="45"/>
      <c r="BT16" s="46">
        <f>IF(BK13=$B$57,BH13,0)</f>
        <v>3</v>
      </c>
      <c r="BU16" s="46">
        <f>IF(BK15=$B$57,BH15,0)</f>
        <v>2</v>
      </c>
      <c r="BV16" s="46">
        <f>IF(BK17=$B$57,BJ17,0)</f>
        <v>4</v>
      </c>
      <c r="BW16" s="47"/>
      <c r="BX16" s="47"/>
      <c r="BY16" s="47"/>
      <c r="BZ16" s="47"/>
      <c r="CA16" s="47"/>
      <c r="CB16" s="47"/>
      <c r="CC16" s="47"/>
      <c r="CD16" s="71"/>
      <c r="CE16" s="96"/>
      <c r="CF16" s="113"/>
      <c r="CG16" s="113"/>
      <c r="CH16" s="113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V16" s="115"/>
      <c r="CW16" s="49"/>
    </row>
    <row r="17" spans="1:101" ht="12.75">
      <c r="A17" s="2">
        <v>35</v>
      </c>
      <c r="B17" s="5">
        <v>45138.5</v>
      </c>
      <c r="C17" s="4" t="s">
        <v>176</v>
      </c>
      <c r="D17" s="43" t="str">
        <f>Y15</f>
        <v>Kanada</v>
      </c>
      <c r="E17" s="50" t="s">
        <v>35</v>
      </c>
      <c r="F17" s="43" t="str">
        <f>Y12</f>
        <v>Australien</v>
      </c>
      <c r="G17" s="42"/>
      <c r="H17" s="103">
        <v>3</v>
      </c>
      <c r="I17" s="105" t="s">
        <v>36</v>
      </c>
      <c r="J17" s="103">
        <v>2</v>
      </c>
      <c r="K17" s="6" t="s">
        <v>62</v>
      </c>
      <c r="M17" s="56" t="str">
        <f>IF(N12&gt;0,M12,"")</f>
        <v>Kanada</v>
      </c>
      <c r="N17" s="2" t="s">
        <v>42</v>
      </c>
      <c r="P17" s="52"/>
      <c r="S17" s="46">
        <f>IF(K13=$B$57,J13,0)</f>
        <v>0</v>
      </c>
      <c r="T17" s="45"/>
      <c r="U17" s="46">
        <f>IF(K18=$B$57,H18,0)</f>
        <v>1</v>
      </c>
      <c r="V17" s="46">
        <f>IF(K16=$B$57,H16,0)</f>
        <v>1</v>
      </c>
      <c r="AD17" s="42" t="s">
        <v>140</v>
      </c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V17" s="116"/>
      <c r="AW17" s="88"/>
      <c r="BA17" s="2">
        <v>43</v>
      </c>
      <c r="BB17" s="5">
        <v>45140.5</v>
      </c>
      <c r="BC17" s="4" t="s">
        <v>173</v>
      </c>
      <c r="BD17" s="43" t="str">
        <f>BY15</f>
        <v>Panama</v>
      </c>
      <c r="BE17" s="50" t="s">
        <v>35</v>
      </c>
      <c r="BF17" s="43" t="str">
        <f>BY12</f>
        <v>Frankreich</v>
      </c>
      <c r="BG17" s="42"/>
      <c r="BH17" s="103">
        <v>1</v>
      </c>
      <c r="BI17" s="105" t="s">
        <v>36</v>
      </c>
      <c r="BJ17" s="103">
        <v>4</v>
      </c>
      <c r="BK17" s="6" t="s">
        <v>62</v>
      </c>
      <c r="BM17" s="118" t="str">
        <f>IF(BN12&gt;0,BM12,"")</f>
        <v>Brasilien</v>
      </c>
      <c r="BN17" s="2" t="s">
        <v>78</v>
      </c>
      <c r="BP17" s="52"/>
      <c r="BS17" s="46">
        <f>IF(BK13=$B$57,BJ13,0)</f>
        <v>1</v>
      </c>
      <c r="BT17" s="45"/>
      <c r="BU17" s="46">
        <f>IF(BK18=$B$57,BH18,0)</f>
        <v>1</v>
      </c>
      <c r="BV17" s="46">
        <f>IF(BK16=$B$57,BH16,0)</f>
        <v>1</v>
      </c>
      <c r="CD17" s="42" t="s">
        <v>140</v>
      </c>
      <c r="CF17" s="116"/>
      <c r="CG17" s="116"/>
      <c r="CH17" s="116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V17" s="117"/>
      <c r="CW17" s="49"/>
    </row>
    <row r="18" spans="1:101" ht="12.75">
      <c r="A18" s="2">
        <v>36</v>
      </c>
      <c r="B18" s="5">
        <v>45138.5</v>
      </c>
      <c r="C18" s="4" t="s">
        <v>180</v>
      </c>
      <c r="D18" s="43" t="str">
        <f>Y13</f>
        <v>Irland</v>
      </c>
      <c r="E18" s="50" t="s">
        <v>35</v>
      </c>
      <c r="F18" s="43" t="str">
        <f>Y14</f>
        <v>Nigeria</v>
      </c>
      <c r="G18" s="42"/>
      <c r="H18" s="103">
        <v>1</v>
      </c>
      <c r="I18" s="105" t="s">
        <v>36</v>
      </c>
      <c r="J18" s="103">
        <v>1</v>
      </c>
      <c r="K18" s="6" t="s">
        <v>62</v>
      </c>
      <c r="M18" s="56" t="str">
        <f>IF(N13&gt;0,M13,"")</f>
        <v>Nigeria</v>
      </c>
      <c r="N18" s="2" t="s">
        <v>43</v>
      </c>
      <c r="O18" s="53"/>
      <c r="P18" s="89" t="s">
        <v>170</v>
      </c>
      <c r="S18" s="46">
        <f>IF(K15=$B$57,J15,0)</f>
        <v>2</v>
      </c>
      <c r="T18" s="46">
        <f>IF(K18=$B$57,J18,0)</f>
        <v>1</v>
      </c>
      <c r="U18" s="45"/>
      <c r="V18" s="46">
        <f>IF(K14=$B$57,H14,0)</f>
        <v>1</v>
      </c>
      <c r="AD18" s="42" t="s">
        <v>141</v>
      </c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V18" s="116"/>
      <c r="AW18" s="88"/>
      <c r="BA18" s="2">
        <v>44</v>
      </c>
      <c r="BB18" s="5">
        <v>45140.5</v>
      </c>
      <c r="BC18" s="4" t="s">
        <v>176</v>
      </c>
      <c r="BD18" s="43" t="str">
        <f>BY13</f>
        <v>Jamaika</v>
      </c>
      <c r="BE18" s="50" t="s">
        <v>35</v>
      </c>
      <c r="BF18" s="43" t="str">
        <f>BY14</f>
        <v>Brasilien</v>
      </c>
      <c r="BG18" s="42"/>
      <c r="BH18" s="103">
        <v>1</v>
      </c>
      <c r="BI18" s="105" t="s">
        <v>36</v>
      </c>
      <c r="BJ18" s="103">
        <v>5</v>
      </c>
      <c r="BK18" s="6" t="s">
        <v>62</v>
      </c>
      <c r="BM18" s="118" t="str">
        <f>IF(BN13&gt;0,BM13,"")</f>
        <v>Frankreich</v>
      </c>
      <c r="BN18" s="2" t="s">
        <v>79</v>
      </c>
      <c r="BO18" s="53"/>
      <c r="BP18" s="89" t="s">
        <v>170</v>
      </c>
      <c r="BS18" s="46">
        <f>IF(BK15=$B$57,BJ15,0)</f>
        <v>3</v>
      </c>
      <c r="BT18" s="46">
        <f>IF(BK18=$B$57,BJ18,0)</f>
        <v>5</v>
      </c>
      <c r="BU18" s="45"/>
      <c r="BV18" s="46">
        <f>IF(BK14=$B$57,BH14,0)</f>
        <v>6</v>
      </c>
      <c r="CD18" s="42" t="s">
        <v>141</v>
      </c>
      <c r="CF18" s="116"/>
      <c r="CG18" s="116"/>
      <c r="CH18" s="116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V18" s="117"/>
      <c r="CW18" s="49"/>
    </row>
    <row r="19" spans="4:101" ht="12.75">
      <c r="D19" s="43"/>
      <c r="E19" s="50"/>
      <c r="F19" s="43"/>
      <c r="G19" s="42"/>
      <c r="N19" s="1"/>
      <c r="S19" s="46">
        <f>IF(K17=$B$57,H17,0)</f>
        <v>3</v>
      </c>
      <c r="T19" s="46">
        <f>IF(K16=$B$57,J16,0)</f>
        <v>3</v>
      </c>
      <c r="U19" s="46">
        <f>IF(K14=$B$57,J14,0)</f>
        <v>3</v>
      </c>
      <c r="V19" s="45"/>
      <c r="AD19" s="2" t="s">
        <v>171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V19" s="116"/>
      <c r="AW19" s="88"/>
      <c r="BD19" s="43"/>
      <c r="BE19" s="50"/>
      <c r="BF19" s="43"/>
      <c r="BG19" s="42"/>
      <c r="BN19" s="1"/>
      <c r="BS19" s="46">
        <f>IF(BK17=$B$57,BH17,0)</f>
        <v>1</v>
      </c>
      <c r="BT19" s="46">
        <f>IF(BK16=$B$57,BJ16,0)</f>
        <v>1</v>
      </c>
      <c r="BU19" s="46">
        <f>IF(BK14=$B$57,BJ14,0)</f>
        <v>0</v>
      </c>
      <c r="BV19" s="45"/>
      <c r="CD19" s="2" t="s">
        <v>171</v>
      </c>
      <c r="CF19" s="116"/>
      <c r="CG19" s="116"/>
      <c r="CH19" s="116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V19" s="117"/>
      <c r="CW19" s="49"/>
    </row>
    <row r="20" spans="4:101" ht="6" customHeight="1">
      <c r="D20" s="43"/>
      <c r="E20" s="50"/>
      <c r="F20" s="43"/>
      <c r="G20" s="37"/>
      <c r="H20" s="42"/>
      <c r="I20" s="42"/>
      <c r="J20" s="42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V20" s="116"/>
      <c r="AW20" s="88"/>
      <c r="BC20" s="3"/>
      <c r="BD20" s="43"/>
      <c r="BE20" s="50"/>
      <c r="BF20" s="43"/>
      <c r="BG20" s="37"/>
      <c r="BH20" s="42"/>
      <c r="BI20" s="42"/>
      <c r="BJ20" s="42"/>
      <c r="CF20" s="116"/>
      <c r="CG20" s="116"/>
      <c r="CH20" s="116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V20" s="117"/>
      <c r="CW20" s="49"/>
    </row>
    <row r="21" spans="2:101" s="10" customFormat="1" ht="12.75">
      <c r="B21" s="57" t="s">
        <v>23</v>
      </c>
      <c r="C21" s="58" t="s">
        <v>44</v>
      </c>
      <c r="D21" s="43" t="s">
        <v>25</v>
      </c>
      <c r="E21" s="50"/>
      <c r="F21" s="43"/>
      <c r="G21" s="35"/>
      <c r="H21" s="104"/>
      <c r="I21" s="92"/>
      <c r="J21" s="104"/>
      <c r="K21" s="93"/>
      <c r="L21" s="7"/>
      <c r="M21" s="31" t="s">
        <v>26</v>
      </c>
      <c r="N21" s="7" t="s">
        <v>27</v>
      </c>
      <c r="O21" s="7" t="s">
        <v>28</v>
      </c>
      <c r="P21" s="7" t="s">
        <v>29</v>
      </c>
      <c r="Q21" s="7" t="s">
        <v>30</v>
      </c>
      <c r="R21" s="7"/>
      <c r="S21" s="42"/>
      <c r="T21" s="42"/>
      <c r="U21" s="42"/>
      <c r="V21" s="42"/>
      <c r="W21" s="35"/>
      <c r="X21" s="35" t="s">
        <v>31</v>
      </c>
      <c r="Y21" s="43" t="s">
        <v>32</v>
      </c>
      <c r="Z21" s="35" t="s">
        <v>27</v>
      </c>
      <c r="AA21" s="35" t="s">
        <v>28</v>
      </c>
      <c r="AB21" s="35" t="s">
        <v>29</v>
      </c>
      <c r="AC21" s="35" t="s">
        <v>30</v>
      </c>
      <c r="AD21" s="35"/>
      <c r="AE21" s="92" t="s">
        <v>65</v>
      </c>
      <c r="AF21" s="50" t="s">
        <v>66</v>
      </c>
      <c r="AG21" s="50"/>
      <c r="AH21" s="50"/>
      <c r="AI21" s="50"/>
      <c r="AJ21" s="50" t="s">
        <v>67</v>
      </c>
      <c r="AK21" s="43" t="s">
        <v>68</v>
      </c>
      <c r="AL21" s="50" t="s">
        <v>69</v>
      </c>
      <c r="AM21" s="50"/>
      <c r="AN21" s="50"/>
      <c r="AO21" s="50"/>
      <c r="AP21" s="50" t="s">
        <v>70</v>
      </c>
      <c r="AQ21" s="50" t="s">
        <v>71</v>
      </c>
      <c r="AR21" s="50"/>
      <c r="AS21" s="50"/>
      <c r="AT21" s="50"/>
      <c r="AU21" s="38" t="s">
        <v>72</v>
      </c>
      <c r="AV21" s="43" t="s">
        <v>73</v>
      </c>
      <c r="AW21" s="87"/>
      <c r="BB21" s="119" t="s">
        <v>23</v>
      </c>
      <c r="BC21" s="120" t="s">
        <v>184</v>
      </c>
      <c r="BD21" s="43" t="s">
        <v>25</v>
      </c>
      <c r="BE21" s="50"/>
      <c r="BF21" s="43"/>
      <c r="BG21" s="35"/>
      <c r="BH21" s="104"/>
      <c r="BI21" s="92"/>
      <c r="BJ21" s="104"/>
      <c r="BK21" s="93"/>
      <c r="BL21" s="7"/>
      <c r="BM21" s="31" t="s">
        <v>26</v>
      </c>
      <c r="BN21" s="7" t="s">
        <v>27</v>
      </c>
      <c r="BO21" s="7" t="s">
        <v>28</v>
      </c>
      <c r="BP21" s="7" t="s">
        <v>29</v>
      </c>
      <c r="BQ21" s="7" t="s">
        <v>30</v>
      </c>
      <c r="BR21" s="7"/>
      <c r="BS21" s="42"/>
      <c r="BT21" s="42"/>
      <c r="BU21" s="42"/>
      <c r="BV21" s="42"/>
      <c r="BW21" s="35"/>
      <c r="BX21" s="35" t="s">
        <v>31</v>
      </c>
      <c r="BY21" s="43" t="s">
        <v>32</v>
      </c>
      <c r="BZ21" s="35" t="s">
        <v>27</v>
      </c>
      <c r="CA21" s="35" t="s">
        <v>28</v>
      </c>
      <c r="CB21" s="35" t="s">
        <v>29</v>
      </c>
      <c r="CC21" s="35" t="s">
        <v>30</v>
      </c>
      <c r="CD21" s="35"/>
      <c r="CE21" s="92" t="s">
        <v>65</v>
      </c>
      <c r="CF21" s="50" t="s">
        <v>66</v>
      </c>
      <c r="CG21" s="50"/>
      <c r="CH21" s="50"/>
      <c r="CI21" s="11"/>
      <c r="CJ21" s="11" t="s">
        <v>67</v>
      </c>
      <c r="CK21" s="8" t="s">
        <v>68</v>
      </c>
      <c r="CL21" s="11" t="s">
        <v>69</v>
      </c>
      <c r="CM21" s="11"/>
      <c r="CN21" s="11"/>
      <c r="CO21" s="11"/>
      <c r="CP21" s="11" t="s">
        <v>70</v>
      </c>
      <c r="CQ21" s="11" t="s">
        <v>71</v>
      </c>
      <c r="CR21" s="11"/>
      <c r="CS21" s="11"/>
      <c r="CT21" s="11"/>
      <c r="CU21" s="13" t="s">
        <v>72</v>
      </c>
      <c r="CV21" s="8" t="s">
        <v>73</v>
      </c>
      <c r="CW21" s="44"/>
    </row>
    <row r="22" spans="2:101" ht="12.75">
      <c r="B22" s="3" t="s">
        <v>33</v>
      </c>
      <c r="C22" s="3" t="s">
        <v>34</v>
      </c>
      <c r="D22" s="43"/>
      <c r="E22" s="50"/>
      <c r="F22" s="43"/>
      <c r="G22" s="42"/>
      <c r="L22" s="1"/>
      <c r="M22" s="39" t="str">
        <f>VLOOKUP(1,$X$22:$AC$25,2,FALSE)</f>
        <v>Japan</v>
      </c>
      <c r="N22" s="2">
        <f>VLOOKUP(1,$X$22:$AC$25,3,FALSE)</f>
        <v>7</v>
      </c>
      <c r="O22" s="2">
        <f>VLOOKUP(1,$X$22:$AC$25,4,FALSE)</f>
        <v>7</v>
      </c>
      <c r="P22" s="2">
        <f>VLOOKUP(1,$X$22:$AC$25,5,FALSE)</f>
        <v>3</v>
      </c>
      <c r="Q22" s="2">
        <f>VLOOKUP(1,$X$22:$AC$25,6,FALSE)</f>
        <v>4</v>
      </c>
      <c r="S22" s="45"/>
      <c r="T22" s="46">
        <f>IF(H23="",0,IF(K23=$B$57,IF(H23&gt;J23,3,IF(H23=J23,1,0)),0))</f>
        <v>3</v>
      </c>
      <c r="U22" s="46">
        <f>IF(H25="",0,IF(K25=$B$57,IF(H25&gt;J25,3,IF(H25=J25,1,0)),0))</f>
        <v>3</v>
      </c>
      <c r="V22" s="46">
        <f>IF(J27="",0,IF(K27=$B$57,IF(H27&lt;J27,3,IF(H27=J27,1,0)),0))</f>
        <v>1</v>
      </c>
      <c r="W22" s="47"/>
      <c r="X22" s="112">
        <f>RANK(AD22,AD22:AD25)+COUNTIF(AD22:AD22,AD22)-1</f>
        <v>2</v>
      </c>
      <c r="Y22" s="48" t="s">
        <v>45</v>
      </c>
      <c r="Z22" s="47">
        <f>SUM(S22:V22)</f>
        <v>7</v>
      </c>
      <c r="AA22" s="47">
        <f>SUM(S26:V26)</f>
        <v>7</v>
      </c>
      <c r="AB22" s="47">
        <f>SUM(S26:S29)</f>
        <v>4</v>
      </c>
      <c r="AC22" s="47">
        <f>AA22-AB22</f>
        <v>3</v>
      </c>
      <c r="AD22" s="49">
        <f>IF(P$28="",(((((((AE22*10+Z22)*100+AC22)*100+AA22)*10+AK22)*10+AJ22)*100+AP22)*100+AU22)*10+AV22,(((((((AE22*10+Z22)*10+AK22)*10+AJ22)*100+AP22)*100+AU22)*100+AC22)*100+AA22)*10+AV22)</f>
        <v>700000203070</v>
      </c>
      <c r="AE22" s="94"/>
      <c r="AF22" s="113"/>
      <c r="AG22" s="113">
        <f>IF($Z22=$Z23,$T22-$S23,0)</f>
        <v>0</v>
      </c>
      <c r="AH22" s="113">
        <f>IF($Z22=$Z24,$U22-$S24,0)</f>
        <v>0</v>
      </c>
      <c r="AI22" s="113">
        <f>IF($Z22=$Z25,$V22-$S25,0)</f>
        <v>0</v>
      </c>
      <c r="AJ22" s="113">
        <f>SUM(AF22:AI22)</f>
        <v>0</v>
      </c>
      <c r="AK22" s="94"/>
      <c r="AL22" s="113"/>
      <c r="AM22" s="113">
        <f>IF($Z22=$Z23,$T26-$S27,0)</f>
        <v>0</v>
      </c>
      <c r="AN22" s="113">
        <f>IF($Z22=$Z24,$U26-$S28,0)</f>
        <v>0</v>
      </c>
      <c r="AO22" s="113">
        <f>IF($Z22=$Z25,$V26-$S29,0)</f>
        <v>0</v>
      </c>
      <c r="AP22" s="113">
        <f>SUM(AL22:AO22)</f>
        <v>0</v>
      </c>
      <c r="AQ22" s="113"/>
      <c r="AR22" s="113">
        <f>IF($Z22=$Z23,$T26,0)</f>
        <v>0</v>
      </c>
      <c r="AS22" s="113">
        <f>IF($Z22=$Z24,$U26,0)</f>
        <v>0</v>
      </c>
      <c r="AT22" s="113">
        <f>IF($Z22=$Z25,$V26,0)</f>
        <v>2</v>
      </c>
      <c r="AU22" s="113">
        <f>SUM(AQ22:AT22)</f>
        <v>2</v>
      </c>
      <c r="AV22" s="114">
        <f>IF(AND(COUNTIF(K23:K28,$B$57)=COUNTA(H23:H28),COUNTIF(K23:K28,$B$57)=COUNTA(J23:J28)),IF(AU22=AU23,T26-S27,IF(AU22=AU24,U26-S28,IF(AU22=AU25,V26-S29,4))),4)</f>
        <v>0</v>
      </c>
      <c r="AW22" s="88"/>
      <c r="BB22" s="3" t="s">
        <v>33</v>
      </c>
      <c r="BC22" s="3" t="s">
        <v>34</v>
      </c>
      <c r="BD22" s="43"/>
      <c r="BE22" s="50"/>
      <c r="BF22" s="43"/>
      <c r="BG22" s="42"/>
      <c r="BL22" s="1"/>
      <c r="BM22" s="39" t="str">
        <f>VLOOKUP(1,$BX$22:$CC$25,2,FALSE)</f>
        <v>Italien</v>
      </c>
      <c r="BN22" s="2">
        <f>VLOOKUP(1,$BX$22:$CC$25,3,FALSE)</f>
        <v>7</v>
      </c>
      <c r="BO22" s="2">
        <f>VLOOKUP(1,$BX$22:$CC$25,4,FALSE)</f>
        <v>9</v>
      </c>
      <c r="BP22" s="2">
        <f>VLOOKUP(1,$BX$22:$CC$25,5,FALSE)</f>
        <v>4</v>
      </c>
      <c r="BQ22" s="2">
        <f>VLOOKUP(1,$BX$22:$CC$25,6,FALSE)</f>
        <v>5</v>
      </c>
      <c r="BS22" s="45"/>
      <c r="BT22" s="46">
        <f>IF(BH23="",0,IF(BK23=$B$57,IF(BH23&gt;BJ23,3,IF(BH23=BJ23,1,0)),0))</f>
        <v>3</v>
      </c>
      <c r="BU22" s="46">
        <f>IF(BH25="",0,IF(BK25=$B$57,IF(BH25&gt;BJ25,3,IF(BH25=BJ25,1,0)),0))</f>
        <v>1</v>
      </c>
      <c r="BV22" s="46">
        <f>IF(BJ27="",0,IF(BK27=$B$57,IF(BH27&lt;BJ27,3,IF(BH27=BJ27,1,0)),0))</f>
        <v>3</v>
      </c>
      <c r="BW22" s="47"/>
      <c r="BX22" s="112">
        <f>RANK(CD22,CD22:CD25)+COUNTIF(CD22:CD22,CD22)-1</f>
        <v>2</v>
      </c>
      <c r="BY22" s="48" t="s">
        <v>139</v>
      </c>
      <c r="BZ22" s="47">
        <f>SUM(BS22:BV22)</f>
        <v>7</v>
      </c>
      <c r="CA22" s="47">
        <f>SUM(BS26:BV26)</f>
        <v>8</v>
      </c>
      <c r="CB22" s="47">
        <f>SUM(BS26:BS29)</f>
        <v>4</v>
      </c>
      <c r="CC22" s="47">
        <f>CA22-CB22</f>
        <v>4</v>
      </c>
      <c r="CD22" s="49">
        <f>IF(BP$28="",(((((((CE22*10+BZ22)*100+CC22)*100+CA22)*10+CK22)*10+CJ22)*100+CP22)*100+CU22)*10+CV22,(((((((CE22*10+BZ22)*10+CK22)*10+CJ22)*100+CP22)*100+CU22)*100+CC22)*100+CA22)*10+CV22)</f>
        <v>700000204080</v>
      </c>
      <c r="CE22" s="94"/>
      <c r="CF22" s="113"/>
      <c r="CG22" s="113">
        <f>IF($BZ22=$BZ23,$BT22-$BS23,0)</f>
        <v>0</v>
      </c>
      <c r="CH22" s="113">
        <f>IF($BZ22=$BZ24,$BU22-$BS24,0)</f>
        <v>0</v>
      </c>
      <c r="CI22" s="115">
        <f>IF($BZ22=$BZ25,$BV22-$BS25,0)</f>
        <v>0</v>
      </c>
      <c r="CJ22" s="115">
        <f>SUM(CF22:CI22)</f>
        <v>0</v>
      </c>
      <c r="CK22" s="95"/>
      <c r="CL22" s="115"/>
      <c r="CM22" s="115">
        <f>IF($BZ22=$BZ23,$BT26-$BS27,0)</f>
        <v>0</v>
      </c>
      <c r="CN22" s="115">
        <f>IF($BZ22=$BZ24,$BU26-$BS28,0)</f>
        <v>0</v>
      </c>
      <c r="CO22" s="115">
        <f>IF($BZ22=$BZ25,$BV26-$BS29,0)</f>
        <v>0</v>
      </c>
      <c r="CP22" s="115">
        <f>SUM(CL22:CO22)</f>
        <v>0</v>
      </c>
      <c r="CQ22" s="115"/>
      <c r="CR22" s="115">
        <f>IF($BZ22=$BZ23,$BT26,0)</f>
        <v>0</v>
      </c>
      <c r="CS22" s="115">
        <f>IF($BZ22=$BZ24,$BU26,0)</f>
        <v>2</v>
      </c>
      <c r="CT22" s="115">
        <f>IF($BZ22=$BZ25,$BV26,0)</f>
        <v>0</v>
      </c>
      <c r="CU22" s="115">
        <f>SUM(CQ22:CT22)</f>
        <v>2</v>
      </c>
      <c r="CV22" s="114">
        <f>IF(AND(COUNTIF(BK23:BK28,$B$57)=COUNTA(BH23:BH28),COUNTIF(BK23:BK28,$B$57)=COUNTA(BJ23:BJ28)),IF(CU22=CU23,BT26-BS27,IF(CU22=CU24,BU26-BS28,IF(CU22=CU25,BV26-BS29,4))),4)</f>
        <v>0</v>
      </c>
      <c r="CW22" s="49"/>
    </row>
    <row r="23" spans="1:101" ht="12.75">
      <c r="A23" s="2">
        <v>5</v>
      </c>
      <c r="B23" s="5">
        <v>45128.395833333336</v>
      </c>
      <c r="C23" s="4" t="s">
        <v>168</v>
      </c>
      <c r="D23" s="43" t="str">
        <f>Y22</f>
        <v>Spanien</v>
      </c>
      <c r="E23" s="50" t="s">
        <v>35</v>
      </c>
      <c r="F23" s="43" t="str">
        <f>Y23</f>
        <v>Costa Rica</v>
      </c>
      <c r="G23" s="35"/>
      <c r="H23" s="103">
        <v>3</v>
      </c>
      <c r="I23" s="105" t="s">
        <v>36</v>
      </c>
      <c r="J23" s="103">
        <v>1</v>
      </c>
      <c r="K23" s="6" t="s">
        <v>62</v>
      </c>
      <c r="L23" s="1"/>
      <c r="M23" s="39" t="str">
        <f>VLOOKUP(2,$X$22:$AC$25,2,FALSE)</f>
        <v>Spanien</v>
      </c>
      <c r="N23" s="2">
        <f>VLOOKUP(2,$X$22:$AC$25,3,FALSE)</f>
        <v>7</v>
      </c>
      <c r="O23" s="2">
        <f>VLOOKUP(2,$X$22:$AC$25,4,FALSE)</f>
        <v>7</v>
      </c>
      <c r="P23" s="2">
        <f>VLOOKUP(2,$X$22:$AC$25,5,FALSE)</f>
        <v>4</v>
      </c>
      <c r="Q23" s="2">
        <f>VLOOKUP(2,$X$22:$AC$25,6,FALSE)</f>
        <v>3</v>
      </c>
      <c r="S23" s="46">
        <f>IF(J23="",0,IF(K23=$B$57,IF(H23&lt;J23,3,IF(H23=J23,1,0)),0))</f>
        <v>0</v>
      </c>
      <c r="T23" s="45"/>
      <c r="U23" s="46">
        <f>IF(H28="",0,IF(K28=$B$57,IF(H28&gt;J28,3,IF(H28=J28,1,0)),0))</f>
        <v>0</v>
      </c>
      <c r="V23" s="46">
        <f>IF(H26="",0,IF(K26=$B$57,IF(H26&gt;J26,3,IF(H26=J26,1,0)),0))</f>
        <v>0</v>
      </c>
      <c r="W23" s="47"/>
      <c r="X23" s="112">
        <f>RANK(AD23,AD22:AD25)+COUNTIF(AD22:AD23,AD23)-1</f>
        <v>4</v>
      </c>
      <c r="Y23" s="48" t="s">
        <v>185</v>
      </c>
      <c r="Z23" s="47">
        <f>SUM(S23:V23)</f>
        <v>0</v>
      </c>
      <c r="AA23" s="47">
        <f>SUM(S27:V27)</f>
        <v>2</v>
      </c>
      <c r="AB23" s="47">
        <f>SUM(T26:T29)</f>
        <v>7</v>
      </c>
      <c r="AC23" s="47">
        <f>AA23-AB23</f>
        <v>-5</v>
      </c>
      <c r="AD23" s="49">
        <f>IF(P$28="",(((((((AE23*10+Z23)*100+AC23)*100+AA23)*10+AK23)*10+AJ23)*100+AP23)*100+AU23)*10+AV23,(((((((AE23*10+Z23)*10+AK23)*10+AJ23)*100+AP23)*100+AU23)*100+AC23)*100+AA23)*10+AV23)</f>
        <v>-4982</v>
      </c>
      <c r="AE23" s="94"/>
      <c r="AF23" s="113">
        <f>IF($Z23=$Z22,$S23-$T22,0)</f>
        <v>0</v>
      </c>
      <c r="AG23" s="113"/>
      <c r="AH23" s="113">
        <f>IF($Z23=$Z24,$U23-$T24,0)</f>
        <v>0</v>
      </c>
      <c r="AI23" s="113">
        <f>IF($Z23=$Z25,$V23-$T25,0)</f>
        <v>0</v>
      </c>
      <c r="AJ23" s="113">
        <f>SUM(AF23:AI23)</f>
        <v>0</v>
      </c>
      <c r="AK23" s="94"/>
      <c r="AL23" s="113">
        <f>IF($Z23=$Z22,$S27-$T26,0)</f>
        <v>0</v>
      </c>
      <c r="AM23" s="113"/>
      <c r="AN23" s="113">
        <f>IF($Z23=$Z24,$U27-$T28,0)</f>
        <v>0</v>
      </c>
      <c r="AO23" s="113">
        <f>IF($Z23=$Z25,$V27-$T29,0)</f>
        <v>0</v>
      </c>
      <c r="AP23" s="113">
        <f>SUM(AL23:AO23)</f>
        <v>0</v>
      </c>
      <c r="AQ23" s="113">
        <f>IF($Z23=$Z22,$S27,0)</f>
        <v>0</v>
      </c>
      <c r="AR23" s="113"/>
      <c r="AS23" s="113">
        <f>IF($Z23=$Z24,$U27,0)</f>
        <v>0</v>
      </c>
      <c r="AT23" s="113">
        <f>IF($Z23=$Z25,$V27,0)</f>
        <v>0</v>
      </c>
      <c r="AU23" s="113">
        <f>SUM(AQ23:AT23)</f>
        <v>0</v>
      </c>
      <c r="AV23" s="114">
        <f>IF(AND(COUNTIF(K23:K28,$B$57)=COUNTA(H23:H28),COUNTIF(K23:K28,$B$57)=COUNTA(J23:J28)),IF(AU23=AU22,S27-T26,IF(AU23=AU24,U27-T28,IF(AU23=AU25,V27-T29,3))),3)</f>
        <v>-2</v>
      </c>
      <c r="AW23" s="88"/>
      <c r="BA23" s="2">
        <v>13</v>
      </c>
      <c r="BB23" s="5">
        <v>45130.291666666664</v>
      </c>
      <c r="BC23" s="4" t="s">
        <v>168</v>
      </c>
      <c r="BD23" s="43" t="str">
        <f>BY22</f>
        <v>Schweden</v>
      </c>
      <c r="BE23" s="50" t="s">
        <v>35</v>
      </c>
      <c r="BF23" s="43" t="str">
        <f>BY23</f>
        <v>Südafrika</v>
      </c>
      <c r="BG23" s="35"/>
      <c r="BH23" s="103">
        <v>4</v>
      </c>
      <c r="BI23" s="105" t="s">
        <v>36</v>
      </c>
      <c r="BJ23" s="103">
        <v>2</v>
      </c>
      <c r="BK23" s="6" t="s">
        <v>62</v>
      </c>
      <c r="BL23" s="1"/>
      <c r="BM23" s="39" t="str">
        <f>VLOOKUP(2,$BX$22:$CC$25,2,FALSE)</f>
        <v>Schweden</v>
      </c>
      <c r="BN23" s="2">
        <f>VLOOKUP(2,$BX$22:$CC$25,3,FALSE)</f>
        <v>7</v>
      </c>
      <c r="BO23" s="2">
        <f>VLOOKUP(2,$BX$22:$CC$25,4,FALSE)</f>
        <v>8</v>
      </c>
      <c r="BP23" s="2">
        <f>VLOOKUP(2,$BX$22:$CC$25,5,FALSE)</f>
        <v>4</v>
      </c>
      <c r="BQ23" s="2">
        <f>VLOOKUP(2,$BX$22:$CC$25,6,FALSE)</f>
        <v>4</v>
      </c>
      <c r="BS23" s="46">
        <f>IF(BJ23="",0,IF(BK23=$B$57,IF(BH23&lt;BJ23,3,IF(BH23=BJ23,1,0)),0))</f>
        <v>0</v>
      </c>
      <c r="BT23" s="45"/>
      <c r="BU23" s="46">
        <f>IF(BH28="",0,IF(BK28=$B$57,IF(BH28&gt;BJ28,3,IF(BH28=BJ28,1,0)),0))</f>
        <v>0</v>
      </c>
      <c r="BV23" s="46">
        <f>IF(BH26="",0,IF(BK26=$B$57,IF(BH26&gt;BJ26,3,IF(BH26=BJ26,1,0)),0))</f>
        <v>0</v>
      </c>
      <c r="BW23" s="47"/>
      <c r="BX23" s="112">
        <f>RANK(CD23,CD22:CD25)+COUNTIF(CD22:CD23,CD23)-1</f>
        <v>4</v>
      </c>
      <c r="BY23" s="48" t="s">
        <v>186</v>
      </c>
      <c r="BZ23" s="47">
        <f>SUM(BS23:BV23)</f>
        <v>0</v>
      </c>
      <c r="CA23" s="47">
        <f>SUM(BS27:BV27)</f>
        <v>4</v>
      </c>
      <c r="CB23" s="47">
        <f>SUM(BT26:BT29)</f>
        <v>11</v>
      </c>
      <c r="CC23" s="47">
        <f>CA23-CB23</f>
        <v>-7</v>
      </c>
      <c r="CD23" s="49">
        <f>IF(BP$28="",(((((((CE23*10+BZ23)*100+CC23)*100+CA23)*10+CK23)*10+CJ23)*100+CP23)*100+CU23)*10+CV23,(((((((CE23*10+BZ23)*10+CK23)*10+CJ23)*100+CP23)*100+CU23)*100+CC23)*100+CA23)*10+CV23)</f>
        <v>-6962</v>
      </c>
      <c r="CE23" s="94"/>
      <c r="CF23" s="113">
        <f>IF($BZ23=$BZ22,$BS23-$BT22,0)</f>
        <v>0</v>
      </c>
      <c r="CG23" s="113"/>
      <c r="CH23" s="113">
        <f>IF($BZ23=$BZ24,$BU23-$BT24,0)</f>
        <v>0</v>
      </c>
      <c r="CI23" s="115">
        <f>IF($BZ23=$BZ25,$BV23-$BT25,0)</f>
        <v>0</v>
      </c>
      <c r="CJ23" s="115">
        <f>SUM(CF23:CI23)</f>
        <v>0</v>
      </c>
      <c r="CK23" s="95"/>
      <c r="CL23" s="115">
        <f>IF($BZ23=$BZ22,$BS27-$BT26,0)</f>
        <v>0</v>
      </c>
      <c r="CM23" s="115"/>
      <c r="CN23" s="115">
        <f>IF($BZ23=$BZ24,$BU27-$BT28,0)</f>
        <v>0</v>
      </c>
      <c r="CO23" s="115">
        <f>IF($BZ23=$BZ25,$BV27-$BT29,0)</f>
        <v>0</v>
      </c>
      <c r="CP23" s="115">
        <f>SUM(CL23:CO23)</f>
        <v>0</v>
      </c>
      <c r="CQ23" s="115">
        <f>IF($BZ23=$BZ22,$BS27,0)</f>
        <v>0</v>
      </c>
      <c r="CR23" s="115"/>
      <c r="CS23" s="115">
        <f>IF($BZ23=$BZ24,$BU27,0)</f>
        <v>0</v>
      </c>
      <c r="CT23" s="115">
        <f>IF($BZ23=$BZ25,$BV27,0)</f>
        <v>0</v>
      </c>
      <c r="CU23" s="115">
        <f>SUM(CQ23:CT23)</f>
        <v>0</v>
      </c>
      <c r="CV23" s="114">
        <f>IF(AND(COUNTIF(BK23:BK28,$B$57)=COUNTA(BH23:BH28),COUNTIF(BK23:BK28,$B$57)=COUNTA(BJ23:BJ28)),IF(CU23=CU22,BS27-BT26,IF(CU23=CU24,BU27-BT28,IF(CU23=CU25,BV27-BT29,3))),3)</f>
        <v>-2</v>
      </c>
      <c r="CW23" s="49"/>
    </row>
    <row r="24" spans="1:101" ht="12.75">
      <c r="A24" s="2">
        <v>6</v>
      </c>
      <c r="B24" s="5">
        <v>45129.375</v>
      </c>
      <c r="C24" s="4" t="s">
        <v>169</v>
      </c>
      <c r="D24" s="43" t="str">
        <f>Y24</f>
        <v>Sambia</v>
      </c>
      <c r="E24" s="50" t="s">
        <v>35</v>
      </c>
      <c r="F24" s="43" t="str">
        <f>Y25</f>
        <v>Japan</v>
      </c>
      <c r="G24" s="35"/>
      <c r="H24" s="103">
        <v>1</v>
      </c>
      <c r="I24" s="105" t="s">
        <v>36</v>
      </c>
      <c r="J24" s="103">
        <v>4</v>
      </c>
      <c r="K24" s="6" t="s">
        <v>62</v>
      </c>
      <c r="L24" s="1"/>
      <c r="M24" s="39" t="str">
        <f>VLOOKUP(3,$X$22:$AC$25,2,FALSE)</f>
        <v>Sambia</v>
      </c>
      <c r="N24" s="2">
        <f>VLOOKUP(3,$X$22:$AC$25,3,FALSE)</f>
        <v>3</v>
      </c>
      <c r="O24" s="2">
        <f>VLOOKUP(3,$X$22:$AC$25,4,FALSE)</f>
        <v>5</v>
      </c>
      <c r="P24" s="2">
        <f>VLOOKUP(3,$X$22:$AC$25,5,FALSE)</f>
        <v>7</v>
      </c>
      <c r="Q24" s="2">
        <f>VLOOKUP(3,$X$22:$AC$25,6,FALSE)</f>
        <v>-2</v>
      </c>
      <c r="S24" s="46">
        <f>IF(J25="",0,IF(K25=$B$57,IF(H25&lt;J25,3,IF(H25=J25,1,0)),0))</f>
        <v>0</v>
      </c>
      <c r="T24" s="46">
        <f>IF(J28="",0,IF(K28=$B$57,IF(H28&lt;J28,3,IF(H28=J28,1,0)),0))</f>
        <v>3</v>
      </c>
      <c r="U24" s="45"/>
      <c r="V24" s="46">
        <f>IF(H24="",0,IF(K24=$B$57,IF(H24&gt;J24,3,IF(H24=J24,1,0)),0))</f>
        <v>0</v>
      </c>
      <c r="W24" s="47"/>
      <c r="X24" s="112">
        <f>RANK(AD24,AD22:AD25)+COUNTIF(AD22:AD24,AD24)-1</f>
        <v>3</v>
      </c>
      <c r="Y24" s="48" t="s">
        <v>187</v>
      </c>
      <c r="Z24" s="47">
        <f>SUM(S24:V24)</f>
        <v>3</v>
      </c>
      <c r="AA24" s="47">
        <f>SUM(S28:V28)</f>
        <v>5</v>
      </c>
      <c r="AB24" s="47">
        <f>SUM(U26:U29)</f>
        <v>7</v>
      </c>
      <c r="AC24" s="47">
        <f>AA24-AB24</f>
        <v>-2</v>
      </c>
      <c r="AD24" s="49">
        <f>IF(P$28="",(((((((AE24*10+Z24)*100+AC24)*100+AA24)*10+AK24)*10+AJ24)*100+AP24)*100+AU24)*10+AV24,(((((((AE24*10+Z24)*10+AK24)*10+AJ24)*100+AP24)*100+AU24)*100+AC24)*100+AA24)*10+AV24)</f>
        <v>299999998052</v>
      </c>
      <c r="AE24" s="94"/>
      <c r="AF24" s="113">
        <f>IF($Z24=$Z22,$S24-$U22,0)</f>
        <v>0</v>
      </c>
      <c r="AG24" s="113">
        <f>IF($Z24=$Z23,$T24-$U23,0)</f>
        <v>0</v>
      </c>
      <c r="AH24" s="113"/>
      <c r="AI24" s="113">
        <f>IF($Z24=$Z25,$V24-$U25,0)</f>
        <v>0</v>
      </c>
      <c r="AJ24" s="113">
        <f>SUM(AF24:AI24)</f>
        <v>0</v>
      </c>
      <c r="AK24" s="94"/>
      <c r="AL24" s="113">
        <f>IF($Z24=$Z22,$S28-$U26,0)</f>
        <v>0</v>
      </c>
      <c r="AM24" s="113">
        <f>IF($Z24=$Z23,$T28-$U27,0)</f>
        <v>0</v>
      </c>
      <c r="AN24" s="113"/>
      <c r="AO24" s="113">
        <f>IF($Z24=$Z25,$V28-$U29,0)</f>
        <v>0</v>
      </c>
      <c r="AP24" s="113">
        <f>SUM(AL24:AO24)</f>
        <v>0</v>
      </c>
      <c r="AQ24" s="113">
        <f>IF($Z24=$Z22,$S28,0)</f>
        <v>0</v>
      </c>
      <c r="AR24" s="113">
        <f>IF($Z24=$Z23,$T28,0)</f>
        <v>0</v>
      </c>
      <c r="AS24" s="113"/>
      <c r="AT24" s="113">
        <f>IF($Z24=$Z25,$V28,0)</f>
        <v>0</v>
      </c>
      <c r="AU24" s="113">
        <f>SUM(AQ24:AT24)</f>
        <v>0</v>
      </c>
      <c r="AV24" s="114">
        <f>IF(AND(COUNTIF(K23:K28,$B$57)=COUNTA(H23:H28),COUNTIF(K23:K28,$B$57)=COUNTA(J23:J28)),IF(AU24=AU22,S28-U26,IF(AU24=AU23,T28-U27,IF(AU24=AU25,V28-U29,2))),2)</f>
        <v>2</v>
      </c>
      <c r="AW24" s="88"/>
      <c r="BA24" s="2">
        <v>14</v>
      </c>
      <c r="BB24" s="5">
        <v>45131.333333333336</v>
      </c>
      <c r="BC24" s="4" t="s">
        <v>163</v>
      </c>
      <c r="BD24" s="43" t="str">
        <f>BY24</f>
        <v>Italien</v>
      </c>
      <c r="BE24" s="50" t="s">
        <v>35</v>
      </c>
      <c r="BF24" s="43" t="str">
        <f>BY25</f>
        <v>Argentinien</v>
      </c>
      <c r="BG24" s="35"/>
      <c r="BH24" s="103">
        <v>3</v>
      </c>
      <c r="BI24" s="105" t="s">
        <v>36</v>
      </c>
      <c r="BJ24" s="103">
        <v>1</v>
      </c>
      <c r="BK24" s="6" t="s">
        <v>62</v>
      </c>
      <c r="BL24" s="1"/>
      <c r="BM24" s="39" t="str">
        <f>VLOOKUP(3,$BX$22:$CC$25,2,FALSE)</f>
        <v>Argentinien</v>
      </c>
      <c r="BN24" s="2">
        <f>VLOOKUP(3,$BX$22:$CC$25,3,FALSE)</f>
        <v>3</v>
      </c>
      <c r="BO24" s="2">
        <f>VLOOKUP(3,$BX$22:$CC$25,4,FALSE)</f>
        <v>4</v>
      </c>
      <c r="BP24" s="2">
        <f>VLOOKUP(3,$BX$22:$CC$25,5,FALSE)</f>
        <v>6</v>
      </c>
      <c r="BQ24" s="2">
        <f>VLOOKUP(3,$BX$22:$CC$25,6,FALSE)</f>
        <v>-2</v>
      </c>
      <c r="BS24" s="46">
        <f>IF(BJ25="",0,IF(BK25=$B$57,IF(BH25&lt;BJ25,3,IF(BH25=BJ25,1,0)),0))</f>
        <v>1</v>
      </c>
      <c r="BT24" s="46">
        <f>IF(BJ28="",0,IF(BK28=$B$57,IF(BH28&lt;BJ28,3,IF(BH28=BJ28,1,0)),0))</f>
        <v>3</v>
      </c>
      <c r="BU24" s="45"/>
      <c r="BV24" s="46">
        <f>IF(BH24="",0,IF(BK24=$B$57,IF(BH24&gt;BJ24,3,IF(BH24=BJ24,1,0)),0))</f>
        <v>3</v>
      </c>
      <c r="BW24" s="47"/>
      <c r="BX24" s="112">
        <f>RANK(CD24,CD22:CD25)+COUNTIF(CD22:CD24,CD24)-1</f>
        <v>1</v>
      </c>
      <c r="BY24" s="48" t="s">
        <v>153</v>
      </c>
      <c r="BZ24" s="47">
        <f>SUM(BS24:BV24)</f>
        <v>7</v>
      </c>
      <c r="CA24" s="47">
        <f>SUM(BS28:BV28)</f>
        <v>9</v>
      </c>
      <c r="CB24" s="47">
        <f>SUM(BU26:BU29)</f>
        <v>4</v>
      </c>
      <c r="CC24" s="47">
        <f>CA24-CB24</f>
        <v>5</v>
      </c>
      <c r="CD24" s="49">
        <f>IF(BP$28="",(((((((CE24*10+BZ24)*100+CC24)*100+CA24)*10+CK24)*10+CJ24)*100+CP24)*100+CU24)*10+CV24,(((((((CE24*10+BZ24)*10+CK24)*10+CJ24)*100+CP24)*100+CU24)*100+CC24)*100+CA24)*10+CV24)</f>
        <v>700000205090</v>
      </c>
      <c r="CE24" s="94"/>
      <c r="CF24" s="113">
        <f>IF($BZ24=$BZ22,$BS24-$BU22,0)</f>
        <v>0</v>
      </c>
      <c r="CG24" s="113">
        <f>IF($BZ24=$BZ23,$BT24-$BU23,0)</f>
        <v>0</v>
      </c>
      <c r="CH24" s="113"/>
      <c r="CI24" s="115">
        <f>IF($BZ24=$BZ25,$BV24-$BU25,0)</f>
        <v>0</v>
      </c>
      <c r="CJ24" s="115">
        <f>SUM(CF24:CI24)</f>
        <v>0</v>
      </c>
      <c r="CK24" s="95"/>
      <c r="CL24" s="115">
        <f>IF($BZ24=$BZ22,$BS28-$BU26,0)</f>
        <v>0</v>
      </c>
      <c r="CM24" s="115">
        <f>IF($BZ24=$BZ23,$BT28-$BU27,0)</f>
        <v>0</v>
      </c>
      <c r="CN24" s="115"/>
      <c r="CO24" s="115">
        <f>IF($BZ24=$BZ25,$BV28-$BU29,0)</f>
        <v>0</v>
      </c>
      <c r="CP24" s="115">
        <f>SUM(CL24:CO24)</f>
        <v>0</v>
      </c>
      <c r="CQ24" s="115">
        <f>IF($BZ24=$BZ22,$BS28,0)</f>
        <v>2</v>
      </c>
      <c r="CR24" s="115">
        <f>IF($BZ24=$BZ23,$BT28,0)</f>
        <v>0</v>
      </c>
      <c r="CS24" s="115"/>
      <c r="CT24" s="115">
        <f>IF($BZ24=$BZ25,$BV28,0)</f>
        <v>0</v>
      </c>
      <c r="CU24" s="115">
        <f>SUM(CQ24:CT24)</f>
        <v>2</v>
      </c>
      <c r="CV24" s="114">
        <f>IF(AND(COUNTIF(BK23:BK28,$B$57)=COUNTA(BH23:BH28),COUNTIF(BK23:BK28,$B$57)=COUNTA(BJ23:BJ28)),IF(CU24=CU22,BS28-BU26,IF(CU24=CU23,BT28-BU27,IF(CU24=CU25,BV28-BU29,2))),2)</f>
        <v>0</v>
      </c>
      <c r="CW24" s="49"/>
    </row>
    <row r="25" spans="1:101" ht="12.75">
      <c r="A25" s="2">
        <v>21</v>
      </c>
      <c r="B25" s="5">
        <v>45133.395833333336</v>
      </c>
      <c r="C25" s="4" t="s">
        <v>163</v>
      </c>
      <c r="D25" s="43" t="str">
        <f>Y22</f>
        <v>Spanien</v>
      </c>
      <c r="E25" s="50" t="s">
        <v>35</v>
      </c>
      <c r="F25" s="43" t="str">
        <f>Y24</f>
        <v>Sambia</v>
      </c>
      <c r="G25" s="35"/>
      <c r="H25" s="103">
        <v>2</v>
      </c>
      <c r="I25" s="105" t="s">
        <v>36</v>
      </c>
      <c r="J25" s="103">
        <v>1</v>
      </c>
      <c r="K25" s="6" t="s">
        <v>62</v>
      </c>
      <c r="L25" s="1"/>
      <c r="M25" s="39" t="str">
        <f>VLOOKUP(4,$X$22:$AC$25,2,FALSE)</f>
        <v>Costa Rica</v>
      </c>
      <c r="N25" s="2">
        <f>VLOOKUP(4,$X$22:$AC$25,3,FALSE)</f>
        <v>0</v>
      </c>
      <c r="O25" s="2">
        <f>VLOOKUP(4,$X$22:$AC$25,4,FALSE)</f>
        <v>2</v>
      </c>
      <c r="P25" s="2">
        <f>VLOOKUP(4,$X$22:$AC$25,5,FALSE)</f>
        <v>7</v>
      </c>
      <c r="Q25" s="2">
        <f>VLOOKUP(4,$X$22:$AC$25,6,FALSE)</f>
        <v>-5</v>
      </c>
      <c r="S25" s="46">
        <f>IF(H27="",0,IF(K27=$B$57,IF(H27&gt;J27,3,IF(H27=J27,1,0)),0))</f>
        <v>1</v>
      </c>
      <c r="T25" s="46">
        <f>IF(J26="",0,IF(K26=$B$57,IF(H26&lt;J26,3,IF(H26=J26,1,0)),0))</f>
        <v>3</v>
      </c>
      <c r="U25" s="46">
        <f>IF(J24="",0,IF(K24=$B$57,IF(H24&lt;J24,3,IF(H24=J24,1,0)),0))</f>
        <v>3</v>
      </c>
      <c r="V25" s="45"/>
      <c r="W25" s="47"/>
      <c r="X25" s="112">
        <f>RANK(AD25,AD22:AD25)+COUNTIF(AD22:AD25,AD25)-1</f>
        <v>1</v>
      </c>
      <c r="Y25" s="48" t="s">
        <v>188</v>
      </c>
      <c r="Z25" s="47">
        <f>SUM(S25:V25)</f>
        <v>7</v>
      </c>
      <c r="AA25" s="47">
        <f>SUM(S29:V29)</f>
        <v>7</v>
      </c>
      <c r="AB25" s="47">
        <f>SUM(V26:V29)</f>
        <v>3</v>
      </c>
      <c r="AC25" s="47">
        <f>AA25-AB25</f>
        <v>4</v>
      </c>
      <c r="AD25" s="49">
        <f>IF(P$28="",(((((((AE25*10+Z25)*100+AC25)*100+AA25)*10+AK25)*10+AJ25)*100+AP25)*100+AU25)*10+AV25,(((((((AE25*10+Z25)*10+AK25)*10+AJ25)*100+AP25)*100+AU25)*100+AC25)*100+AA25)*10+AV25)</f>
        <v>700000204070</v>
      </c>
      <c r="AE25" s="94"/>
      <c r="AF25" s="113">
        <f>IF($Z25=$Z22,$S25-$V22,0)</f>
        <v>0</v>
      </c>
      <c r="AG25" s="113">
        <f>IF($Z25=$Z23,$T25-$V23,0)</f>
        <v>0</v>
      </c>
      <c r="AH25" s="113">
        <f>IF($Z25=$Z24,$U25-$V24,0)</f>
        <v>0</v>
      </c>
      <c r="AI25" s="113"/>
      <c r="AJ25" s="113">
        <f>SUM(AF25:AI25)</f>
        <v>0</v>
      </c>
      <c r="AK25" s="94"/>
      <c r="AL25" s="113">
        <f>IF($Z25=$Z22,$S29-$V26,0)</f>
        <v>0</v>
      </c>
      <c r="AM25" s="113">
        <f>IF($Z25=$Z23,$T29-$V27,0)</f>
        <v>0</v>
      </c>
      <c r="AN25" s="113">
        <f>IF($Z25=$Z24,$U29-$V28,0)</f>
        <v>0</v>
      </c>
      <c r="AO25" s="113"/>
      <c r="AP25" s="113">
        <f>SUM(AL25:AO25)</f>
        <v>0</v>
      </c>
      <c r="AQ25" s="113">
        <f>IF($Z25=$Z22,$S29,0)</f>
        <v>2</v>
      </c>
      <c r="AR25" s="113">
        <f>IF($Z25=$Z23,$T29,0)</f>
        <v>0</v>
      </c>
      <c r="AS25" s="113">
        <f>IF($Z25=$Z24,$U29,0)</f>
        <v>0</v>
      </c>
      <c r="AT25" s="113"/>
      <c r="AU25" s="113">
        <f>SUM(AQ25:AT25)</f>
        <v>2</v>
      </c>
      <c r="AV25" s="114">
        <f>IF(AND(COUNTIF(K23:K28,$B$57)=COUNTA(H23:H28),COUNTIF(K23:K28,$B$57)=COUNTA(J23:J28)),IF(AU25=AU22,S29-V26,IF(AU25=AU23,T29-V27,IF(AU25=AU24,U29-V28,1))),1)</f>
        <v>0</v>
      </c>
      <c r="AW25" s="88"/>
      <c r="BA25" s="2">
        <v>29</v>
      </c>
      <c r="BB25" s="5">
        <v>45136.395833333336</v>
      </c>
      <c r="BC25" s="4" t="s">
        <v>168</v>
      </c>
      <c r="BD25" s="43" t="str">
        <f>BY22</f>
        <v>Schweden</v>
      </c>
      <c r="BE25" s="50" t="s">
        <v>35</v>
      </c>
      <c r="BF25" s="43" t="str">
        <f>BY24</f>
        <v>Italien</v>
      </c>
      <c r="BG25" s="35"/>
      <c r="BH25" s="103">
        <v>2</v>
      </c>
      <c r="BI25" s="105" t="s">
        <v>36</v>
      </c>
      <c r="BJ25" s="103">
        <v>2</v>
      </c>
      <c r="BK25" s="6" t="s">
        <v>62</v>
      </c>
      <c r="BL25" s="1"/>
      <c r="BM25" s="39" t="str">
        <f>VLOOKUP(4,$BX$22:$CC$25,2,FALSE)</f>
        <v>Südafrika</v>
      </c>
      <c r="BN25" s="2">
        <f>VLOOKUP(4,$BX$22:$CC$25,3,FALSE)</f>
        <v>0</v>
      </c>
      <c r="BO25" s="2">
        <f>VLOOKUP(4,$BX$22:$CC$25,4,FALSE)</f>
        <v>4</v>
      </c>
      <c r="BP25" s="2">
        <f>VLOOKUP(4,$BX$22:$CC$25,5,FALSE)</f>
        <v>11</v>
      </c>
      <c r="BQ25" s="2">
        <f>VLOOKUP(4,$BX$22:$CC$25,6,FALSE)</f>
        <v>-7</v>
      </c>
      <c r="BS25" s="46">
        <f>IF(BH27="",0,IF(BK27=$B$57,IF(BH27&gt;BJ27,3,IF(BH27=BJ27,1,0)),0))</f>
        <v>0</v>
      </c>
      <c r="BT25" s="46">
        <f>IF(BJ26="",0,IF(BK26=$B$57,IF(BH26&lt;BJ26,3,IF(BH26=BJ26,1,0)),0))</f>
        <v>3</v>
      </c>
      <c r="BU25" s="46">
        <f>IF(BJ24="",0,IF(BK24=$B$57,IF(BH24&lt;BJ24,3,IF(BH24=BJ24,1,0)),0))</f>
        <v>0</v>
      </c>
      <c r="BV25" s="45"/>
      <c r="BW25" s="47"/>
      <c r="BX25" s="112">
        <f>RANK(CD25,CD22:CD25)+COUNTIF(CD22:CD25,CD25)-1</f>
        <v>3</v>
      </c>
      <c r="BY25" s="48" t="s">
        <v>189</v>
      </c>
      <c r="BZ25" s="47">
        <f>SUM(BS25:BV25)</f>
        <v>3</v>
      </c>
      <c r="CA25" s="47">
        <f>SUM(BS29:BV29)</f>
        <v>4</v>
      </c>
      <c r="CB25" s="47">
        <f>SUM(BV26:BV29)</f>
        <v>6</v>
      </c>
      <c r="CC25" s="47">
        <f>CA25-CB25</f>
        <v>-2</v>
      </c>
      <c r="CD25" s="49">
        <f>IF(BP$28="",(((((((CE25*10+BZ25)*100+CC25)*100+CA25)*10+CK25)*10+CJ25)*100+CP25)*100+CU25)*10+CV25,(((((((CE25*10+BZ25)*10+CK25)*10+CJ25)*100+CP25)*100+CU25)*100+CC25)*100+CA25)*10+CV25)</f>
        <v>299999998042</v>
      </c>
      <c r="CE25" s="94"/>
      <c r="CF25" s="113">
        <f>IF($BZ25=$BZ22,$BS25-$BV22,0)</f>
        <v>0</v>
      </c>
      <c r="CG25" s="113">
        <f>IF($BZ25=$BZ23,$BT25-$BV23,0)</f>
        <v>0</v>
      </c>
      <c r="CH25" s="113">
        <f>IF($BZ25=$BZ24,$BU25-$BV24,0)</f>
        <v>0</v>
      </c>
      <c r="CI25" s="115"/>
      <c r="CJ25" s="115">
        <f>SUM(CF25:CI25)</f>
        <v>0</v>
      </c>
      <c r="CK25" s="95"/>
      <c r="CL25" s="115">
        <f>IF($BZ25=$BZ22,$BS29-$BV26,0)</f>
        <v>0</v>
      </c>
      <c r="CM25" s="115">
        <f>IF($BZ25=$BZ23,$BT29-$BV27,0)</f>
        <v>0</v>
      </c>
      <c r="CN25" s="115">
        <f>IF($BZ25=$BZ24,$BU29-$BV28,0)</f>
        <v>0</v>
      </c>
      <c r="CO25" s="115"/>
      <c r="CP25" s="115">
        <f>SUM(CL25:CO25)</f>
        <v>0</v>
      </c>
      <c r="CQ25" s="115">
        <f>IF($BZ25=$BZ22,$BS29,0)</f>
        <v>0</v>
      </c>
      <c r="CR25" s="115">
        <f>IF($BZ25=$BZ23,$BT29,0)</f>
        <v>0</v>
      </c>
      <c r="CS25" s="115">
        <f>IF($BZ25=$BZ24,$BU29,0)</f>
        <v>0</v>
      </c>
      <c r="CT25" s="115"/>
      <c r="CU25" s="115">
        <f>SUM(CQ25:CT25)</f>
        <v>0</v>
      </c>
      <c r="CV25" s="114">
        <f>IF(AND(COUNTIF(BK23:BK28,$B$57)=COUNTA(BH23:BH28),COUNTIF(BK23:BK28,$B$57)=COUNTA(BJ23:BJ28)),IF(CU25=CU22,BS29-BV26,IF(CU25=CU23,BT29-BV27,IF(CU25=CU24,BU29-BV28,1))),1)</f>
        <v>2</v>
      </c>
      <c r="CW25" s="49"/>
    </row>
    <row r="26" spans="1:101" ht="12.75">
      <c r="A26" s="2">
        <v>22</v>
      </c>
      <c r="B26" s="5">
        <v>45133.291666666664</v>
      </c>
      <c r="C26" s="4" t="s">
        <v>166</v>
      </c>
      <c r="D26" s="43" t="str">
        <f>Y23</f>
        <v>Costa Rica</v>
      </c>
      <c r="E26" s="50" t="s">
        <v>35</v>
      </c>
      <c r="F26" s="43" t="str">
        <f>Y25</f>
        <v>Japan</v>
      </c>
      <c r="G26" s="35"/>
      <c r="H26" s="103">
        <v>0</v>
      </c>
      <c r="I26" s="105" t="s">
        <v>36</v>
      </c>
      <c r="J26" s="103">
        <v>1</v>
      </c>
      <c r="K26" s="6" t="s">
        <v>62</v>
      </c>
      <c r="L26" s="1"/>
      <c r="N26" s="1"/>
      <c r="O26" s="1"/>
      <c r="P26" s="1"/>
      <c r="S26" s="45"/>
      <c r="T26" s="46">
        <f>IF(K23=$B$57,H23,0)</f>
        <v>3</v>
      </c>
      <c r="U26" s="46">
        <f>IF(K25=$B$57,H25,0)</f>
        <v>2</v>
      </c>
      <c r="V26" s="46">
        <f>IF(K27=$B$57,J27,0)</f>
        <v>2</v>
      </c>
      <c r="W26" s="47"/>
      <c r="X26" s="47"/>
      <c r="Y26" s="47"/>
      <c r="Z26" s="47"/>
      <c r="AA26" s="47"/>
      <c r="AB26" s="47"/>
      <c r="AC26" s="47"/>
      <c r="AD26" s="71"/>
      <c r="AE26" s="96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V26" s="113"/>
      <c r="AW26" s="88"/>
      <c r="BA26" s="2">
        <v>30</v>
      </c>
      <c r="BB26" s="5">
        <v>45135.083333333336</v>
      </c>
      <c r="BC26" s="4" t="s">
        <v>166</v>
      </c>
      <c r="BD26" s="43" t="str">
        <f>BY23</f>
        <v>Südafrika</v>
      </c>
      <c r="BE26" s="50" t="s">
        <v>35</v>
      </c>
      <c r="BF26" s="43" t="str">
        <f>BY25</f>
        <v>Argentinien</v>
      </c>
      <c r="BG26" s="35"/>
      <c r="BH26" s="103">
        <v>1</v>
      </c>
      <c r="BI26" s="105" t="s">
        <v>36</v>
      </c>
      <c r="BJ26" s="103">
        <v>3</v>
      </c>
      <c r="BK26" s="6" t="s">
        <v>62</v>
      </c>
      <c r="BL26" s="1"/>
      <c r="BN26" s="1"/>
      <c r="BO26" s="1"/>
      <c r="BP26" s="1"/>
      <c r="BS26" s="45"/>
      <c r="BT26" s="46">
        <f>IF(BK23=$B$57,BH23,0)</f>
        <v>4</v>
      </c>
      <c r="BU26" s="46">
        <f>IF(BK25=$B$57,BH25,0)</f>
        <v>2</v>
      </c>
      <c r="BV26" s="46">
        <f>IF(BK27=$B$57,BJ27,0)</f>
        <v>2</v>
      </c>
      <c r="BW26" s="47"/>
      <c r="BX26" s="47"/>
      <c r="BY26" s="47"/>
      <c r="BZ26" s="47"/>
      <c r="CA26" s="47"/>
      <c r="CB26" s="47"/>
      <c r="CC26" s="47"/>
      <c r="CD26" s="71"/>
      <c r="CE26" s="96"/>
      <c r="CF26" s="113"/>
      <c r="CG26" s="113"/>
      <c r="CH26" s="113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V26" s="115"/>
      <c r="CW26" s="49"/>
    </row>
    <row r="27" spans="1:101" ht="12.75">
      <c r="A27" s="2">
        <v>37</v>
      </c>
      <c r="B27" s="5">
        <v>45138.375</v>
      </c>
      <c r="C27" s="4" t="s">
        <v>168</v>
      </c>
      <c r="D27" s="43" t="str">
        <f>Y25</f>
        <v>Japan</v>
      </c>
      <c r="E27" s="50" t="s">
        <v>35</v>
      </c>
      <c r="F27" s="43" t="str">
        <f>Y22</f>
        <v>Spanien</v>
      </c>
      <c r="G27" s="42"/>
      <c r="H27" s="103">
        <v>2</v>
      </c>
      <c r="I27" s="105" t="s">
        <v>36</v>
      </c>
      <c r="J27" s="103">
        <v>2</v>
      </c>
      <c r="K27" s="6" t="s">
        <v>62</v>
      </c>
      <c r="M27" s="59" t="str">
        <f>IF(N22&gt;0,M22,"")</f>
        <v>Japan</v>
      </c>
      <c r="N27" s="2" t="s">
        <v>46</v>
      </c>
      <c r="P27" s="52"/>
      <c r="S27" s="46">
        <f>IF(K23=$B$57,J23,0)</f>
        <v>1</v>
      </c>
      <c r="T27" s="45"/>
      <c r="U27" s="46">
        <f>IF(K28=$B$57,H28,0)</f>
        <v>1</v>
      </c>
      <c r="V27" s="46">
        <f>IF(K26=$B$57,H26,0)</f>
        <v>0</v>
      </c>
      <c r="AD27" s="42" t="s">
        <v>140</v>
      </c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V27" s="116"/>
      <c r="AW27" s="88"/>
      <c r="BA27" s="2">
        <v>45</v>
      </c>
      <c r="BB27" s="5">
        <v>45140.375</v>
      </c>
      <c r="BC27" s="4" t="s">
        <v>169</v>
      </c>
      <c r="BD27" s="43" t="str">
        <f>BY25</f>
        <v>Argentinien</v>
      </c>
      <c r="BE27" s="50" t="s">
        <v>35</v>
      </c>
      <c r="BF27" s="43" t="str">
        <f>BY22</f>
        <v>Schweden</v>
      </c>
      <c r="BG27" s="42"/>
      <c r="BH27" s="103">
        <v>0</v>
      </c>
      <c r="BI27" s="105" t="s">
        <v>36</v>
      </c>
      <c r="BJ27" s="103">
        <v>2</v>
      </c>
      <c r="BK27" s="6" t="s">
        <v>62</v>
      </c>
      <c r="BM27" s="120" t="str">
        <f>IF(BN22&gt;0,BM22,"")</f>
        <v>Italien</v>
      </c>
      <c r="BN27" s="2" t="s">
        <v>190</v>
      </c>
      <c r="BP27" s="52"/>
      <c r="BS27" s="46">
        <f>IF(BK23=$B$57,BJ23,0)</f>
        <v>2</v>
      </c>
      <c r="BT27" s="45"/>
      <c r="BU27" s="46">
        <f>IF(BK28=$B$57,BH28,0)</f>
        <v>1</v>
      </c>
      <c r="BV27" s="46">
        <f>IF(BK26=$B$57,BH26,0)</f>
        <v>1</v>
      </c>
      <c r="CD27" s="42" t="s">
        <v>140</v>
      </c>
      <c r="CF27" s="116"/>
      <c r="CG27" s="116"/>
      <c r="CH27" s="116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V27" s="117"/>
      <c r="CW27" s="49"/>
    </row>
    <row r="28" spans="1:101" ht="12.75">
      <c r="A28" s="2">
        <v>38</v>
      </c>
      <c r="B28" s="5">
        <v>45138.375</v>
      </c>
      <c r="C28" s="4" t="s">
        <v>169</v>
      </c>
      <c r="D28" s="43" t="str">
        <f>Y23</f>
        <v>Costa Rica</v>
      </c>
      <c r="E28" s="50" t="s">
        <v>35</v>
      </c>
      <c r="F28" s="43" t="str">
        <f>Y24</f>
        <v>Sambia</v>
      </c>
      <c r="G28" s="42"/>
      <c r="H28" s="103">
        <v>1</v>
      </c>
      <c r="I28" s="105" t="s">
        <v>36</v>
      </c>
      <c r="J28" s="103">
        <v>3</v>
      </c>
      <c r="K28" s="6" t="s">
        <v>62</v>
      </c>
      <c r="M28" s="59" t="str">
        <f>IF(N23&gt;0,M23,"")</f>
        <v>Spanien</v>
      </c>
      <c r="N28" s="2" t="s">
        <v>47</v>
      </c>
      <c r="O28" s="53"/>
      <c r="P28" s="89" t="s">
        <v>170</v>
      </c>
      <c r="S28" s="46">
        <f>IF(K25=$B$57,J25,0)</f>
        <v>1</v>
      </c>
      <c r="T28" s="46">
        <f>IF(K28=$B$57,J28,0)</f>
        <v>3</v>
      </c>
      <c r="U28" s="45"/>
      <c r="V28" s="46">
        <f>IF(K24=$B$57,H24,0)</f>
        <v>1</v>
      </c>
      <c r="AD28" s="42" t="s">
        <v>141</v>
      </c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V28" s="116"/>
      <c r="AW28" s="88"/>
      <c r="BA28" s="2">
        <v>46</v>
      </c>
      <c r="BB28" s="5">
        <v>45140.375</v>
      </c>
      <c r="BC28" s="4" t="s">
        <v>168</v>
      </c>
      <c r="BD28" s="43" t="str">
        <f>BY23</f>
        <v>Südafrika</v>
      </c>
      <c r="BE28" s="50" t="s">
        <v>35</v>
      </c>
      <c r="BF28" s="43" t="str">
        <f>BY24</f>
        <v>Italien</v>
      </c>
      <c r="BG28" s="42"/>
      <c r="BH28" s="103">
        <v>1</v>
      </c>
      <c r="BI28" s="105" t="s">
        <v>36</v>
      </c>
      <c r="BJ28" s="103">
        <v>4</v>
      </c>
      <c r="BK28" s="6" t="s">
        <v>62</v>
      </c>
      <c r="BM28" s="120" t="str">
        <f>IF(BN23&gt;0,BM23,"")</f>
        <v>Schweden</v>
      </c>
      <c r="BN28" s="2" t="s">
        <v>191</v>
      </c>
      <c r="BO28" s="53"/>
      <c r="BP28" s="89" t="s">
        <v>170</v>
      </c>
      <c r="BS28" s="46">
        <f>IF(BK25=$B$57,BJ25,0)</f>
        <v>2</v>
      </c>
      <c r="BT28" s="46">
        <f>IF(BK28=$B$57,BJ28,0)</f>
        <v>4</v>
      </c>
      <c r="BU28" s="45"/>
      <c r="BV28" s="46">
        <f>IF(BK24=$B$57,BH24,0)</f>
        <v>3</v>
      </c>
      <c r="CD28" s="42" t="s">
        <v>141</v>
      </c>
      <c r="CF28" s="116"/>
      <c r="CG28" s="116"/>
      <c r="CH28" s="116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V28" s="117"/>
      <c r="CW28" s="49"/>
    </row>
    <row r="29" spans="4:101" ht="12.75">
      <c r="D29" s="43"/>
      <c r="E29" s="50"/>
      <c r="F29" s="43"/>
      <c r="G29" s="42"/>
      <c r="N29" s="1"/>
      <c r="S29" s="46">
        <f>IF(K27=$B$57,H27,0)</f>
        <v>2</v>
      </c>
      <c r="T29" s="46">
        <f>IF(K26=$B$57,J26,0)</f>
        <v>1</v>
      </c>
      <c r="U29" s="46">
        <f>IF(K24=$B$57,J24,0)</f>
        <v>4</v>
      </c>
      <c r="V29" s="45"/>
      <c r="AD29" s="2" t="s">
        <v>171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V29" s="116"/>
      <c r="AW29" s="88"/>
      <c r="BD29" s="43"/>
      <c r="BE29" s="50"/>
      <c r="BF29" s="43"/>
      <c r="BG29" s="42"/>
      <c r="BN29" s="1"/>
      <c r="BS29" s="46">
        <f>IF(BK27=$B$57,BH27,0)</f>
        <v>0</v>
      </c>
      <c r="BT29" s="46">
        <f>IF(BK26=$B$57,BJ26,0)</f>
        <v>3</v>
      </c>
      <c r="BU29" s="46">
        <f>IF(BK24=$B$57,BJ24,0)</f>
        <v>1</v>
      </c>
      <c r="BV29" s="45"/>
      <c r="CD29" s="2" t="s">
        <v>171</v>
      </c>
      <c r="CF29" s="116"/>
      <c r="CG29" s="116"/>
      <c r="CH29" s="116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V29" s="117"/>
      <c r="CW29" s="49"/>
    </row>
    <row r="30" spans="4:101" ht="6" customHeight="1">
      <c r="D30" s="43"/>
      <c r="E30" s="50"/>
      <c r="F30" s="43"/>
      <c r="G30" s="37"/>
      <c r="H30" s="42"/>
      <c r="I30" s="42"/>
      <c r="J30" s="42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V30" s="116"/>
      <c r="AW30" s="88"/>
      <c r="BC30" s="3"/>
      <c r="BD30" s="43"/>
      <c r="BE30" s="50"/>
      <c r="BF30" s="43"/>
      <c r="BG30" s="37"/>
      <c r="BH30" s="42"/>
      <c r="BI30" s="42"/>
      <c r="BJ30" s="42"/>
      <c r="CF30" s="116"/>
      <c r="CG30" s="116"/>
      <c r="CH30" s="116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V30" s="117"/>
      <c r="CW30" s="49"/>
    </row>
    <row r="31" spans="2:101" s="10" customFormat="1" ht="12.75">
      <c r="B31" s="109" t="s">
        <v>23</v>
      </c>
      <c r="C31" s="108" t="s">
        <v>48</v>
      </c>
      <c r="D31" s="43" t="s">
        <v>25</v>
      </c>
      <c r="E31" s="50"/>
      <c r="F31" s="43"/>
      <c r="G31" s="35"/>
      <c r="H31" s="104"/>
      <c r="I31" s="92"/>
      <c r="J31" s="104"/>
      <c r="K31" s="93"/>
      <c r="L31" s="7"/>
      <c r="M31" s="31" t="s">
        <v>26</v>
      </c>
      <c r="N31" s="7" t="s">
        <v>27</v>
      </c>
      <c r="O31" s="7" t="s">
        <v>28</v>
      </c>
      <c r="P31" s="7" t="s">
        <v>29</v>
      </c>
      <c r="Q31" s="7" t="s">
        <v>30</v>
      </c>
      <c r="R31" s="7"/>
      <c r="S31" s="42"/>
      <c r="T31" s="42"/>
      <c r="U31" s="42"/>
      <c r="V31" s="42"/>
      <c r="W31" s="35"/>
      <c r="X31" s="35" t="s">
        <v>31</v>
      </c>
      <c r="Y31" s="43" t="s">
        <v>32</v>
      </c>
      <c r="Z31" s="35" t="s">
        <v>27</v>
      </c>
      <c r="AA31" s="35" t="s">
        <v>28</v>
      </c>
      <c r="AB31" s="35" t="s">
        <v>29</v>
      </c>
      <c r="AC31" s="35" t="s">
        <v>30</v>
      </c>
      <c r="AD31" s="35"/>
      <c r="AE31" s="92" t="s">
        <v>65</v>
      </c>
      <c r="AF31" s="50" t="s">
        <v>66</v>
      </c>
      <c r="AG31" s="50"/>
      <c r="AH31" s="50"/>
      <c r="AI31" s="50"/>
      <c r="AJ31" s="50" t="s">
        <v>67</v>
      </c>
      <c r="AK31" s="43" t="s">
        <v>68</v>
      </c>
      <c r="AL31" s="50" t="s">
        <v>69</v>
      </c>
      <c r="AM31" s="50"/>
      <c r="AN31" s="50"/>
      <c r="AO31" s="50"/>
      <c r="AP31" s="50" t="s">
        <v>70</v>
      </c>
      <c r="AQ31" s="50" t="s">
        <v>71</v>
      </c>
      <c r="AR31" s="50"/>
      <c r="AS31" s="50"/>
      <c r="AT31" s="50"/>
      <c r="AU31" s="38" t="s">
        <v>72</v>
      </c>
      <c r="AV31" s="43" t="s">
        <v>73</v>
      </c>
      <c r="AW31" s="87"/>
      <c r="BB31" s="16" t="s">
        <v>23</v>
      </c>
      <c r="BC31" s="17" t="s">
        <v>192</v>
      </c>
      <c r="BD31" s="43" t="s">
        <v>25</v>
      </c>
      <c r="BE31" s="50"/>
      <c r="BF31" s="43"/>
      <c r="BG31" s="35"/>
      <c r="BH31" s="104"/>
      <c r="BI31" s="92"/>
      <c r="BJ31" s="104"/>
      <c r="BK31" s="93"/>
      <c r="BL31" s="7"/>
      <c r="BM31" s="31" t="s">
        <v>26</v>
      </c>
      <c r="BN31" s="7" t="s">
        <v>27</v>
      </c>
      <c r="BO31" s="7" t="s">
        <v>28</v>
      </c>
      <c r="BP31" s="7" t="s">
        <v>29</v>
      </c>
      <c r="BQ31" s="7" t="s">
        <v>30</v>
      </c>
      <c r="BR31" s="7"/>
      <c r="BS31" s="42"/>
      <c r="BT31" s="42"/>
      <c r="BU31" s="42"/>
      <c r="BV31" s="42"/>
      <c r="BW31" s="35"/>
      <c r="BX31" s="35" t="s">
        <v>31</v>
      </c>
      <c r="BY31" s="43" t="s">
        <v>32</v>
      </c>
      <c r="BZ31" s="35" t="s">
        <v>27</v>
      </c>
      <c r="CA31" s="35" t="s">
        <v>28</v>
      </c>
      <c r="CB31" s="35" t="s">
        <v>29</v>
      </c>
      <c r="CC31" s="35" t="s">
        <v>30</v>
      </c>
      <c r="CD31" s="35"/>
      <c r="CE31" s="92" t="s">
        <v>65</v>
      </c>
      <c r="CF31" s="50" t="s">
        <v>66</v>
      </c>
      <c r="CG31" s="50"/>
      <c r="CH31" s="50"/>
      <c r="CI31" s="11"/>
      <c r="CJ31" s="11" t="s">
        <v>67</v>
      </c>
      <c r="CK31" s="8" t="s">
        <v>68</v>
      </c>
      <c r="CL31" s="11" t="s">
        <v>69</v>
      </c>
      <c r="CM31" s="11"/>
      <c r="CN31" s="11"/>
      <c r="CO31" s="11"/>
      <c r="CP31" s="11" t="s">
        <v>70</v>
      </c>
      <c r="CQ31" s="11" t="s">
        <v>71</v>
      </c>
      <c r="CR31" s="11"/>
      <c r="CS31" s="11"/>
      <c r="CT31" s="11"/>
      <c r="CU31" s="13" t="s">
        <v>72</v>
      </c>
      <c r="CV31" s="8" t="s">
        <v>73</v>
      </c>
      <c r="CW31" s="44"/>
    </row>
    <row r="32" spans="2:101" ht="12.75">
      <c r="B32" s="3" t="s">
        <v>33</v>
      </c>
      <c r="C32" s="3" t="s">
        <v>34</v>
      </c>
      <c r="D32" s="43"/>
      <c r="E32" s="50"/>
      <c r="F32" s="43"/>
      <c r="G32" s="42"/>
      <c r="L32" s="1"/>
      <c r="M32" s="39" t="str">
        <f>VLOOKUP(1,$X$32:$AC$35,2,FALSE)</f>
        <v>China</v>
      </c>
      <c r="N32" s="2">
        <f>VLOOKUP(1,$X$32:$AC$35,3,FALSE)</f>
        <v>9</v>
      </c>
      <c r="O32" s="2">
        <f>VLOOKUP(1,$X$32:$AC$35,4,FALSE)</f>
        <v>10</v>
      </c>
      <c r="P32" s="2">
        <f>VLOOKUP(1,$X$32:$AC$35,5,FALSE)</f>
        <v>2</v>
      </c>
      <c r="Q32" s="2">
        <f>VLOOKUP(1,$X$32:$AC$35,6,FALSE)</f>
        <v>8</v>
      </c>
      <c r="S32" s="45"/>
      <c r="T32" s="46">
        <f>IF(H33="",0,IF(K33=$B$57,IF(H33&gt;J33,3,IF(H33=J33,1,0)),0))</f>
        <v>3</v>
      </c>
      <c r="U32" s="46">
        <f>IF(H35="",0,IF(K35=$B$57,IF(H35&gt;J35,3,IF(H35=J35,1,0)),0))</f>
        <v>1</v>
      </c>
      <c r="V32" s="46">
        <f>IF(J37="",0,IF(K37=$B$57,IF(H37&lt;J37,3,IF(H37=J37,1,0)),0))</f>
        <v>0</v>
      </c>
      <c r="W32" s="47"/>
      <c r="X32" s="112">
        <f>RANK(AD32,AD32:AD35)+COUNTIF(AD32:AD32,AD32)-1</f>
        <v>2</v>
      </c>
      <c r="Y32" s="48" t="s">
        <v>50</v>
      </c>
      <c r="Z32" s="47">
        <f>SUM(S32:V32)</f>
        <v>4</v>
      </c>
      <c r="AA32" s="47">
        <f>SUM(S36:V36)</f>
        <v>7</v>
      </c>
      <c r="AB32" s="47">
        <f>SUM(S36:S39)</f>
        <v>3</v>
      </c>
      <c r="AC32" s="47">
        <f>AA32-AB32</f>
        <v>4</v>
      </c>
      <c r="AD32" s="49">
        <f>IF(P$38="",(((((((AE32*10+Z32)*100+AC32)*100+AA32)*10+AK32)*10+AJ32)*100+AP32)*100+AU32)*10+AV32,(((((((AE32*10+Z32)*10+AK32)*10+AJ32)*100+AP32)*100+AU32)*100+AC32)*100+AA32)*10+AV32)</f>
        <v>400000104070</v>
      </c>
      <c r="AE32" s="94"/>
      <c r="AF32" s="113"/>
      <c r="AG32" s="113">
        <f>IF($Z32=$Z33,$T32-$S33,0)</f>
        <v>0</v>
      </c>
      <c r="AH32" s="113">
        <f>IF($Z32=$Z34,$U32-$S34,0)</f>
        <v>0</v>
      </c>
      <c r="AI32" s="113">
        <f>IF($Z32=$Z35,$V32-$S35,0)</f>
        <v>0</v>
      </c>
      <c r="AJ32" s="113">
        <f>SUM(AF32:AI32)</f>
        <v>0</v>
      </c>
      <c r="AK32" s="94"/>
      <c r="AL32" s="113"/>
      <c r="AM32" s="113">
        <f>IF($Z32=$Z33,$T36-$S37,0)</f>
        <v>0</v>
      </c>
      <c r="AN32" s="113">
        <f>IF($Z32=$Z34,$U36-$S38,0)</f>
        <v>0</v>
      </c>
      <c r="AO32" s="113">
        <f>IF($Z32=$Z35,$V36-$S39,0)</f>
        <v>0</v>
      </c>
      <c r="AP32" s="113">
        <f>SUM(AL32:AO32)</f>
        <v>0</v>
      </c>
      <c r="AQ32" s="113"/>
      <c r="AR32" s="113">
        <f>IF($Z32=$Z33,$T36,0)</f>
        <v>0</v>
      </c>
      <c r="AS32" s="113">
        <f>IF($Z32=$Z34,$U36,0)</f>
        <v>1</v>
      </c>
      <c r="AT32" s="113">
        <f>IF($Z32=$Z35,$V36,0)</f>
        <v>0</v>
      </c>
      <c r="AU32" s="113">
        <f>SUM(AQ32:AT32)</f>
        <v>1</v>
      </c>
      <c r="AV32" s="114">
        <f>IF(AND(COUNTIF(K33:K38,$B$57)=COUNTA(H33:H38),COUNTIF(K33:K38,$B$57)=COUNTA(J33:J38)),IF(AU32=AU33,T36-S37,IF(AU32=AU34,U36-S38,IF(AU32=AU35,V36-S39,4))),4)</f>
        <v>0</v>
      </c>
      <c r="AW32" s="88"/>
      <c r="BB32" s="3" t="s">
        <v>33</v>
      </c>
      <c r="BC32" s="3" t="s">
        <v>34</v>
      </c>
      <c r="BD32" s="43"/>
      <c r="BE32" s="50"/>
      <c r="BF32" s="43"/>
      <c r="BG32" s="42"/>
      <c r="BL32" s="1"/>
      <c r="BM32" s="39" t="str">
        <f>VLOOKUP(1,$BX$32:$CC$35,2,FALSE)</f>
        <v>Deutschland</v>
      </c>
      <c r="BN32" s="2">
        <f>VLOOKUP(1,$BX$32:$CC$35,3,FALSE)</f>
        <v>7</v>
      </c>
      <c r="BO32" s="2">
        <f>VLOOKUP(1,$BX$32:$CC$35,4,FALSE)</f>
        <v>6</v>
      </c>
      <c r="BP32" s="2">
        <f>VLOOKUP(1,$BX$32:$CC$35,5,FALSE)</f>
        <v>3</v>
      </c>
      <c r="BQ32" s="2">
        <f>VLOOKUP(1,$BX$32:$CC$35,6,FALSE)</f>
        <v>3</v>
      </c>
      <c r="BS32" s="45"/>
      <c r="BT32" s="46">
        <f>IF(BH33="",0,IF(BK33=$B$57,IF(BH33&gt;BJ33,3,IF(BH33=BJ33,1,0)),0))</f>
        <v>3</v>
      </c>
      <c r="BU32" s="46">
        <f>IF(BH35="",0,IF(BK35=$B$57,IF(BH35&gt;BJ35,3,IF(BH35=BJ35,1,0)),0))</f>
        <v>3</v>
      </c>
      <c r="BV32" s="46">
        <f>IF(BJ37="",0,IF(BK37=$B$57,IF(BH37&lt;BJ37,3,IF(BH37=BJ37,1,0)),0))</f>
        <v>1</v>
      </c>
      <c r="BW32" s="47"/>
      <c r="BX32" s="112">
        <f>RANK(CD32,CD32:CD35)+COUNTIF(CD32:CD32,CD32)-1</f>
        <v>1</v>
      </c>
      <c r="BY32" s="48" t="s">
        <v>41</v>
      </c>
      <c r="BZ32" s="47">
        <f>SUM(BS32:BV32)</f>
        <v>7</v>
      </c>
      <c r="CA32" s="47">
        <f>SUM(BS36:BV36)</f>
        <v>6</v>
      </c>
      <c r="CB32" s="47">
        <f>SUM(BS36:BS39)</f>
        <v>3</v>
      </c>
      <c r="CC32" s="47">
        <f>CA32-CB32</f>
        <v>3</v>
      </c>
      <c r="CD32" s="49">
        <f>IF(BP$38="",(((((((CE32*10+BZ32)*100+CC32)*100+CA32)*10+CK32)*10+CJ32)*100+CP32)*100+CU32)*10+CV32,(((((((CE32*10+BZ32)*10+CK32)*10+CJ32)*100+CP32)*100+CU32)*100+CC32)*100+CA32)*10+CV32)</f>
        <v>700000103060</v>
      </c>
      <c r="CE32" s="94"/>
      <c r="CF32" s="113"/>
      <c r="CG32" s="113">
        <f>IF($BZ32=$BZ33,$BT32-$BS33,0)</f>
        <v>0</v>
      </c>
      <c r="CH32" s="113">
        <f>IF($BZ32=$BZ34,$BU32-$BS34,0)</f>
        <v>0</v>
      </c>
      <c r="CI32" s="115">
        <f>IF($BZ32=$BZ35,$BV32-$BS35,0)</f>
        <v>0</v>
      </c>
      <c r="CJ32" s="115">
        <f>SUM(CF32:CI32)</f>
        <v>0</v>
      </c>
      <c r="CK32" s="95"/>
      <c r="CL32" s="115"/>
      <c r="CM32" s="115">
        <f>IF($BZ32=$BZ33,$BT36-$BS37,0)</f>
        <v>0</v>
      </c>
      <c r="CN32" s="115">
        <f>IF($BZ32=$BZ34,$BU36-$BS38,0)</f>
        <v>0</v>
      </c>
      <c r="CO32" s="115">
        <f>IF($BZ32=$BZ35,$BV36-$BS39,0)</f>
        <v>0</v>
      </c>
      <c r="CP32" s="115">
        <f>SUM(CL32:CO32)</f>
        <v>0</v>
      </c>
      <c r="CQ32" s="115"/>
      <c r="CR32" s="115">
        <f>IF($BZ32=$BZ33,$BT36,0)</f>
        <v>0</v>
      </c>
      <c r="CS32" s="115">
        <f>IF($BZ32=$BZ34,$BU36,0)</f>
        <v>0</v>
      </c>
      <c r="CT32" s="115">
        <f>IF($BZ32=$BZ35,$BV36,0)</f>
        <v>1</v>
      </c>
      <c r="CU32" s="115">
        <f>SUM(CQ32:CT32)</f>
        <v>1</v>
      </c>
      <c r="CV32" s="114">
        <f>IF(AND(COUNTIF(BK33:BK38,$B$57)=COUNTA(BH33:BH38),COUNTIF(BK33:BK38,$B$57)=COUNTA(BJ33:BJ38)),IF(CU32=CU33,BT36-BS37,IF(CU32=CU34,BU36-BS38,IF(CU32=CU35,BV36-BS39,4))),4)</f>
        <v>0</v>
      </c>
      <c r="CW32" s="49"/>
    </row>
    <row r="33" spans="1:101" ht="12.75">
      <c r="A33" s="2">
        <v>7</v>
      </c>
      <c r="B33" s="5">
        <v>45129.479166666664</v>
      </c>
      <c r="C33" s="4" t="s">
        <v>180</v>
      </c>
      <c r="D33" s="43" t="str">
        <f>Y32</f>
        <v>England</v>
      </c>
      <c r="E33" s="50" t="s">
        <v>35</v>
      </c>
      <c r="F33" s="43" t="str">
        <f>Y33</f>
        <v>Haiti</v>
      </c>
      <c r="G33" s="35"/>
      <c r="H33" s="103">
        <v>5</v>
      </c>
      <c r="I33" s="105" t="s">
        <v>36</v>
      </c>
      <c r="J33" s="103">
        <v>0</v>
      </c>
      <c r="K33" s="6" t="s">
        <v>62</v>
      </c>
      <c r="L33" s="1"/>
      <c r="M33" s="39" t="str">
        <f>VLOOKUP(2,$X$32:$AC$35,2,FALSE)</f>
        <v>England</v>
      </c>
      <c r="N33" s="2">
        <f>VLOOKUP(2,$X$32:$AC$35,3,FALSE)</f>
        <v>4</v>
      </c>
      <c r="O33" s="2">
        <f>VLOOKUP(2,$X$32:$AC$35,4,FALSE)</f>
        <v>7</v>
      </c>
      <c r="P33" s="2">
        <f>VLOOKUP(2,$X$32:$AC$35,5,FALSE)</f>
        <v>3</v>
      </c>
      <c r="Q33" s="2">
        <f>VLOOKUP(2,$X$32:$AC$35,6,FALSE)</f>
        <v>4</v>
      </c>
      <c r="S33" s="46">
        <f>IF(J33="",0,IF(K33=$B$57,IF(H33&lt;J33,3,IF(H33=J33,1,0)),0))</f>
        <v>0</v>
      </c>
      <c r="T33" s="45"/>
      <c r="U33" s="46">
        <f>IF(H38="",0,IF(K38=$B$57,IF(H38&gt;J38,3,IF(H38=J38,1,0)),0))</f>
        <v>0</v>
      </c>
      <c r="V33" s="46">
        <f>IF(H36="",0,IF(K36=$B$57,IF(H36&gt;J36,3,IF(H36=J36,1,0)),0))</f>
        <v>0</v>
      </c>
      <c r="W33" s="47"/>
      <c r="X33" s="112">
        <f>RANK(AD33,AD32:AD35)+COUNTIF(AD32:AD33,AD33)-1</f>
        <v>4</v>
      </c>
      <c r="Y33" s="48" t="s">
        <v>193</v>
      </c>
      <c r="Z33" s="47">
        <f>SUM(S33:V33)</f>
        <v>0</v>
      </c>
      <c r="AA33" s="47">
        <f>SUM(S37:V37)</f>
        <v>0</v>
      </c>
      <c r="AB33" s="47">
        <f>SUM(T36:T39)</f>
        <v>15</v>
      </c>
      <c r="AC33" s="47">
        <f>AA33-AB33</f>
        <v>-15</v>
      </c>
      <c r="AD33" s="49">
        <f>IF(P$38="",(((((((AE33*10+Z33)*100+AC33)*100+AA33)*10+AK33)*10+AJ33)*100+AP33)*100+AU33)*10+AV33,(((((((AE33*10+Z33)*10+AK33)*10+AJ33)*100+AP33)*100+AU33)*100+AC33)*100+AA33)*10+AV33)</f>
        <v>-15006</v>
      </c>
      <c r="AE33" s="94"/>
      <c r="AF33" s="113">
        <f>IF($Z33=$Z32,$S33-$T32,0)</f>
        <v>0</v>
      </c>
      <c r="AG33" s="113"/>
      <c r="AH33" s="113">
        <f>IF($Z33=$Z34,$U33-$T34,0)</f>
        <v>0</v>
      </c>
      <c r="AI33" s="113">
        <f>IF($Z33=$Z35,$V33-$T35,0)</f>
        <v>0</v>
      </c>
      <c r="AJ33" s="113">
        <f>SUM(AF33:AI33)</f>
        <v>0</v>
      </c>
      <c r="AK33" s="94"/>
      <c r="AL33" s="113">
        <f>IF($Z33=$Z32,$S37-$T36,0)</f>
        <v>0</v>
      </c>
      <c r="AM33" s="113"/>
      <c r="AN33" s="113">
        <f>IF($Z33=$Z34,$U37-$T38,0)</f>
        <v>0</v>
      </c>
      <c r="AO33" s="113">
        <f>IF($Z33=$Z35,$V37-$T39,0)</f>
        <v>0</v>
      </c>
      <c r="AP33" s="113">
        <f>SUM(AL33:AO33)</f>
        <v>0</v>
      </c>
      <c r="AQ33" s="113">
        <f>IF($Z33=$Z32,$S37,0)</f>
        <v>0</v>
      </c>
      <c r="AR33" s="113"/>
      <c r="AS33" s="113">
        <f>IF($Z33=$Z34,$U37,0)</f>
        <v>0</v>
      </c>
      <c r="AT33" s="113">
        <f>IF($Z33=$Z35,$V37,0)</f>
        <v>0</v>
      </c>
      <c r="AU33" s="113">
        <f>SUM(AQ33:AT33)</f>
        <v>0</v>
      </c>
      <c r="AV33" s="114">
        <f>IF(AND(COUNTIF(K33:K38,$B$57)=COUNTA(H33:H38),COUNTIF(K33:K38,$B$57)=COUNTA(J33:J38)),IF(AU33=AU32,S37-T36,IF(AU33=AU34,U37-T38,IF(AU33=AU35,V37-T39,3))),3)</f>
        <v>-6</v>
      </c>
      <c r="AW33" s="88"/>
      <c r="BA33" s="2">
        <v>15</v>
      </c>
      <c r="BB33" s="5">
        <v>45131.4375</v>
      </c>
      <c r="BC33" s="4" t="s">
        <v>176</v>
      </c>
      <c r="BD33" s="43" t="str">
        <f>BY32</f>
        <v>Deutschland</v>
      </c>
      <c r="BE33" s="50" t="s">
        <v>35</v>
      </c>
      <c r="BF33" s="43" t="str">
        <f>BY33</f>
        <v>Marokko</v>
      </c>
      <c r="BG33" s="35"/>
      <c r="BH33" s="103">
        <v>3</v>
      </c>
      <c r="BI33" s="105" t="s">
        <v>36</v>
      </c>
      <c r="BJ33" s="103">
        <v>1</v>
      </c>
      <c r="BK33" s="6" t="s">
        <v>62</v>
      </c>
      <c r="BL33" s="1"/>
      <c r="BM33" s="39" t="str">
        <f>VLOOKUP(2,$BX$32:$CC$35,2,FALSE)</f>
        <v>Südkorea</v>
      </c>
      <c r="BN33" s="2">
        <f>VLOOKUP(2,$BX$32:$CC$35,3,FALSE)</f>
        <v>7</v>
      </c>
      <c r="BO33" s="2">
        <f>VLOOKUP(2,$BX$32:$CC$35,4,FALSE)</f>
        <v>5</v>
      </c>
      <c r="BP33" s="2">
        <f>VLOOKUP(2,$BX$32:$CC$35,5,FALSE)</f>
        <v>2</v>
      </c>
      <c r="BQ33" s="2">
        <f>VLOOKUP(2,$BX$32:$CC$35,6,FALSE)</f>
        <v>3</v>
      </c>
      <c r="BS33" s="46">
        <f>IF(BJ33="",0,IF(BK33=$B$57,IF(BH33&lt;BJ33,3,IF(BH33=BJ33,1,0)),0))</f>
        <v>0</v>
      </c>
      <c r="BT33" s="45"/>
      <c r="BU33" s="46">
        <f>IF(BH38="",0,IF(BK38=$B$57,IF(BH38&gt;BJ38,3,IF(BH38=BJ38,1,0)),0))</f>
        <v>3</v>
      </c>
      <c r="BV33" s="46">
        <f>IF(BH36="",0,IF(BK36=$B$57,IF(BH36&gt;BJ36,3,IF(BH36=BJ36,1,0)),0))</f>
        <v>0</v>
      </c>
      <c r="BW33" s="47"/>
      <c r="BX33" s="112">
        <f>RANK(CD33,CD32:CD35)+COUNTIF(CD32:CD33,CD33)-1</f>
        <v>3</v>
      </c>
      <c r="BY33" s="48" t="s">
        <v>194</v>
      </c>
      <c r="BZ33" s="47">
        <f>SUM(BS33:BV33)</f>
        <v>3</v>
      </c>
      <c r="CA33" s="47">
        <f>SUM(BS37:BV37)</f>
        <v>4</v>
      </c>
      <c r="CB33" s="47">
        <f>SUM(BT36:BT39)</f>
        <v>7</v>
      </c>
      <c r="CC33" s="47">
        <f>CA33-CB33</f>
        <v>-3</v>
      </c>
      <c r="CD33" s="49">
        <f>IF(BP$38="",(((((((CE33*10+BZ33)*100+CC33)*100+CA33)*10+CK33)*10+CJ33)*100+CP33)*100+CU33)*10+CV33,(((((((CE33*10+BZ33)*10+CK33)*10+CJ33)*100+CP33)*100+CU33)*100+CC33)*100+CA33)*10+CV33)</f>
        <v>299999997041</v>
      </c>
      <c r="CE33" s="94"/>
      <c r="CF33" s="113">
        <f>IF($BZ33=$BZ32,$BS33-$BT32,0)</f>
        <v>0</v>
      </c>
      <c r="CG33" s="113"/>
      <c r="CH33" s="113">
        <f>IF($BZ33=$BZ34,$BU33-$BT34,0)</f>
        <v>0</v>
      </c>
      <c r="CI33" s="115">
        <f>IF($BZ33=$BZ35,$BV33-$BT35,0)</f>
        <v>0</v>
      </c>
      <c r="CJ33" s="115">
        <f>SUM(CF33:CI33)</f>
        <v>0</v>
      </c>
      <c r="CK33" s="95"/>
      <c r="CL33" s="115">
        <f>IF($BZ33=$BZ32,$BS37-$BT36,0)</f>
        <v>0</v>
      </c>
      <c r="CM33" s="115"/>
      <c r="CN33" s="115">
        <f>IF($BZ33=$BZ34,$BU37-$BT38,0)</f>
        <v>0</v>
      </c>
      <c r="CO33" s="115">
        <f>IF($BZ33=$BZ35,$BV37-$BT39,0)</f>
        <v>0</v>
      </c>
      <c r="CP33" s="115">
        <f>SUM(CL33:CO33)</f>
        <v>0</v>
      </c>
      <c r="CQ33" s="115">
        <f>IF($BZ33=$BZ32,$BS37,0)</f>
        <v>0</v>
      </c>
      <c r="CR33" s="115"/>
      <c r="CS33" s="115">
        <f>IF($BZ33=$BZ34,$BU37,0)</f>
        <v>0</v>
      </c>
      <c r="CT33" s="115">
        <f>IF($BZ33=$BZ35,$BV37,0)</f>
        <v>0</v>
      </c>
      <c r="CU33" s="115">
        <f>SUM(CQ33:CT33)</f>
        <v>0</v>
      </c>
      <c r="CV33" s="114">
        <f>IF(AND(COUNTIF(BK33:BK38,$B$57)=COUNTA(BH33:BH38),COUNTIF(BK33:BK38,$B$57)=COUNTA(BJ33:BJ38)),IF(CU33=CU32,BS37-BT36,IF(CU33=CU34,BU37-BT38,IF(CU33=CU35,BV37-BT39,3))),3)</f>
        <v>1</v>
      </c>
      <c r="CW33" s="49"/>
    </row>
    <row r="34" spans="1:101" ht="12.75">
      <c r="A34" s="2">
        <v>8</v>
      </c>
      <c r="B34" s="5">
        <v>45129.583333333336</v>
      </c>
      <c r="C34" s="4" t="s">
        <v>183</v>
      </c>
      <c r="D34" s="43" t="str">
        <f>Y34</f>
        <v>Dänemark</v>
      </c>
      <c r="E34" s="50" t="s">
        <v>35</v>
      </c>
      <c r="F34" s="43" t="str">
        <f>Y35</f>
        <v>China</v>
      </c>
      <c r="G34" s="35"/>
      <c r="H34" s="103">
        <v>1</v>
      </c>
      <c r="I34" s="105" t="s">
        <v>36</v>
      </c>
      <c r="J34" s="103">
        <v>2</v>
      </c>
      <c r="K34" s="6" t="s">
        <v>62</v>
      </c>
      <c r="L34" s="1"/>
      <c r="M34" s="39" t="str">
        <f>VLOOKUP(3,$X$32:$AC$35,2,FALSE)</f>
        <v>Dänemark</v>
      </c>
      <c r="N34" s="2">
        <f>VLOOKUP(3,$X$32:$AC$35,3,FALSE)</f>
        <v>4</v>
      </c>
      <c r="O34" s="2">
        <f>VLOOKUP(3,$X$32:$AC$35,4,FALSE)</f>
        <v>6</v>
      </c>
      <c r="P34" s="2">
        <f>VLOOKUP(3,$X$32:$AC$35,5,FALSE)</f>
        <v>3</v>
      </c>
      <c r="Q34" s="2">
        <f>VLOOKUP(3,$X$32:$AC$35,6,FALSE)</f>
        <v>3</v>
      </c>
      <c r="S34" s="46">
        <f>IF(J35="",0,IF(K35=$B$57,IF(H35&lt;J35,3,IF(H35=J35,1,0)),0))</f>
        <v>1</v>
      </c>
      <c r="T34" s="46">
        <f>IF(J38="",0,IF(K38=$B$57,IF(H38&lt;J38,3,IF(H38=J38,1,0)),0))</f>
        <v>3</v>
      </c>
      <c r="U34" s="45"/>
      <c r="V34" s="46">
        <f>IF(H34="",0,IF(K34=$B$57,IF(H34&gt;J34,3,IF(H34=J34,1,0)),0))</f>
        <v>0</v>
      </c>
      <c r="W34" s="47"/>
      <c r="X34" s="112">
        <f>RANK(AD34,AD32:AD35)+COUNTIF(AD32:AD34,AD34)-1</f>
        <v>3</v>
      </c>
      <c r="Y34" s="48" t="s">
        <v>155</v>
      </c>
      <c r="Z34" s="47">
        <f>SUM(S34:V34)</f>
        <v>4</v>
      </c>
      <c r="AA34" s="47">
        <f>SUM(S38:V38)</f>
        <v>6</v>
      </c>
      <c r="AB34" s="47">
        <f>SUM(U36:U39)</f>
        <v>3</v>
      </c>
      <c r="AC34" s="47">
        <f>AA34-AB34</f>
        <v>3</v>
      </c>
      <c r="AD34" s="49">
        <f>IF(P$38="",(((((((AE34*10+Z34)*100+AC34)*100+AA34)*10+AK34)*10+AJ34)*100+AP34)*100+AU34)*10+AV34,(((((((AE34*10+Z34)*10+AK34)*10+AJ34)*100+AP34)*100+AU34)*100+AC34)*100+AA34)*10+AV34)</f>
        <v>400000103060</v>
      </c>
      <c r="AE34" s="94"/>
      <c r="AF34" s="113">
        <f>IF($Z34=$Z32,$S34-$U32,0)</f>
        <v>0</v>
      </c>
      <c r="AG34" s="113">
        <f>IF($Z34=$Z33,$T34-$U33,0)</f>
        <v>0</v>
      </c>
      <c r="AH34" s="113"/>
      <c r="AI34" s="113">
        <f>IF($Z34=$Z35,$V34-$U35,0)</f>
        <v>0</v>
      </c>
      <c r="AJ34" s="113">
        <f>SUM(AF34:AI34)</f>
        <v>0</v>
      </c>
      <c r="AK34" s="94"/>
      <c r="AL34" s="113">
        <f>IF($Z34=$Z32,$S38-$U36,0)</f>
        <v>0</v>
      </c>
      <c r="AM34" s="113">
        <f>IF($Z34=$Z33,$T38-$U37,0)</f>
        <v>0</v>
      </c>
      <c r="AN34" s="113"/>
      <c r="AO34" s="113">
        <f>IF($Z34=$Z35,$V38-$U39,0)</f>
        <v>0</v>
      </c>
      <c r="AP34" s="113">
        <f>SUM(AL34:AO34)</f>
        <v>0</v>
      </c>
      <c r="AQ34" s="113">
        <f>IF($Z34=$Z32,$S38,0)</f>
        <v>1</v>
      </c>
      <c r="AR34" s="113">
        <f>IF($Z34=$Z33,$T38,0)</f>
        <v>0</v>
      </c>
      <c r="AS34" s="113"/>
      <c r="AT34" s="113">
        <f>IF($Z34=$Z35,$V38,0)</f>
        <v>0</v>
      </c>
      <c r="AU34" s="113">
        <f>SUM(AQ34:AT34)</f>
        <v>1</v>
      </c>
      <c r="AV34" s="114">
        <f>IF(AND(COUNTIF(K33:K38,$B$57)=COUNTA(H33:H38),COUNTIF(K33:K38,$B$57)=COUNTA(J33:J38)),IF(AU34=AU32,S38-U36,IF(AU34=AU33,T38-U37,IF(AU34=AU35,V38-U39,2))),2)</f>
        <v>0</v>
      </c>
      <c r="AW34" s="88"/>
      <c r="BA34" s="2">
        <v>16</v>
      </c>
      <c r="BB34" s="5">
        <v>45132.166666666664</v>
      </c>
      <c r="BC34" s="4" t="s">
        <v>173</v>
      </c>
      <c r="BD34" s="43" t="str">
        <f>BY34</f>
        <v>Kolumbien</v>
      </c>
      <c r="BE34" s="50" t="s">
        <v>35</v>
      </c>
      <c r="BF34" s="43" t="str">
        <f>BY35</f>
        <v>Südkorea</v>
      </c>
      <c r="BG34" s="35"/>
      <c r="BH34" s="103">
        <v>0</v>
      </c>
      <c r="BI34" s="105" t="s">
        <v>36</v>
      </c>
      <c r="BJ34" s="103">
        <v>1</v>
      </c>
      <c r="BK34" s="6" t="s">
        <v>62</v>
      </c>
      <c r="BL34" s="1"/>
      <c r="BM34" s="39" t="str">
        <f>VLOOKUP(3,$BX$32:$CC$35,2,FALSE)</f>
        <v>Marokko</v>
      </c>
      <c r="BN34" s="2">
        <f>VLOOKUP(3,$BX$32:$CC$35,3,FALSE)</f>
        <v>3</v>
      </c>
      <c r="BO34" s="2">
        <f>VLOOKUP(3,$BX$32:$CC$35,4,FALSE)</f>
        <v>4</v>
      </c>
      <c r="BP34" s="2">
        <f>VLOOKUP(3,$BX$32:$CC$35,5,FALSE)</f>
        <v>7</v>
      </c>
      <c r="BQ34" s="2">
        <f>VLOOKUP(3,$BX$32:$CC$35,6,FALSE)</f>
        <v>-3</v>
      </c>
      <c r="BS34" s="46">
        <f>IF(BJ35="",0,IF(BK35=$B$57,IF(BH35&lt;BJ35,3,IF(BH35=BJ35,1,0)),0))</f>
        <v>0</v>
      </c>
      <c r="BT34" s="46">
        <f>IF(BJ38="",0,IF(BK38=$B$57,IF(BH38&lt;BJ38,3,IF(BH38=BJ38,1,0)),0))</f>
        <v>0</v>
      </c>
      <c r="BU34" s="45"/>
      <c r="BV34" s="46">
        <f>IF(BH34="",0,IF(BK34=$B$57,IF(BH34&gt;BJ34,3,IF(BH34=BJ34,1,0)),0))</f>
        <v>0</v>
      </c>
      <c r="BW34" s="47"/>
      <c r="BX34" s="112">
        <f>RANK(CD34,CD32:CD35)+COUNTIF(CD32:CD34,CD34)-1</f>
        <v>4</v>
      </c>
      <c r="BY34" s="48" t="s">
        <v>195</v>
      </c>
      <c r="BZ34" s="47">
        <f>SUM(BS34:BV34)</f>
        <v>0</v>
      </c>
      <c r="CA34" s="47">
        <f>SUM(BS38:BV38)</f>
        <v>2</v>
      </c>
      <c r="CB34" s="47">
        <f>SUM(BU36:BU39)</f>
        <v>5</v>
      </c>
      <c r="CC34" s="47">
        <f>CA34-CB34</f>
        <v>-3</v>
      </c>
      <c r="CD34" s="49">
        <f>IF(BP$38="",(((((((CE34*10+BZ34)*100+CC34)*100+CA34)*10+CK34)*10+CJ34)*100+CP34)*100+CU34)*10+CV34,(((((((CE34*10+BZ34)*10+CK34)*10+CJ34)*100+CP34)*100+CU34)*100+CC34)*100+CA34)*10+CV34)</f>
        <v>-2981</v>
      </c>
      <c r="CE34" s="94"/>
      <c r="CF34" s="113">
        <f>IF($BZ34=$BZ32,$BS34-$BU32,0)</f>
        <v>0</v>
      </c>
      <c r="CG34" s="113">
        <f>IF($BZ34=$BZ33,$BT34-$BU33,0)</f>
        <v>0</v>
      </c>
      <c r="CH34" s="113"/>
      <c r="CI34" s="115">
        <f>IF($BZ34=$BZ35,$BV34-$BU35,0)</f>
        <v>0</v>
      </c>
      <c r="CJ34" s="115">
        <f>SUM(CF34:CI34)</f>
        <v>0</v>
      </c>
      <c r="CK34" s="95"/>
      <c r="CL34" s="115">
        <f>IF($BZ34=$BZ32,$BS38-$BU36,0)</f>
        <v>0</v>
      </c>
      <c r="CM34" s="115">
        <f>IF($BZ34=$BZ33,$BT38-$BU37,0)</f>
        <v>0</v>
      </c>
      <c r="CN34" s="115"/>
      <c r="CO34" s="115">
        <f>IF($BZ34=$BZ35,$BV38-$BU39,0)</f>
        <v>0</v>
      </c>
      <c r="CP34" s="115">
        <f>SUM(CL34:CO34)</f>
        <v>0</v>
      </c>
      <c r="CQ34" s="115">
        <f>IF($BZ34=$BZ32,$BS38,0)</f>
        <v>0</v>
      </c>
      <c r="CR34" s="115">
        <f>IF($BZ34=$BZ33,$BT38,0)</f>
        <v>0</v>
      </c>
      <c r="CS34" s="115"/>
      <c r="CT34" s="115">
        <f>IF($BZ34=$BZ35,$BV38,0)</f>
        <v>0</v>
      </c>
      <c r="CU34" s="115">
        <f>SUM(CQ34:CT34)</f>
        <v>0</v>
      </c>
      <c r="CV34" s="114">
        <f>IF(AND(COUNTIF(BK33:BK38,$B$57)=COUNTA(BH33:BH38),COUNTIF(BK33:BK38,$B$57)=COUNTA(BJ33:BJ38)),IF(CU34=CU32,BS38-BU36,IF(CU34=CU33,BT38-BU37,IF(CU34=CU35,BV38-BU39,2))),2)</f>
        <v>-1</v>
      </c>
      <c r="CW34" s="49"/>
    </row>
    <row r="35" spans="1:101" ht="12.75">
      <c r="A35" s="2">
        <v>23</v>
      </c>
      <c r="B35" s="5">
        <v>45135.4375</v>
      </c>
      <c r="C35" s="4" t="s">
        <v>173</v>
      </c>
      <c r="D35" s="43" t="str">
        <f>Y32</f>
        <v>England</v>
      </c>
      <c r="E35" s="50" t="s">
        <v>35</v>
      </c>
      <c r="F35" s="43" t="str">
        <f>Y34</f>
        <v>Dänemark</v>
      </c>
      <c r="G35" s="35"/>
      <c r="H35" s="103">
        <v>1</v>
      </c>
      <c r="I35" s="105" t="s">
        <v>36</v>
      </c>
      <c r="J35" s="103">
        <v>1</v>
      </c>
      <c r="K35" s="6" t="s">
        <v>62</v>
      </c>
      <c r="L35" s="1"/>
      <c r="M35" s="39" t="str">
        <f>VLOOKUP(4,$X$32:$AC$35,2,FALSE)</f>
        <v>Haiti</v>
      </c>
      <c r="N35" s="2">
        <f>VLOOKUP(4,$X$32:$AC$35,3,FALSE)</f>
        <v>0</v>
      </c>
      <c r="O35" s="2">
        <f>VLOOKUP(4,$X$32:$AC$35,4,FALSE)</f>
        <v>0</v>
      </c>
      <c r="P35" s="2">
        <f>VLOOKUP(4,$X$32:$AC$35,5,FALSE)</f>
        <v>15</v>
      </c>
      <c r="Q35" s="2">
        <f>VLOOKUP(4,$X$32:$AC$35,6,FALSE)</f>
        <v>-15</v>
      </c>
      <c r="S35" s="46">
        <f>IF(H37="",0,IF(K37=$B$57,IF(H37&gt;J37,3,IF(H37=J37,1,0)),0))</f>
        <v>3</v>
      </c>
      <c r="T35" s="46">
        <f>IF(J36="",0,IF(K36=$B$57,IF(H36&lt;J36,3,IF(H36=J36,1,0)),0))</f>
        <v>3</v>
      </c>
      <c r="U35" s="46">
        <f>IF(J34="",0,IF(K34=$B$57,IF(H34&lt;J34,3,IF(H34=J34,1,0)),0))</f>
        <v>3</v>
      </c>
      <c r="V35" s="45"/>
      <c r="W35" s="47"/>
      <c r="X35" s="112">
        <f>RANK(AD35,AD32:AD35)+COUNTIF(AD32:AD35,AD35)-1</f>
        <v>1</v>
      </c>
      <c r="Y35" s="48" t="s">
        <v>196</v>
      </c>
      <c r="Z35" s="47">
        <f>SUM(S35:V35)</f>
        <v>9</v>
      </c>
      <c r="AA35" s="47">
        <f>SUM(S39:V39)</f>
        <v>10</v>
      </c>
      <c r="AB35" s="47">
        <f>SUM(V36:V39)</f>
        <v>2</v>
      </c>
      <c r="AC35" s="47">
        <f>AA35-AB35</f>
        <v>8</v>
      </c>
      <c r="AD35" s="49">
        <f>IF(P$38="",(((((((AE35*10+Z35)*100+AC35)*100+AA35)*10+AK35)*10+AJ35)*100+AP35)*100+AU35)*10+AV35,(((((((AE35*10+Z35)*10+AK35)*10+AJ35)*100+AP35)*100+AU35)*100+AC35)*100+AA35)*10+AV35)</f>
        <v>900000008106</v>
      </c>
      <c r="AE35" s="94"/>
      <c r="AF35" s="113">
        <f>IF($Z35=$Z32,$S35-$V32,0)</f>
        <v>0</v>
      </c>
      <c r="AG35" s="113">
        <f>IF($Z35=$Z33,$T35-$V33,0)</f>
        <v>0</v>
      </c>
      <c r="AH35" s="113">
        <f>IF($Z35=$Z34,$U35-$V34,0)</f>
        <v>0</v>
      </c>
      <c r="AI35" s="113"/>
      <c r="AJ35" s="113">
        <f>SUM(AF35:AI35)</f>
        <v>0</v>
      </c>
      <c r="AK35" s="94"/>
      <c r="AL35" s="113">
        <f>IF($Z35=$Z32,$S39-$V36,0)</f>
        <v>0</v>
      </c>
      <c r="AM35" s="113">
        <f>IF($Z35=$Z33,$T39-$V37,0)</f>
        <v>0</v>
      </c>
      <c r="AN35" s="113">
        <f>IF($Z35=$Z34,$U39-$V38,0)</f>
        <v>0</v>
      </c>
      <c r="AO35" s="113"/>
      <c r="AP35" s="113">
        <f>SUM(AL35:AO35)</f>
        <v>0</v>
      </c>
      <c r="AQ35" s="113">
        <f>IF($Z35=$Z32,$S39,0)</f>
        <v>0</v>
      </c>
      <c r="AR35" s="113">
        <f>IF($Z35=$Z33,$T39,0)</f>
        <v>0</v>
      </c>
      <c r="AS35" s="113">
        <f>IF($Z35=$Z34,$U39,0)</f>
        <v>0</v>
      </c>
      <c r="AT35" s="113"/>
      <c r="AU35" s="113">
        <f>SUM(AQ35:AT35)</f>
        <v>0</v>
      </c>
      <c r="AV35" s="114">
        <f>IF(AND(COUNTIF(K33:K38,$B$57)=COUNTA(H33:H38),COUNTIF(K33:K38,$B$57)=COUNTA(J33:J38)),IF(AU35=AU32,S39-V36,IF(AU35=AU33,T39-V37,IF(AU35=AU34,U39-V38,1))),1)</f>
        <v>6</v>
      </c>
      <c r="AW35" s="88"/>
      <c r="BA35" s="2">
        <v>31</v>
      </c>
      <c r="BB35" s="5">
        <v>45137.479166666664</v>
      </c>
      <c r="BC35" s="4" t="s">
        <v>173</v>
      </c>
      <c r="BD35" s="43" t="str">
        <f>BY32</f>
        <v>Deutschland</v>
      </c>
      <c r="BE35" s="50" t="s">
        <v>35</v>
      </c>
      <c r="BF35" s="43" t="str">
        <f>BY34</f>
        <v>Kolumbien</v>
      </c>
      <c r="BG35" s="35"/>
      <c r="BH35" s="103">
        <v>2</v>
      </c>
      <c r="BI35" s="105" t="s">
        <v>36</v>
      </c>
      <c r="BJ35" s="103">
        <v>1</v>
      </c>
      <c r="BK35" s="6" t="s">
        <v>62</v>
      </c>
      <c r="BL35" s="1"/>
      <c r="BM35" s="39" t="str">
        <f>VLOOKUP(4,$BX$32:$CC$35,2,FALSE)</f>
        <v>Kolumbien</v>
      </c>
      <c r="BN35" s="2">
        <f>VLOOKUP(4,$BX$32:$CC$35,3,FALSE)</f>
        <v>0</v>
      </c>
      <c r="BO35" s="2">
        <f>VLOOKUP(4,$BX$32:$CC$35,4,FALSE)</f>
        <v>2</v>
      </c>
      <c r="BP35" s="2">
        <f>VLOOKUP(4,$BX$32:$CC$35,5,FALSE)</f>
        <v>5</v>
      </c>
      <c r="BQ35" s="2">
        <f>VLOOKUP(4,$BX$32:$CC$35,6,FALSE)</f>
        <v>-3</v>
      </c>
      <c r="BS35" s="46">
        <f>IF(BH37="",0,IF(BK37=$B$57,IF(BH37&gt;BJ37,3,IF(BH37=BJ37,1,0)),0))</f>
        <v>1</v>
      </c>
      <c r="BT35" s="46">
        <f>IF(BJ36="",0,IF(BK36=$B$57,IF(BH36&lt;BJ36,3,IF(BH36=BJ36,1,0)),0))</f>
        <v>3</v>
      </c>
      <c r="BU35" s="46">
        <f>IF(BJ34="",0,IF(BK34=$B$57,IF(BH34&lt;BJ34,3,IF(BH34=BJ34,1,0)),0))</f>
        <v>3</v>
      </c>
      <c r="BV35" s="45"/>
      <c r="BW35" s="47"/>
      <c r="BX35" s="112">
        <f>RANK(CD35,CD32:CD35)+COUNTIF(CD32:CD35,CD35)-1</f>
        <v>2</v>
      </c>
      <c r="BY35" s="48" t="s">
        <v>197</v>
      </c>
      <c r="BZ35" s="47">
        <f>SUM(BS35:BV35)</f>
        <v>7</v>
      </c>
      <c r="CA35" s="47">
        <f>SUM(BS39:BV39)</f>
        <v>5</v>
      </c>
      <c r="CB35" s="47">
        <f>SUM(BV36:BV39)</f>
        <v>2</v>
      </c>
      <c r="CC35" s="47">
        <f>CA35-CB35</f>
        <v>3</v>
      </c>
      <c r="CD35" s="49">
        <f>IF(BP$38="",(((((((CE35*10+BZ35)*100+CC35)*100+CA35)*10+CK35)*10+CJ35)*100+CP35)*100+CU35)*10+CV35,(((((((CE35*10+BZ35)*10+CK35)*10+CJ35)*100+CP35)*100+CU35)*100+CC35)*100+CA35)*10+CV35)</f>
        <v>700000103050</v>
      </c>
      <c r="CE35" s="94"/>
      <c r="CF35" s="113">
        <f>IF($BZ35=$BZ32,$BS35-$BV32,0)</f>
        <v>0</v>
      </c>
      <c r="CG35" s="113">
        <f>IF($BZ35=$BZ33,$BT35-$BV33,0)</f>
        <v>0</v>
      </c>
      <c r="CH35" s="113">
        <f>IF($BZ35=$BZ34,$BU35-$BV34,0)</f>
        <v>0</v>
      </c>
      <c r="CI35" s="115"/>
      <c r="CJ35" s="115">
        <f>SUM(CF35:CI35)</f>
        <v>0</v>
      </c>
      <c r="CK35" s="95"/>
      <c r="CL35" s="115">
        <f>IF($BZ35=$BZ32,$BS39-$BV36,0)</f>
        <v>0</v>
      </c>
      <c r="CM35" s="115">
        <f>IF($BZ35=$BZ33,$BT39-$BV37,0)</f>
        <v>0</v>
      </c>
      <c r="CN35" s="115">
        <f>IF($BZ35=$BZ34,$BU39-$BV38,0)</f>
        <v>0</v>
      </c>
      <c r="CO35" s="115"/>
      <c r="CP35" s="115">
        <f>SUM(CL35:CO35)</f>
        <v>0</v>
      </c>
      <c r="CQ35" s="115">
        <f>IF($BZ35=$BZ32,$BS39,0)</f>
        <v>1</v>
      </c>
      <c r="CR35" s="115">
        <f>IF($BZ35=$BZ33,$BT39,0)</f>
        <v>0</v>
      </c>
      <c r="CS35" s="115">
        <f>IF($BZ35=$BZ34,$BU39,0)</f>
        <v>0</v>
      </c>
      <c r="CT35" s="115"/>
      <c r="CU35" s="115">
        <f>SUM(CQ35:CT35)</f>
        <v>1</v>
      </c>
      <c r="CV35" s="114">
        <f>IF(AND(COUNTIF(BK33:BK38,$B$57)=COUNTA(BH33:BH38),COUNTIF(BK33:BK38,$B$57)=COUNTA(BJ33:BJ38)),IF(CU35=CU32,BS39-BV36,IF(CU35=CU33,BT39-BV37,IF(CU35=CU34,BU39-BV38,1))),1)</f>
        <v>0</v>
      </c>
      <c r="CW35" s="49"/>
    </row>
    <row r="36" spans="1:101" ht="12.75">
      <c r="A36" s="2">
        <v>24</v>
      </c>
      <c r="B36" s="5">
        <v>45135.541666666664</v>
      </c>
      <c r="C36" s="4" t="s">
        <v>178</v>
      </c>
      <c r="D36" s="43" t="str">
        <f>Y33</f>
        <v>Haiti</v>
      </c>
      <c r="E36" s="50" t="s">
        <v>35</v>
      </c>
      <c r="F36" s="43" t="str">
        <f>Y35</f>
        <v>China</v>
      </c>
      <c r="G36" s="35"/>
      <c r="H36" s="103">
        <v>0</v>
      </c>
      <c r="I36" s="105" t="s">
        <v>36</v>
      </c>
      <c r="J36" s="103">
        <v>6</v>
      </c>
      <c r="K36" s="6" t="s">
        <v>62</v>
      </c>
      <c r="L36" s="1"/>
      <c r="N36" s="1"/>
      <c r="O36" s="1"/>
      <c r="P36" s="1"/>
      <c r="S36" s="45"/>
      <c r="T36" s="46">
        <f>IF(K33=$B$57,H33,0)</f>
        <v>5</v>
      </c>
      <c r="U36" s="46">
        <f>IF(K35=$B$57,H35,0)</f>
        <v>1</v>
      </c>
      <c r="V36" s="46">
        <f>IF(K37=$B$57,J37,0)</f>
        <v>1</v>
      </c>
      <c r="W36" s="47"/>
      <c r="X36" s="47"/>
      <c r="Y36" s="47"/>
      <c r="Z36" s="47"/>
      <c r="AA36" s="47"/>
      <c r="AB36" s="47"/>
      <c r="AC36" s="47"/>
      <c r="AD36" s="71"/>
      <c r="AE36" s="96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V36" s="113"/>
      <c r="AW36" s="88"/>
      <c r="BA36" s="2">
        <v>32</v>
      </c>
      <c r="BB36" s="5">
        <v>45137.270833333336</v>
      </c>
      <c r="BC36" s="4" t="s">
        <v>178</v>
      </c>
      <c r="BD36" s="43" t="str">
        <f>BY33</f>
        <v>Marokko</v>
      </c>
      <c r="BE36" s="50" t="s">
        <v>35</v>
      </c>
      <c r="BF36" s="43" t="str">
        <f>BY35</f>
        <v>Südkorea</v>
      </c>
      <c r="BG36" s="35"/>
      <c r="BH36" s="103">
        <v>1</v>
      </c>
      <c r="BI36" s="105" t="s">
        <v>36</v>
      </c>
      <c r="BJ36" s="103">
        <v>3</v>
      </c>
      <c r="BK36" s="6" t="s">
        <v>62</v>
      </c>
      <c r="BL36" s="1"/>
      <c r="BN36" s="1"/>
      <c r="BO36" s="1"/>
      <c r="BP36" s="1"/>
      <c r="BS36" s="45"/>
      <c r="BT36" s="46">
        <f>IF(BK33=$B$57,BH33,0)</f>
        <v>3</v>
      </c>
      <c r="BU36" s="46">
        <f>IF(BK35=$B$57,BH35,0)</f>
        <v>2</v>
      </c>
      <c r="BV36" s="46">
        <f>IF(BK37=$B$57,BJ37,0)</f>
        <v>1</v>
      </c>
      <c r="BW36" s="47"/>
      <c r="BX36" s="47"/>
      <c r="BY36" s="47"/>
      <c r="BZ36" s="47"/>
      <c r="CA36" s="47"/>
      <c r="CB36" s="47"/>
      <c r="CC36" s="47"/>
      <c r="CD36" s="71"/>
      <c r="CE36" s="96"/>
      <c r="CF36" s="113"/>
      <c r="CG36" s="113"/>
      <c r="CH36" s="113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V36" s="115"/>
      <c r="CW36" s="49"/>
    </row>
    <row r="37" spans="1:101" ht="12.75">
      <c r="A37" s="2">
        <v>39</v>
      </c>
      <c r="B37" s="5">
        <v>45139.541666666664</v>
      </c>
      <c r="C37" s="4" t="s">
        <v>178</v>
      </c>
      <c r="D37" s="43" t="str">
        <f>Y35</f>
        <v>China</v>
      </c>
      <c r="E37" s="50" t="s">
        <v>35</v>
      </c>
      <c r="F37" s="43" t="str">
        <f>Y32</f>
        <v>England</v>
      </c>
      <c r="G37" s="42"/>
      <c r="H37" s="103">
        <v>2</v>
      </c>
      <c r="I37" s="105" t="s">
        <v>36</v>
      </c>
      <c r="J37" s="103">
        <v>1</v>
      </c>
      <c r="K37" s="6" t="s">
        <v>62</v>
      </c>
      <c r="M37" s="108" t="str">
        <f>IF(N32&gt;0,M32,"")</f>
        <v>China</v>
      </c>
      <c r="N37" s="2" t="s">
        <v>51</v>
      </c>
      <c r="P37" s="52"/>
      <c r="S37" s="46">
        <f>IF(K33=$B$57,J33,0)</f>
        <v>0</v>
      </c>
      <c r="T37" s="45"/>
      <c r="U37" s="46">
        <f>IF(K38=$B$57,H38,0)</f>
        <v>0</v>
      </c>
      <c r="V37" s="46">
        <f>IF(K36=$B$57,H36,0)</f>
        <v>0</v>
      </c>
      <c r="AD37" s="42" t="s">
        <v>140</v>
      </c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V37" s="116"/>
      <c r="AW37" s="88"/>
      <c r="BA37" s="2">
        <v>47</v>
      </c>
      <c r="BB37" s="5">
        <v>45141.5</v>
      </c>
      <c r="BC37" s="4" t="s">
        <v>180</v>
      </c>
      <c r="BD37" s="43" t="str">
        <f>BY35</f>
        <v>Südkorea</v>
      </c>
      <c r="BE37" s="50" t="s">
        <v>35</v>
      </c>
      <c r="BF37" s="43" t="str">
        <f>BY32</f>
        <v>Deutschland</v>
      </c>
      <c r="BG37" s="42"/>
      <c r="BH37" s="103">
        <v>1</v>
      </c>
      <c r="BI37" s="105" t="s">
        <v>36</v>
      </c>
      <c r="BJ37" s="103">
        <v>1</v>
      </c>
      <c r="BK37" s="6" t="s">
        <v>62</v>
      </c>
      <c r="BM37" s="17" t="str">
        <f>IF(BN32&gt;0,BM32,"")</f>
        <v>Deutschland</v>
      </c>
      <c r="BN37" s="2" t="s">
        <v>198</v>
      </c>
      <c r="BP37" s="52"/>
      <c r="BS37" s="46">
        <f>IF(BK33=$B$57,BJ33,0)</f>
        <v>1</v>
      </c>
      <c r="BT37" s="45"/>
      <c r="BU37" s="46">
        <f>IF(BK38=$B$57,BH38,0)</f>
        <v>2</v>
      </c>
      <c r="BV37" s="46">
        <f>IF(BK36=$B$57,BH36,0)</f>
        <v>1</v>
      </c>
      <c r="CD37" s="42" t="s">
        <v>140</v>
      </c>
      <c r="CF37" s="116"/>
      <c r="CG37" s="116"/>
      <c r="CH37" s="116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V37" s="117"/>
      <c r="CW37" s="49"/>
    </row>
    <row r="38" spans="1:101" ht="12.75">
      <c r="A38" s="2">
        <v>40</v>
      </c>
      <c r="B38" s="5">
        <v>45139.541666666664</v>
      </c>
      <c r="C38" s="4" t="s">
        <v>183</v>
      </c>
      <c r="D38" s="43" t="str">
        <f>Y33</f>
        <v>Haiti</v>
      </c>
      <c r="E38" s="50" t="s">
        <v>35</v>
      </c>
      <c r="F38" s="43" t="str">
        <f>Y34</f>
        <v>Dänemark</v>
      </c>
      <c r="G38" s="42"/>
      <c r="H38" s="103">
        <v>0</v>
      </c>
      <c r="I38" s="105" t="s">
        <v>36</v>
      </c>
      <c r="J38" s="103">
        <v>4</v>
      </c>
      <c r="K38" s="6" t="s">
        <v>62</v>
      </c>
      <c r="M38" s="108" t="str">
        <f>IF(N33&gt;0,M33,"")</f>
        <v>England</v>
      </c>
      <c r="N38" s="2" t="s">
        <v>52</v>
      </c>
      <c r="O38" s="53"/>
      <c r="P38" s="89" t="s">
        <v>170</v>
      </c>
      <c r="S38" s="46">
        <f>IF(K35=$B$57,J35,0)</f>
        <v>1</v>
      </c>
      <c r="T38" s="46">
        <f>IF(K38=$B$57,J38,0)</f>
        <v>4</v>
      </c>
      <c r="U38" s="45"/>
      <c r="V38" s="46">
        <f>IF(K34=$B$57,H34,0)</f>
        <v>1</v>
      </c>
      <c r="AD38" s="42" t="s">
        <v>141</v>
      </c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V38" s="116"/>
      <c r="AW38" s="88"/>
      <c r="BA38" s="2">
        <v>48</v>
      </c>
      <c r="BB38" s="5">
        <v>45141.5</v>
      </c>
      <c r="BC38" s="4" t="s">
        <v>183</v>
      </c>
      <c r="BD38" s="43" t="str">
        <f>BY33</f>
        <v>Marokko</v>
      </c>
      <c r="BE38" s="50" t="s">
        <v>35</v>
      </c>
      <c r="BF38" s="43" t="str">
        <f>BY34</f>
        <v>Kolumbien</v>
      </c>
      <c r="BG38" s="42"/>
      <c r="BH38" s="103">
        <v>2</v>
      </c>
      <c r="BI38" s="105" t="s">
        <v>36</v>
      </c>
      <c r="BJ38" s="103">
        <v>1</v>
      </c>
      <c r="BK38" s="6" t="s">
        <v>62</v>
      </c>
      <c r="BM38" s="17" t="str">
        <f>IF(BN33&gt;0,BM33,"")</f>
        <v>Südkorea</v>
      </c>
      <c r="BN38" s="2" t="s">
        <v>199</v>
      </c>
      <c r="BO38" s="53"/>
      <c r="BP38" s="89" t="s">
        <v>170</v>
      </c>
      <c r="BS38" s="46">
        <f>IF(BK35=$B$57,BJ35,0)</f>
        <v>1</v>
      </c>
      <c r="BT38" s="46">
        <f>IF(BK38=$B$57,BJ38,0)</f>
        <v>1</v>
      </c>
      <c r="BU38" s="45"/>
      <c r="BV38" s="46">
        <f>IF(BK34=$B$57,BH34,0)</f>
        <v>0</v>
      </c>
      <c r="CD38" s="42" t="s">
        <v>141</v>
      </c>
      <c r="CF38" s="116"/>
      <c r="CG38" s="116"/>
      <c r="CH38" s="116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V38" s="117"/>
      <c r="CW38" s="49"/>
    </row>
    <row r="39" spans="4:101" ht="12.75">
      <c r="D39" s="42"/>
      <c r="E39" s="42"/>
      <c r="F39" s="42"/>
      <c r="G39" s="42"/>
      <c r="N39" s="1"/>
      <c r="S39" s="46">
        <f>IF(K37=$B$57,H37,0)</f>
        <v>2</v>
      </c>
      <c r="T39" s="46">
        <f>IF(K36=$B$57,J36,0)</f>
        <v>6</v>
      </c>
      <c r="U39" s="46">
        <f>IF(K34=$B$57,J34,0)</f>
        <v>2</v>
      </c>
      <c r="V39" s="45"/>
      <c r="AD39" s="2" t="s">
        <v>171</v>
      </c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V39" s="116"/>
      <c r="AW39" s="88"/>
      <c r="BN39" s="1"/>
      <c r="BS39" s="46">
        <f>IF(BK37=$B$57,BH37,0)</f>
        <v>1</v>
      </c>
      <c r="BT39" s="46">
        <f>IF(BK36=$B$57,BJ36,0)</f>
        <v>3</v>
      </c>
      <c r="BU39" s="46">
        <f>IF(BK34=$B$57,BJ34,0)</f>
        <v>1</v>
      </c>
      <c r="BV39" s="45"/>
      <c r="CD39" s="2" t="s">
        <v>171</v>
      </c>
      <c r="CF39" s="116"/>
      <c r="CG39" s="116"/>
      <c r="CH39" s="116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V39" s="117"/>
      <c r="CW39" s="49"/>
    </row>
    <row r="40" spans="4:101" ht="6" customHeight="1">
      <c r="D40" s="42"/>
      <c r="E40" s="38"/>
      <c r="F40" s="37"/>
      <c r="G40" s="37"/>
      <c r="H40" s="42"/>
      <c r="I40" s="42"/>
      <c r="J40" s="42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V40" s="116"/>
      <c r="AW40" s="88"/>
      <c r="BE40" s="13"/>
      <c r="BF40" s="10"/>
      <c r="BG40" s="10"/>
      <c r="BH40" s="2"/>
      <c r="BI40" s="2"/>
      <c r="BJ40" s="2"/>
      <c r="CF40" s="116"/>
      <c r="CG40" s="116"/>
      <c r="CH40" s="116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V40" s="117"/>
      <c r="CW40" s="49"/>
    </row>
    <row r="41" spans="1:104" s="10" customFormat="1" ht="12.75">
      <c r="A41" s="2"/>
      <c r="B41" s="7" t="s">
        <v>80</v>
      </c>
      <c r="C41" s="3"/>
      <c r="D41" s="35"/>
      <c r="E41" s="36"/>
      <c r="F41" s="35"/>
      <c r="G41" s="35"/>
      <c r="H41" s="104"/>
      <c r="I41" s="105"/>
      <c r="J41" s="104"/>
      <c r="K41" s="97"/>
      <c r="L41" s="1"/>
      <c r="M41" s="3"/>
      <c r="N41" s="1"/>
      <c r="O41" s="1"/>
      <c r="P41" s="1"/>
      <c r="Q41" s="7"/>
      <c r="R41" s="7"/>
      <c r="S41" s="35"/>
      <c r="T41" s="35"/>
      <c r="U41" s="35"/>
      <c r="V41" s="35"/>
      <c r="W41" s="35"/>
      <c r="X41" s="35"/>
      <c r="Y41" s="43"/>
      <c r="Z41" s="35"/>
      <c r="AA41" s="35"/>
      <c r="AB41" s="35"/>
      <c r="AC41" s="35"/>
      <c r="AD41" s="91"/>
      <c r="AE41" s="92"/>
      <c r="AF41" s="35"/>
      <c r="AG41" s="35"/>
      <c r="AH41" s="35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Y41" s="7"/>
      <c r="AZ41" s="7"/>
      <c r="BA41" s="2"/>
      <c r="BB41" s="26" t="s">
        <v>53</v>
      </c>
      <c r="BC41" s="3"/>
      <c r="BD41" s="7"/>
      <c r="BE41" s="9"/>
      <c r="BF41" s="7"/>
      <c r="BG41" s="7"/>
      <c r="BH41" s="104"/>
      <c r="BI41" s="92"/>
      <c r="BJ41" s="104"/>
      <c r="BK41" s="97"/>
      <c r="BL41" s="7"/>
      <c r="BM41" s="8"/>
      <c r="BN41" s="7"/>
      <c r="BO41" s="7"/>
      <c r="BP41" s="7"/>
      <c r="BQ41" s="1"/>
      <c r="BR41" s="1"/>
      <c r="BS41" s="35"/>
      <c r="BT41" s="35"/>
      <c r="BU41" s="35"/>
      <c r="BV41" s="35"/>
      <c r="BW41" s="35"/>
      <c r="BX41" s="35"/>
      <c r="BY41" s="43"/>
      <c r="BZ41" s="35"/>
      <c r="CA41" s="35"/>
      <c r="CB41" s="35"/>
      <c r="CC41" s="35"/>
      <c r="CD41" s="91"/>
      <c r="CE41" s="92"/>
      <c r="CF41" s="35"/>
      <c r="CG41" s="35"/>
      <c r="CH41" s="35"/>
      <c r="CY41" s="7"/>
      <c r="CZ41" s="7"/>
    </row>
    <row r="42" spans="1:104" ht="12.75">
      <c r="A42" s="2">
        <v>49</v>
      </c>
      <c r="B42" s="5">
        <v>45143.291666666664</v>
      </c>
      <c r="C42" s="4" t="s">
        <v>163</v>
      </c>
      <c r="D42" s="41" t="str">
        <f>M7</f>
        <v>Norwegen</v>
      </c>
      <c r="E42" s="11" t="s">
        <v>35</v>
      </c>
      <c r="F42" s="59" t="str">
        <f>M28</f>
        <v>Spanien</v>
      </c>
      <c r="G42" s="35"/>
      <c r="H42" s="103">
        <v>2</v>
      </c>
      <c r="I42" s="105" t="s">
        <v>36</v>
      </c>
      <c r="J42" s="103">
        <v>1</v>
      </c>
      <c r="K42" s="6" t="s">
        <v>62</v>
      </c>
      <c r="L42" s="1"/>
      <c r="M42" s="60" t="str">
        <f aca="true" t="shared" si="0" ref="M42:M49">IF(J42="","",IF(J42=H42,"falsch!!! K.Remis",IF(H42&gt;J42,D42,F42)))</f>
        <v>Norwegen</v>
      </c>
      <c r="N42" s="1" t="str">
        <f>N7</f>
        <v>1A</v>
      </c>
      <c r="O42" s="1" t="str">
        <f>N28</f>
        <v>2C</v>
      </c>
      <c r="P42" s="1" t="s">
        <v>81</v>
      </c>
      <c r="Q42" s="1"/>
      <c r="R42" s="1"/>
      <c r="S42" s="47"/>
      <c r="U42" s="47"/>
      <c r="V42" s="47"/>
      <c r="W42" s="47"/>
      <c r="X42" s="92"/>
      <c r="Y42" s="48"/>
      <c r="Z42" s="47"/>
      <c r="AA42" s="47"/>
      <c r="AB42" s="47"/>
      <c r="AC42" s="47"/>
      <c r="AD42" s="71"/>
      <c r="AE42" s="96"/>
      <c r="AF42" s="47"/>
      <c r="AG42" s="47"/>
      <c r="AH42" s="47"/>
      <c r="AY42" s="1"/>
      <c r="AZ42" s="1"/>
      <c r="BA42" s="2">
        <v>57</v>
      </c>
      <c r="BB42" s="5">
        <v>45149.125</v>
      </c>
      <c r="BC42" s="4" t="s">
        <v>168</v>
      </c>
      <c r="BD42" s="61" t="str">
        <f>M42</f>
        <v>Norwegen</v>
      </c>
      <c r="BE42" s="11" t="s">
        <v>35</v>
      </c>
      <c r="BF42" s="61" t="str">
        <f>M44</f>
        <v>USA</v>
      </c>
      <c r="BG42" s="7"/>
      <c r="BH42" s="103">
        <v>1</v>
      </c>
      <c r="BI42" s="105" t="s">
        <v>36</v>
      </c>
      <c r="BJ42" s="103">
        <v>2</v>
      </c>
      <c r="BK42" s="6" t="s">
        <v>62</v>
      </c>
      <c r="BL42" s="1"/>
      <c r="BM42" s="32" t="str">
        <f>IF(BJ42="","",IF(BJ42=BH42,"falsch!!! K.Remis",IF(BH42&gt;BJ42,BD42,BF42)))</f>
        <v>USA</v>
      </c>
      <c r="BN42" s="1" t="str">
        <f>P42</f>
        <v>AF1</v>
      </c>
      <c r="BO42" s="1" t="str">
        <f>P44</f>
        <v>AF3</v>
      </c>
      <c r="BP42" s="2" t="s">
        <v>54</v>
      </c>
      <c r="BQ42" s="1"/>
      <c r="BR42" s="1"/>
      <c r="BS42" s="47"/>
      <c r="BU42" s="47"/>
      <c r="BV42" s="47"/>
      <c r="BW42" s="47"/>
      <c r="BX42" s="92"/>
      <c r="BY42" s="48"/>
      <c r="BZ42" s="47"/>
      <c r="CA42" s="47"/>
      <c r="CB42" s="47"/>
      <c r="CC42" s="47"/>
      <c r="CD42" s="71"/>
      <c r="CE42" s="96"/>
      <c r="CF42" s="47"/>
      <c r="CG42" s="47"/>
      <c r="CH42" s="47"/>
      <c r="CY42" s="1"/>
      <c r="CZ42" s="1"/>
    </row>
    <row r="43" spans="1:102" ht="12.75">
      <c r="A43" s="2">
        <v>50</v>
      </c>
      <c r="B43" s="5">
        <v>45143.416666666664</v>
      </c>
      <c r="C43" s="4" t="s">
        <v>168</v>
      </c>
      <c r="D43" s="59" t="str">
        <f>M27</f>
        <v>Japan</v>
      </c>
      <c r="E43" s="11" t="s">
        <v>35</v>
      </c>
      <c r="F43" s="51" t="str">
        <f>M8</f>
        <v>Neuseeland</v>
      </c>
      <c r="G43" s="35"/>
      <c r="H43" s="103">
        <v>3</v>
      </c>
      <c r="I43" s="105" t="s">
        <v>36</v>
      </c>
      <c r="J43" s="103">
        <v>1</v>
      </c>
      <c r="K43" s="6" t="s">
        <v>62</v>
      </c>
      <c r="L43" s="1"/>
      <c r="M43" s="67" t="str">
        <f t="shared" si="0"/>
        <v>Japan</v>
      </c>
      <c r="N43" s="121" t="str">
        <f>N27</f>
        <v>1C</v>
      </c>
      <c r="O43" s="1" t="str">
        <f>N8</f>
        <v>2A</v>
      </c>
      <c r="P43" s="1" t="s">
        <v>82</v>
      </c>
      <c r="Q43" s="1"/>
      <c r="R43" s="1"/>
      <c r="S43" s="47"/>
      <c r="U43" s="47"/>
      <c r="V43" s="47"/>
      <c r="W43" s="4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X43" s="1"/>
      <c r="BA43" s="2">
        <v>58</v>
      </c>
      <c r="BB43" s="5">
        <v>45149.395833333336</v>
      </c>
      <c r="BC43" s="4" t="s">
        <v>163</v>
      </c>
      <c r="BD43" s="62" t="str">
        <f>M43</f>
        <v>Japan</v>
      </c>
      <c r="BE43" s="50" t="s">
        <v>35</v>
      </c>
      <c r="BF43" s="62" t="str">
        <f>M45</f>
        <v>Niederlande</v>
      </c>
      <c r="BG43" s="7"/>
      <c r="BH43" s="103">
        <v>3</v>
      </c>
      <c r="BI43" s="105" t="s">
        <v>36</v>
      </c>
      <c r="BJ43" s="103">
        <v>1</v>
      </c>
      <c r="BK43" s="6" t="s">
        <v>62</v>
      </c>
      <c r="BL43" s="1"/>
      <c r="BM43" s="63" t="str">
        <f>IF(BJ43="","",IF(BJ43=BH43,"falsch!!! K.Remis",IF(BH43&gt;BJ43,BD43,BF43)))</f>
        <v>Japan</v>
      </c>
      <c r="BN43" s="1" t="str">
        <f>P43</f>
        <v>AF2</v>
      </c>
      <c r="BO43" s="1" t="str">
        <f>P45</f>
        <v>AF4</v>
      </c>
      <c r="BP43" s="1" t="s">
        <v>55</v>
      </c>
      <c r="BQ43" s="1"/>
      <c r="BR43" s="1"/>
      <c r="BS43" s="47"/>
      <c r="BU43" s="47"/>
      <c r="BV43" s="47"/>
      <c r="BW43" s="4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/>
      <c r="CJ43"/>
      <c r="CK43"/>
      <c r="CL43"/>
      <c r="CM43"/>
      <c r="CN43"/>
      <c r="CO43"/>
      <c r="CP43"/>
      <c r="CX43" s="1"/>
    </row>
    <row r="44" spans="1:102" ht="12.75">
      <c r="A44" s="2">
        <v>51</v>
      </c>
      <c r="B44" s="5">
        <v>45144.166666666664</v>
      </c>
      <c r="C44" s="4" t="s">
        <v>173</v>
      </c>
      <c r="D44" s="90" t="str">
        <f>BM7</f>
        <v>USA</v>
      </c>
      <c r="E44" s="11" t="s">
        <v>35</v>
      </c>
      <c r="F44" s="120" t="str">
        <f>BM28</f>
        <v>Schweden</v>
      </c>
      <c r="G44" s="35"/>
      <c r="H44" s="103">
        <v>4</v>
      </c>
      <c r="I44" s="105" t="s">
        <v>36</v>
      </c>
      <c r="J44" s="103">
        <v>2</v>
      </c>
      <c r="K44" s="6" t="s">
        <v>62</v>
      </c>
      <c r="L44" s="1"/>
      <c r="M44" s="60" t="str">
        <f t="shared" si="0"/>
        <v>USA</v>
      </c>
      <c r="N44" s="1" t="str">
        <f>BN7</f>
        <v>1E</v>
      </c>
      <c r="O44" s="1" t="str">
        <f>BN28</f>
        <v>2G</v>
      </c>
      <c r="P44" s="1" t="s">
        <v>83</v>
      </c>
      <c r="Q44" s="1"/>
      <c r="R44" s="3"/>
      <c r="S44" s="47"/>
      <c r="U44" s="75"/>
      <c r="V44" s="47"/>
      <c r="W44" s="4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X44" s="1"/>
      <c r="BA44" s="2">
        <v>59</v>
      </c>
      <c r="BB44" s="5">
        <v>45150.375</v>
      </c>
      <c r="BC44" s="4" t="s">
        <v>180</v>
      </c>
      <c r="BD44" s="66" t="str">
        <f>M47</f>
        <v>England</v>
      </c>
      <c r="BE44" s="11" t="s">
        <v>35</v>
      </c>
      <c r="BF44" s="66" t="str">
        <f>M49</f>
        <v>Brasilien</v>
      </c>
      <c r="BG44" s="7"/>
      <c r="BH44" s="103">
        <v>1</v>
      </c>
      <c r="BI44" s="105" t="s">
        <v>36</v>
      </c>
      <c r="BJ44" s="103">
        <v>2</v>
      </c>
      <c r="BK44" s="6" t="s">
        <v>62</v>
      </c>
      <c r="BL44" s="1"/>
      <c r="BM44" s="34" t="str">
        <f>IF(BJ44="","",IF(BJ44=BH44,"falsch!!! K.Remis",IF(BH44&gt;BJ44,BD44,BF44)))</f>
        <v>Brasilien</v>
      </c>
      <c r="BN44" s="1" t="str">
        <f>P47</f>
        <v>AF6</v>
      </c>
      <c r="BO44" s="1" t="str">
        <f>P49</f>
        <v>AF8</v>
      </c>
      <c r="BP44" s="1" t="s">
        <v>56</v>
      </c>
      <c r="BQ44" s="1"/>
      <c r="BR44" s="1"/>
      <c r="BS44" s="47"/>
      <c r="BU44" s="75"/>
      <c r="BV44" s="47"/>
      <c r="BW44" s="4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/>
      <c r="CX44" s="1"/>
    </row>
    <row r="45" spans="1:102" ht="12.75">
      <c r="A45" s="2">
        <v>52</v>
      </c>
      <c r="B45" s="5">
        <v>45144.458333333336</v>
      </c>
      <c r="C45" s="4" t="s">
        <v>176</v>
      </c>
      <c r="D45" s="120" t="str">
        <f>BM27</f>
        <v>Italien</v>
      </c>
      <c r="E45" s="11" t="s">
        <v>35</v>
      </c>
      <c r="F45" s="90" t="str">
        <f>BM8</f>
        <v>Niederlande</v>
      </c>
      <c r="G45" s="35"/>
      <c r="H45" s="103">
        <v>1</v>
      </c>
      <c r="I45" s="105" t="s">
        <v>36</v>
      </c>
      <c r="J45" s="103">
        <v>3</v>
      </c>
      <c r="K45" s="6" t="s">
        <v>62</v>
      </c>
      <c r="L45" s="1"/>
      <c r="M45" s="67" t="str">
        <f t="shared" si="0"/>
        <v>Niederlande</v>
      </c>
      <c r="N45" s="1" t="str">
        <f>BN27</f>
        <v>1G</v>
      </c>
      <c r="O45" s="1" t="str">
        <f>BN8</f>
        <v>2E</v>
      </c>
      <c r="P45" s="1" t="s">
        <v>84</v>
      </c>
      <c r="Q45" s="1"/>
      <c r="R45" s="3"/>
      <c r="S45" s="47"/>
      <c r="U45" s="75"/>
      <c r="V45" s="47"/>
      <c r="W45" s="4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X45" s="1"/>
      <c r="BA45" s="122">
        <v>60</v>
      </c>
      <c r="BB45" s="5">
        <v>45150.520833333336</v>
      </c>
      <c r="BC45" s="4" t="s">
        <v>173</v>
      </c>
      <c r="BD45" s="65" t="str">
        <f>M46</f>
        <v>China</v>
      </c>
      <c r="BE45" s="50" t="s">
        <v>35</v>
      </c>
      <c r="BF45" s="65" t="str">
        <f>M48</f>
        <v>Frankreich</v>
      </c>
      <c r="BG45" s="7"/>
      <c r="BH45" s="103">
        <v>2</v>
      </c>
      <c r="BI45" s="105" t="s">
        <v>36</v>
      </c>
      <c r="BJ45" s="103">
        <v>3</v>
      </c>
      <c r="BK45" s="6" t="s">
        <v>62</v>
      </c>
      <c r="BL45" s="1"/>
      <c r="BM45" s="33" t="str">
        <f>IF(BJ45="","",IF(BJ45=BH45,"falsch!!! K.Remis",IF(BH45&gt;BJ45,BD45,BF45)))</f>
        <v>Frankreich</v>
      </c>
      <c r="BN45" s="1" t="str">
        <f>P46</f>
        <v>AF5</v>
      </c>
      <c r="BO45" s="1" t="str">
        <f>P48</f>
        <v>AF7</v>
      </c>
      <c r="BP45" s="2" t="s">
        <v>57</v>
      </c>
      <c r="BQ45" s="1"/>
      <c r="BR45" s="1"/>
      <c r="BS45" s="47"/>
      <c r="BU45" s="75"/>
      <c r="BV45" s="47"/>
      <c r="BW45" s="4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/>
      <c r="CJ45"/>
      <c r="CK45"/>
      <c r="CL45"/>
      <c r="CM45"/>
      <c r="CN45"/>
      <c r="CO45"/>
      <c r="CP45"/>
      <c r="CX45" s="1"/>
    </row>
    <row r="46" spans="1:102" ht="12.75">
      <c r="A46" s="2">
        <v>53</v>
      </c>
      <c r="B46" s="4">
        <v>45145.395833333336</v>
      </c>
      <c r="C46" s="4" t="s">
        <v>180</v>
      </c>
      <c r="D46" s="108" t="str">
        <f>M37</f>
        <v>China</v>
      </c>
      <c r="E46" s="11" t="s">
        <v>35</v>
      </c>
      <c r="F46" s="56" t="str">
        <f>M18</f>
        <v>Nigeria</v>
      </c>
      <c r="G46" s="35"/>
      <c r="H46" s="103">
        <v>4</v>
      </c>
      <c r="I46" s="105" t="s">
        <v>36</v>
      </c>
      <c r="J46" s="103">
        <v>3</v>
      </c>
      <c r="K46" s="6" t="s">
        <v>62</v>
      </c>
      <c r="L46" s="1"/>
      <c r="M46" s="64" t="str">
        <f t="shared" si="0"/>
        <v>China</v>
      </c>
      <c r="N46" s="121" t="str">
        <f>N37</f>
        <v>1D</v>
      </c>
      <c r="O46" s="1" t="str">
        <f>N18</f>
        <v>2B</v>
      </c>
      <c r="P46" s="1" t="s">
        <v>85</v>
      </c>
      <c r="Q46" s="1"/>
      <c r="R46" s="3"/>
      <c r="S46" s="47"/>
      <c r="U46" s="35"/>
      <c r="V46" s="47"/>
      <c r="W46" s="4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X46" s="1"/>
      <c r="BQ46" s="1"/>
      <c r="BR46" s="1"/>
      <c r="BS46" s="47"/>
      <c r="BU46" s="35"/>
      <c r="BV46" s="47"/>
      <c r="BW46" s="4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/>
      <c r="CJ46"/>
      <c r="CK46"/>
      <c r="CL46"/>
      <c r="CM46"/>
      <c r="CN46"/>
      <c r="CO46"/>
      <c r="CP46"/>
      <c r="CX46" s="1"/>
    </row>
    <row r="47" spans="1:94" ht="12.75">
      <c r="A47" s="2">
        <v>54</v>
      </c>
      <c r="B47" s="5">
        <v>45145.5</v>
      </c>
      <c r="C47" s="4" t="s">
        <v>173</v>
      </c>
      <c r="D47" s="56" t="str">
        <f>M17</f>
        <v>Kanada</v>
      </c>
      <c r="E47" s="11" t="s">
        <v>35</v>
      </c>
      <c r="F47" s="108" t="str">
        <f>M38</f>
        <v>England</v>
      </c>
      <c r="G47" s="35"/>
      <c r="H47" s="103">
        <v>1</v>
      </c>
      <c r="I47" s="105" t="s">
        <v>36</v>
      </c>
      <c r="J47" s="103">
        <v>2</v>
      </c>
      <c r="K47" s="6" t="s">
        <v>62</v>
      </c>
      <c r="L47" s="1"/>
      <c r="M47" s="68" t="str">
        <f t="shared" si="0"/>
        <v>England</v>
      </c>
      <c r="N47" s="1" t="str">
        <f>N17</f>
        <v>1B</v>
      </c>
      <c r="O47" s="1" t="str">
        <f>N38</f>
        <v>2D</v>
      </c>
      <c r="P47" s="1" t="s">
        <v>86</v>
      </c>
      <c r="Q47" s="1"/>
      <c r="R47" s="3"/>
      <c r="S47" s="47"/>
      <c r="U47" s="35"/>
      <c r="V47" s="47"/>
      <c r="W47" s="4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BB47" s="25" t="s">
        <v>58</v>
      </c>
      <c r="BC47" s="3"/>
      <c r="BD47" s="7"/>
      <c r="BE47" s="9"/>
      <c r="BF47" s="7"/>
      <c r="BG47" s="7"/>
      <c r="BH47" s="104"/>
      <c r="BI47" s="105"/>
      <c r="BJ47" s="104"/>
      <c r="BK47" s="97"/>
      <c r="BL47" s="1"/>
      <c r="BM47" s="3"/>
      <c r="BN47" s="1"/>
      <c r="BO47" s="1"/>
      <c r="BP47" s="1"/>
      <c r="BQ47" s="1"/>
      <c r="BR47" s="1"/>
      <c r="BS47" s="47"/>
      <c r="BU47" s="35"/>
      <c r="BV47" s="47"/>
      <c r="BW47" s="4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/>
      <c r="CJ47"/>
      <c r="CK47"/>
      <c r="CL47"/>
      <c r="CM47"/>
      <c r="CN47"/>
      <c r="CO47"/>
      <c r="CP47"/>
    </row>
    <row r="48" spans="1:94" ht="12.75">
      <c r="A48" s="2">
        <v>55</v>
      </c>
      <c r="B48" s="5">
        <v>45146.416666666664</v>
      </c>
      <c r="C48" s="4" t="s">
        <v>176</v>
      </c>
      <c r="D48" s="17" t="str">
        <f>BM37</f>
        <v>Deutschland</v>
      </c>
      <c r="E48" s="11" t="s">
        <v>35</v>
      </c>
      <c r="F48" s="118" t="str">
        <f>BM18</f>
        <v>Frankreich</v>
      </c>
      <c r="G48" s="35"/>
      <c r="H48" s="103">
        <v>2</v>
      </c>
      <c r="I48" s="105" t="s">
        <v>36</v>
      </c>
      <c r="J48" s="103">
        <v>3</v>
      </c>
      <c r="K48" s="6" t="s">
        <v>62</v>
      </c>
      <c r="L48" s="1"/>
      <c r="M48" s="64" t="str">
        <f t="shared" si="0"/>
        <v>Frankreich</v>
      </c>
      <c r="N48" s="1" t="str">
        <f>BN37</f>
        <v>1H</v>
      </c>
      <c r="O48" s="1" t="str">
        <f>BN18</f>
        <v>2F</v>
      </c>
      <c r="P48" s="1" t="s">
        <v>87</v>
      </c>
      <c r="Q48" s="1"/>
      <c r="R48" s="3"/>
      <c r="S48" s="47"/>
      <c r="U48" s="75"/>
      <c r="V48" s="47"/>
      <c r="W48" s="4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BA48" s="2">
        <v>61</v>
      </c>
      <c r="BB48" s="5">
        <v>45153.416666666664</v>
      </c>
      <c r="BC48" s="4" t="s">
        <v>163</v>
      </c>
      <c r="BD48" s="29" t="str">
        <f>BM42</f>
        <v>USA</v>
      </c>
      <c r="BE48" s="8" t="s">
        <v>35</v>
      </c>
      <c r="BF48" s="24" t="str">
        <f>BM43</f>
        <v>Japan</v>
      </c>
      <c r="BG48" s="7"/>
      <c r="BH48" s="103">
        <v>3</v>
      </c>
      <c r="BI48" s="105" t="s">
        <v>36</v>
      </c>
      <c r="BJ48" s="103">
        <v>2</v>
      </c>
      <c r="BK48" s="6" t="s">
        <v>62</v>
      </c>
      <c r="BL48" s="1"/>
      <c r="BM48" s="30" t="str">
        <f>IF(BJ48="","",IF(BJ48=BH48,"falsch!!! K.Remis",IF(BH48&gt;BJ48,BD48,BF48)))</f>
        <v>USA</v>
      </c>
      <c r="BN48" s="1" t="str">
        <f>BP42</f>
        <v>VF1</v>
      </c>
      <c r="BO48" s="1" t="str">
        <f>BP43</f>
        <v>VF2</v>
      </c>
      <c r="BP48" s="1" t="s">
        <v>59</v>
      </c>
      <c r="BQ48" s="1"/>
      <c r="BR48" s="1"/>
      <c r="BS48" s="47"/>
      <c r="BU48" s="75"/>
      <c r="BV48" s="47"/>
      <c r="BW48" s="4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/>
    </row>
    <row r="49" spans="1:94" ht="12.75">
      <c r="A49" s="2">
        <v>56</v>
      </c>
      <c r="B49" s="5">
        <v>45146.541666666664</v>
      </c>
      <c r="C49" s="4" t="s">
        <v>178</v>
      </c>
      <c r="D49" s="118" t="str">
        <f>BM17</f>
        <v>Brasilien</v>
      </c>
      <c r="E49" s="11" t="s">
        <v>35</v>
      </c>
      <c r="F49" s="17" t="str">
        <f>BM38</f>
        <v>Südkorea</v>
      </c>
      <c r="G49" s="35"/>
      <c r="H49" s="103">
        <v>4</v>
      </c>
      <c r="I49" s="105" t="s">
        <v>36</v>
      </c>
      <c r="J49" s="103">
        <v>2</v>
      </c>
      <c r="K49" s="6" t="s">
        <v>62</v>
      </c>
      <c r="L49" s="1"/>
      <c r="M49" s="68" t="str">
        <f t="shared" si="0"/>
        <v>Brasilien</v>
      </c>
      <c r="N49" s="1" t="str">
        <f>BN17</f>
        <v>1F</v>
      </c>
      <c r="O49" s="1" t="str">
        <f>BN38</f>
        <v>2H</v>
      </c>
      <c r="P49" s="1" t="s">
        <v>88</v>
      </c>
      <c r="Q49" s="1"/>
      <c r="R49" s="3"/>
      <c r="S49" s="47"/>
      <c r="U49" s="35"/>
      <c r="V49" s="47"/>
      <c r="W49" s="4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BA49" s="2">
        <v>62</v>
      </c>
      <c r="BB49" s="5">
        <v>45154.5</v>
      </c>
      <c r="BC49" s="4" t="s">
        <v>173</v>
      </c>
      <c r="BD49" s="69" t="str">
        <f>BM44</f>
        <v>Brasilien</v>
      </c>
      <c r="BE49" s="8" t="s">
        <v>35</v>
      </c>
      <c r="BF49" s="123" t="str">
        <f>BM45</f>
        <v>Frankreich</v>
      </c>
      <c r="BG49" s="7"/>
      <c r="BH49" s="103">
        <v>1</v>
      </c>
      <c r="BI49" s="105" t="s">
        <v>36</v>
      </c>
      <c r="BJ49" s="103">
        <v>0</v>
      </c>
      <c r="BK49" s="6" t="s">
        <v>62</v>
      </c>
      <c r="BL49" s="1"/>
      <c r="BM49" s="30" t="str">
        <f>IF(BJ49="","",IF(BJ49=BH49,"falsch!!! K.Remis",IF(BH49&gt;BJ49,BD49,BF49)))</f>
        <v>Brasilien</v>
      </c>
      <c r="BN49" s="1" t="str">
        <f>BP44</f>
        <v>VF3</v>
      </c>
      <c r="BO49" s="1" t="str">
        <f>BP45</f>
        <v>VF4</v>
      </c>
      <c r="BP49" s="1" t="s">
        <v>60</v>
      </c>
      <c r="BQ49" s="1"/>
      <c r="BR49" s="1"/>
      <c r="BS49" s="47"/>
      <c r="BU49" s="35"/>
      <c r="BV49" s="47"/>
      <c r="BW49" s="4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/>
      <c r="CJ49"/>
      <c r="CK49"/>
      <c r="CL49"/>
      <c r="CM49"/>
      <c r="CN49"/>
      <c r="CO49"/>
      <c r="CP49"/>
    </row>
    <row r="50" spans="4:94" ht="12.75">
      <c r="D50" s="42"/>
      <c r="E50" s="42"/>
      <c r="F50" s="42"/>
      <c r="G50" s="42"/>
      <c r="Q50" s="1"/>
      <c r="R50" s="3"/>
      <c r="S50" s="47"/>
      <c r="U50" s="75"/>
      <c r="V50" s="47"/>
      <c r="W50" s="4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BB50" s="1"/>
      <c r="BC50" s="3"/>
      <c r="BD50" s="7"/>
      <c r="BE50" s="9"/>
      <c r="BG50" s="7"/>
      <c r="BH50" s="104"/>
      <c r="BI50" s="105"/>
      <c r="BJ50" s="104"/>
      <c r="BK50" s="97"/>
      <c r="BL50" s="1"/>
      <c r="BM50" s="70" t="str">
        <f>IF(BJ48="","",IF(BD48=BM48,BF48,BD48))</f>
        <v>Japan</v>
      </c>
      <c r="BO50" s="1"/>
      <c r="BP50" s="1" t="s">
        <v>89</v>
      </c>
      <c r="BQ50" s="1"/>
      <c r="BR50" s="1"/>
      <c r="BS50" s="47"/>
      <c r="BU50" s="75"/>
      <c r="BV50" s="47"/>
      <c r="BW50" s="4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/>
    </row>
    <row r="51" spans="2:94" ht="12.75">
      <c r="B51" s="1"/>
      <c r="C51" s="3"/>
      <c r="D51" s="35"/>
      <c r="E51" s="36"/>
      <c r="F51" s="35"/>
      <c r="G51" s="35"/>
      <c r="H51" s="104"/>
      <c r="I51" s="105"/>
      <c r="J51" s="104"/>
      <c r="K51" s="97"/>
      <c r="L51" s="1"/>
      <c r="M51" s="3"/>
      <c r="N51" s="1"/>
      <c r="O51" s="1"/>
      <c r="P51" s="1"/>
      <c r="Q51" s="1"/>
      <c r="R51" s="1"/>
      <c r="S51" s="47"/>
      <c r="T51" s="47"/>
      <c r="U51" s="47"/>
      <c r="V51" s="47"/>
      <c r="W51" s="4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BC51" s="3"/>
      <c r="BD51" s="10"/>
      <c r="BE51" s="13"/>
      <c r="BF51" s="10"/>
      <c r="BG51" s="10"/>
      <c r="BH51" s="12"/>
      <c r="BJ51" s="12"/>
      <c r="BK51" s="97"/>
      <c r="BM51" s="70" t="str">
        <f>IF(BJ49="","",IF(BF49=BM49,BD49,BF49))</f>
        <v>Frankreich</v>
      </c>
      <c r="BP51" s="1" t="s">
        <v>90</v>
      </c>
      <c r="BQ51" s="1"/>
      <c r="BR51" s="1"/>
      <c r="BS51" s="47"/>
      <c r="BT51" s="47"/>
      <c r="BU51" s="47"/>
      <c r="BV51" s="47"/>
      <c r="BW51" s="4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/>
    </row>
    <row r="52" spans="2:93" ht="12.75">
      <c r="B52" s="21" t="s">
        <v>61</v>
      </c>
      <c r="C52" s="3"/>
      <c r="D52" s="37"/>
      <c r="E52" s="38"/>
      <c r="F52" s="37"/>
      <c r="G52" s="37"/>
      <c r="H52" s="106"/>
      <c r="J52" s="106"/>
      <c r="K52" s="97"/>
      <c r="M52" s="2" t="s">
        <v>200</v>
      </c>
      <c r="S52" s="47"/>
      <c r="T52" s="47"/>
      <c r="U52" s="47"/>
      <c r="V52" s="47"/>
      <c r="W52" s="47"/>
      <c r="X52" s="47"/>
      <c r="Y52" s="48"/>
      <c r="Z52" s="47"/>
      <c r="AA52" s="47"/>
      <c r="AB52" s="47"/>
      <c r="AC52" s="47"/>
      <c r="AD52" s="47"/>
      <c r="AE52" s="71"/>
      <c r="AF52" s="96"/>
      <c r="AG52" s="47"/>
      <c r="AH52" s="47"/>
      <c r="AO52" s="47"/>
      <c r="BB52" s="21" t="s">
        <v>91</v>
      </c>
      <c r="BC52" s="3"/>
      <c r="BD52" s="10"/>
      <c r="BE52" s="13"/>
      <c r="BF52" s="10"/>
      <c r="BG52" s="10"/>
      <c r="BH52" s="106"/>
      <c r="BJ52" s="106"/>
      <c r="BK52" s="97"/>
      <c r="BM52" s="2"/>
      <c r="BP52" s="1"/>
      <c r="BQ52" s="1"/>
      <c r="BR52" s="1"/>
      <c r="BS52" s="47"/>
      <c r="BT52" s="47"/>
      <c r="BU52" s="47"/>
      <c r="BV52" s="47"/>
      <c r="BW52" s="47"/>
      <c r="BX52" s="47"/>
      <c r="BY52" s="48"/>
      <c r="BZ52" s="47"/>
      <c r="CA52" s="47"/>
      <c r="CB52" s="47"/>
      <c r="CC52" s="47"/>
      <c r="CD52" s="47"/>
      <c r="CE52" s="71"/>
      <c r="CF52" s="96"/>
      <c r="CG52" s="47"/>
      <c r="CH52" s="47"/>
      <c r="CO52" s="1"/>
    </row>
    <row r="53" spans="1:93" ht="12.75">
      <c r="A53" s="2">
        <v>64</v>
      </c>
      <c r="B53" s="5">
        <v>45158.5</v>
      </c>
      <c r="C53" s="4" t="s">
        <v>173</v>
      </c>
      <c r="D53" s="20" t="str">
        <f>BM48</f>
        <v>USA</v>
      </c>
      <c r="E53" s="8" t="s">
        <v>35</v>
      </c>
      <c r="F53" s="20" t="str">
        <f>BM49</f>
        <v>Brasilien</v>
      </c>
      <c r="G53" s="35"/>
      <c r="H53" s="103">
        <v>3</v>
      </c>
      <c r="I53" s="105" t="s">
        <v>36</v>
      </c>
      <c r="J53" s="103">
        <v>2</v>
      </c>
      <c r="K53" s="6" t="s">
        <v>62</v>
      </c>
      <c r="L53" s="1"/>
      <c r="M53" s="22" t="str">
        <f>IF(J53="","",IF(J53=H53,"falsch!!! K.Remis",IF(H53&gt;J53,D53,F53)))</f>
        <v>USA</v>
      </c>
      <c r="N53" s="1" t="str">
        <f>BP48</f>
        <v>F1</v>
      </c>
      <c r="O53" s="1" t="str">
        <f>BP49</f>
        <v>F2</v>
      </c>
      <c r="P53" s="1"/>
      <c r="AE53" s="48"/>
      <c r="AF53" s="54"/>
      <c r="BA53" s="2">
        <v>63</v>
      </c>
      <c r="BB53" s="5">
        <v>45157.416666666664</v>
      </c>
      <c r="BC53" s="4" t="s">
        <v>180</v>
      </c>
      <c r="BD53" s="23" t="str">
        <f>BM50</f>
        <v>Japan</v>
      </c>
      <c r="BE53" s="8" t="s">
        <v>35</v>
      </c>
      <c r="BF53" s="23" t="str">
        <f>BM51</f>
        <v>Frankreich</v>
      </c>
      <c r="BG53" s="7"/>
      <c r="BH53" s="103">
        <v>1</v>
      </c>
      <c r="BI53" s="105" t="s">
        <v>36</v>
      </c>
      <c r="BJ53" s="103">
        <v>2</v>
      </c>
      <c r="BK53" s="6" t="s">
        <v>62</v>
      </c>
      <c r="BL53" s="1"/>
      <c r="BM53" s="22" t="str">
        <f>IF(BJ53="","",IF(BJ53=BH53,"falsch!!! K.Remis",IF(BH53&gt;BJ53,BD53,BF53)))</f>
        <v>Frankreich</v>
      </c>
      <c r="BN53" s="1" t="str">
        <f>BP50</f>
        <v>HF1</v>
      </c>
      <c r="BO53" s="1" t="str">
        <f>BP51</f>
        <v>HF2</v>
      </c>
      <c r="BS53" s="47"/>
      <c r="BT53" s="47"/>
      <c r="BU53" s="47"/>
      <c r="BV53" s="47"/>
      <c r="BW53" s="47"/>
      <c r="BX53" s="47"/>
      <c r="BY53" s="48"/>
      <c r="BZ53" s="47"/>
      <c r="CA53" s="47"/>
      <c r="CB53" s="47"/>
      <c r="CC53" s="47"/>
      <c r="CE53" s="71"/>
      <c r="CF53" s="96"/>
      <c r="CG53" s="47"/>
      <c r="CH53" s="47"/>
      <c r="CO53" s="1"/>
    </row>
    <row r="54" spans="16:93" ht="12.75">
      <c r="P54" s="1"/>
      <c r="Q54" s="1"/>
      <c r="R54" s="1"/>
      <c r="S54" s="47"/>
      <c r="T54" s="47"/>
      <c r="U54" s="47"/>
      <c r="V54" s="47"/>
      <c r="W54" s="47"/>
      <c r="AE54" s="47"/>
      <c r="AF54" s="96"/>
      <c r="AG54" s="47"/>
      <c r="AH54" s="47"/>
      <c r="AO54" s="47"/>
      <c r="BS54" s="47"/>
      <c r="BT54" s="47"/>
      <c r="BU54" s="47"/>
      <c r="BV54" s="47"/>
      <c r="BW54" s="47"/>
      <c r="BX54" s="47"/>
      <c r="BY54" s="48"/>
      <c r="BZ54" s="47"/>
      <c r="CA54" s="47"/>
      <c r="CB54" s="47"/>
      <c r="CC54" s="47"/>
      <c r="CE54" s="71"/>
      <c r="CF54" s="96"/>
      <c r="CG54" s="47"/>
      <c r="CH54" s="47"/>
      <c r="CO54" s="1"/>
    </row>
    <row r="55" spans="17:93" ht="12.75">
      <c r="Q55" s="1"/>
      <c r="R55" s="1"/>
      <c r="S55" s="47"/>
      <c r="T55" s="47"/>
      <c r="U55" s="47"/>
      <c r="V55" s="47"/>
      <c r="W55" s="47"/>
      <c r="AE55" s="47"/>
      <c r="AF55" s="96"/>
      <c r="AG55" s="47"/>
      <c r="AH55" s="47"/>
      <c r="AO55" s="47"/>
      <c r="BQ55" s="1"/>
      <c r="BR55" s="1"/>
      <c r="BS55" s="47"/>
      <c r="BT55" s="47"/>
      <c r="BU55" s="47"/>
      <c r="BV55" s="47"/>
      <c r="BW55" s="47"/>
      <c r="BX55" s="47"/>
      <c r="BY55" s="27"/>
      <c r="BZ55" s="27"/>
      <c r="CA55" s="27"/>
      <c r="CB55" s="27"/>
      <c r="CC55" s="27"/>
      <c r="CE55" s="27"/>
      <c r="CF55" s="27"/>
      <c r="CG55" s="27"/>
      <c r="CH55" s="27"/>
      <c r="CI55"/>
      <c r="CJ55"/>
      <c r="CK55"/>
      <c r="CL55"/>
      <c r="CM55"/>
      <c r="CN55"/>
      <c r="CO55"/>
    </row>
    <row r="56" spans="2:83" ht="13.5" thickBot="1">
      <c r="B56" s="124"/>
      <c r="C56" s="3"/>
      <c r="D56" s="3"/>
      <c r="E56" s="3"/>
      <c r="F56" s="3"/>
      <c r="AE56" s="42"/>
      <c r="BH56" s="2"/>
      <c r="BI56" s="2"/>
      <c r="BJ56" s="2"/>
      <c r="BK56" s="2"/>
      <c r="BM56" s="2"/>
      <c r="CE56" s="42"/>
    </row>
    <row r="57" spans="2:82" ht="14.25" thickBot="1" thickTop="1">
      <c r="B57" s="125" t="s">
        <v>62</v>
      </c>
      <c r="C57" s="1" t="s">
        <v>63</v>
      </c>
      <c r="D57" s="3"/>
      <c r="E57" s="3"/>
      <c r="F57" s="3"/>
      <c r="H57" s="107"/>
      <c r="AD57" s="48"/>
      <c r="BH57" s="2"/>
      <c r="BI57" s="2"/>
      <c r="BJ57" s="2"/>
      <c r="BK57" s="2"/>
      <c r="BM57" s="2"/>
      <c r="CD57" s="48"/>
    </row>
    <row r="58" ht="13.5" thickTop="1">
      <c r="C58" s="1"/>
    </row>
    <row r="59" ht="12.75">
      <c r="C59" s="1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Bernd</cp:lastModifiedBy>
  <cp:lastPrinted>2011-05-05T19:44:35Z</cp:lastPrinted>
  <dcterms:created xsi:type="dcterms:W3CDTF">2000-06-07T05:43:06Z</dcterms:created>
  <dcterms:modified xsi:type="dcterms:W3CDTF">2023-07-13T09:55:44Z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