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DieseArbeitsmappe"/>
  <mc:AlternateContent xmlns:mc="http://schemas.openxmlformats.org/markup-compatibility/2006">
    <mc:Choice Requires="x15">
      <x15ac:absPath xmlns:x15ac="http://schemas.microsoft.com/office/spreadsheetml/2010/11/ac" url="C:\temp\fussball\wm26\wm26stand\wm26aufbau\start\"/>
    </mc:Choice>
  </mc:AlternateContent>
  <xr:revisionPtr revIDLastSave="0" documentId="13_ncr:1_{DEAD5E10-1ED7-449E-B4CC-3361CE7C84B0}" xr6:coauthVersionLast="36" xr6:coauthVersionMax="36" xr10:uidLastSave="{00000000-0000-0000-0000-000000000000}"/>
  <bookViews>
    <workbookView xWindow="0" yWindow="0" windowWidth="28800" windowHeight="11925" tabRatio="597" xr2:uid="{00000000-000D-0000-FFFF-FFFF00000000}"/>
  </bookViews>
  <sheets>
    <sheet name="Ergebnisse" sheetId="2" r:id="rId1"/>
    <sheet name="Tiprunde" sheetId="6" r:id="rId2"/>
    <sheet name="Vergleich" sheetId="25" r:id="rId3"/>
    <sheet name="Historie" sheetId="26" r:id="rId4"/>
    <sheet name="Diagramme" sheetId="27" r:id="rId5"/>
    <sheet name="Bernd" sheetId="5" r:id="rId6"/>
    <sheet name="Mitspieler" sheetId="36" r:id="rId7"/>
    <sheet name="Random" sheetId="3" r:id="rId8"/>
    <sheet name="Rangliste" sheetId="34" r:id="rId9"/>
    <sheet name="Fest" sheetId="28" r:id="rId10"/>
    <sheet name="Nobody" sheetId="4" r:id="rId11"/>
    <sheet name="FIFA" sheetId="29" r:id="rId12"/>
    <sheet name="Spiele" sheetId="30" r:id="rId13"/>
  </sheets>
  <calcPr calcId="191029"/>
</workbook>
</file>

<file path=xl/calcChain.xml><?xml version="1.0" encoding="utf-8"?>
<calcChain xmlns="http://schemas.openxmlformats.org/spreadsheetml/2006/main">
  <c r="BH94" i="2" l="1"/>
  <c r="BJ94" i="2" s="1"/>
  <c r="H94" i="2"/>
  <c r="J94" i="2" s="1"/>
  <c r="BH90" i="2"/>
  <c r="BJ90" i="2" s="1"/>
  <c r="BH89" i="2"/>
  <c r="BJ89" i="2" s="1"/>
  <c r="BH85" i="2"/>
  <c r="BJ85" i="2" s="1"/>
  <c r="BH84" i="2"/>
  <c r="BJ84" i="2" s="1"/>
  <c r="BH83" i="2"/>
  <c r="BJ83" i="2" s="1"/>
  <c r="BH82" i="2"/>
  <c r="BJ82" i="2" s="1"/>
  <c r="H89" i="2"/>
  <c r="J89" i="2" s="1"/>
  <c r="H88" i="2"/>
  <c r="J88" i="2" s="1"/>
  <c r="H87" i="2"/>
  <c r="J87" i="2" s="1"/>
  <c r="H86" i="2"/>
  <c r="J86" i="2" s="1"/>
  <c r="H85" i="2"/>
  <c r="J85" i="2" s="1"/>
  <c r="H84" i="2"/>
  <c r="J84" i="2" s="1"/>
  <c r="H83" i="2"/>
  <c r="J83" i="2" s="1"/>
  <c r="H82" i="2"/>
  <c r="J82" i="2" s="1"/>
  <c r="H78" i="2"/>
  <c r="J78" i="2" s="1"/>
  <c r="H77" i="2"/>
  <c r="J77" i="2" s="1"/>
  <c r="H76" i="2"/>
  <c r="J76" i="2" s="1"/>
  <c r="H75" i="2"/>
  <c r="J75" i="2" s="1"/>
  <c r="H74" i="2"/>
  <c r="J74" i="2" s="1"/>
  <c r="H73" i="2"/>
  <c r="J73" i="2" s="1"/>
  <c r="H72" i="2"/>
  <c r="J72" i="2" s="1"/>
  <c r="H71" i="2"/>
  <c r="J71" i="2" s="1"/>
  <c r="H70" i="2"/>
  <c r="J70" i="2" s="1"/>
  <c r="H69" i="2"/>
  <c r="J69" i="2" s="1"/>
  <c r="H68" i="2"/>
  <c r="J68" i="2" s="1"/>
  <c r="H67" i="2"/>
  <c r="J67" i="2" s="1"/>
  <c r="H66" i="2"/>
  <c r="J66" i="2" s="1"/>
  <c r="H65" i="2"/>
  <c r="J65" i="2" s="1"/>
  <c r="H64" i="2"/>
  <c r="J64" i="2" s="1"/>
  <c r="H63" i="2"/>
  <c r="J63" i="2" s="1"/>
  <c r="BJ58" i="2"/>
  <c r="BH58" i="2"/>
  <c r="BJ57" i="2"/>
  <c r="BH57" i="2"/>
  <c r="BJ56" i="2"/>
  <c r="BH56" i="2"/>
  <c r="BJ55" i="2"/>
  <c r="BH55" i="2"/>
  <c r="BJ54" i="2"/>
  <c r="BH54" i="2"/>
  <c r="BJ53" i="2"/>
  <c r="BH53" i="2"/>
  <c r="J58" i="2"/>
  <c r="H58" i="2"/>
  <c r="J57" i="2"/>
  <c r="H57" i="2"/>
  <c r="J56" i="2"/>
  <c r="H56" i="2"/>
  <c r="J55" i="2"/>
  <c r="H55" i="2"/>
  <c r="J54" i="2"/>
  <c r="H54" i="2"/>
  <c r="J53" i="2"/>
  <c r="H53" i="2"/>
  <c r="BJ48" i="2"/>
  <c r="BH48" i="2"/>
  <c r="BJ47" i="2"/>
  <c r="BH47" i="2"/>
  <c r="BJ46" i="2"/>
  <c r="BH46" i="2"/>
  <c r="BJ45" i="2"/>
  <c r="BH45" i="2"/>
  <c r="BJ44" i="2"/>
  <c r="BH44" i="2"/>
  <c r="BJ43" i="2"/>
  <c r="BH43" i="2"/>
  <c r="J48" i="2"/>
  <c r="H48" i="2"/>
  <c r="J47" i="2"/>
  <c r="H47" i="2"/>
  <c r="J46" i="2"/>
  <c r="H46" i="2"/>
  <c r="J45" i="2"/>
  <c r="H45" i="2"/>
  <c r="J44" i="2"/>
  <c r="H44" i="2"/>
  <c r="J43" i="2"/>
  <c r="H43" i="2"/>
  <c r="BJ38" i="2"/>
  <c r="BH38" i="2"/>
  <c r="BJ37" i="2"/>
  <c r="BH37" i="2"/>
  <c r="BJ36" i="2"/>
  <c r="BH36" i="2"/>
  <c r="BJ35" i="2"/>
  <c r="BH35" i="2"/>
  <c r="BJ34" i="2"/>
  <c r="BH34" i="2"/>
  <c r="BJ33" i="2"/>
  <c r="BH33" i="2"/>
  <c r="J38" i="2"/>
  <c r="H38" i="2"/>
  <c r="J37" i="2"/>
  <c r="H37" i="2"/>
  <c r="J36" i="2"/>
  <c r="H36" i="2"/>
  <c r="J35" i="2"/>
  <c r="H35" i="2"/>
  <c r="J34" i="2"/>
  <c r="H34" i="2"/>
  <c r="J33" i="2"/>
  <c r="H33" i="2"/>
  <c r="BJ28" i="2"/>
  <c r="BH28" i="2"/>
  <c r="BJ27" i="2"/>
  <c r="BH27" i="2"/>
  <c r="BJ26" i="2"/>
  <c r="BH26" i="2"/>
  <c r="BJ25" i="2"/>
  <c r="BH25" i="2"/>
  <c r="BJ24" i="2"/>
  <c r="BH24" i="2"/>
  <c r="BJ23" i="2"/>
  <c r="BH23" i="2"/>
  <c r="J28" i="2"/>
  <c r="H28" i="2"/>
  <c r="J27" i="2"/>
  <c r="H27" i="2"/>
  <c r="J26" i="2"/>
  <c r="H26" i="2"/>
  <c r="J25" i="2"/>
  <c r="H25" i="2"/>
  <c r="J24" i="2"/>
  <c r="H24" i="2"/>
  <c r="J23" i="2"/>
  <c r="H23" i="2"/>
  <c r="BJ18" i="2"/>
  <c r="BH18" i="2"/>
  <c r="BJ17" i="2"/>
  <c r="BH17" i="2"/>
  <c r="BJ16" i="2"/>
  <c r="BH16" i="2"/>
  <c r="BJ15" i="2"/>
  <c r="BH15" i="2"/>
  <c r="BJ14" i="2"/>
  <c r="BH14" i="2"/>
  <c r="BJ13" i="2"/>
  <c r="BH13" i="2"/>
  <c r="J18" i="2"/>
  <c r="H18" i="2"/>
  <c r="J17" i="2"/>
  <c r="H17" i="2"/>
  <c r="J16" i="2"/>
  <c r="H16" i="2"/>
  <c r="J15" i="2"/>
  <c r="H15" i="2"/>
  <c r="J14" i="2"/>
  <c r="H14" i="2"/>
  <c r="J13" i="2"/>
  <c r="H13" i="2"/>
  <c r="BJ8" i="2"/>
  <c r="BH8" i="2"/>
  <c r="BJ7" i="2"/>
  <c r="BH7" i="2"/>
  <c r="BJ6" i="2"/>
  <c r="BH6" i="2"/>
  <c r="BJ5" i="2"/>
  <c r="BH5" i="2"/>
  <c r="BJ4" i="2"/>
  <c r="BH4" i="2"/>
  <c r="BJ3" i="2"/>
  <c r="BH3" i="2"/>
  <c r="J8" i="2"/>
  <c r="H8" i="2"/>
  <c r="J7" i="2"/>
  <c r="H7" i="2"/>
  <c r="J6" i="2"/>
  <c r="H6" i="2"/>
  <c r="J5" i="2"/>
  <c r="H5" i="2"/>
  <c r="J4" i="2"/>
  <c r="H4" i="2"/>
  <c r="J3" i="2"/>
  <c r="H3" i="2"/>
  <c r="AY92" i="5" l="1"/>
  <c r="AY92" i="36"/>
  <c r="AY92" i="3"/>
  <c r="AY92" i="34"/>
  <c r="AY92" i="28"/>
  <c r="AY92" i="4"/>
  <c r="A82" i="4"/>
  <c r="A78" i="4"/>
  <c r="A77" i="4"/>
  <c r="A76" i="4"/>
  <c r="A75" i="4"/>
  <c r="A74" i="4"/>
  <c r="A73" i="4"/>
  <c r="A72" i="4"/>
  <c r="A71" i="4"/>
  <c r="A70" i="4"/>
  <c r="A69" i="4"/>
  <c r="A68" i="4"/>
  <c r="A67" i="4"/>
  <c r="A66" i="4"/>
  <c r="A65" i="4"/>
  <c r="A64" i="4"/>
  <c r="A63" i="4"/>
  <c r="A58" i="4"/>
  <c r="A57" i="4"/>
  <c r="A56" i="4"/>
  <c r="A55" i="4"/>
  <c r="A54" i="4"/>
  <c r="A53" i="4"/>
  <c r="A48" i="4"/>
  <c r="A47" i="4"/>
  <c r="A46" i="4"/>
  <c r="A45" i="4"/>
  <c r="A44" i="4"/>
  <c r="A43" i="4"/>
  <c r="A38" i="4"/>
  <c r="A37" i="4"/>
  <c r="A36" i="4"/>
  <c r="A35" i="4"/>
  <c r="A34" i="4"/>
  <c r="A33" i="4"/>
  <c r="A28" i="4"/>
  <c r="A27" i="4"/>
  <c r="A26" i="4"/>
  <c r="A25" i="4"/>
  <c r="A24" i="4"/>
  <c r="A23" i="4"/>
  <c r="A18" i="4"/>
  <c r="A17" i="4"/>
  <c r="A16" i="4"/>
  <c r="A15" i="4"/>
  <c r="A14" i="4"/>
  <c r="A13" i="4"/>
  <c r="A8" i="4"/>
  <c r="A7" i="4"/>
  <c r="A6" i="4"/>
  <c r="A5" i="4"/>
  <c r="A4" i="4"/>
  <c r="A3" i="4"/>
  <c r="BA58" i="4"/>
  <c r="BA57" i="4"/>
  <c r="BA56" i="4"/>
  <c r="BA55" i="4"/>
  <c r="BA54" i="4"/>
  <c r="BA53" i="4"/>
  <c r="BA48" i="4"/>
  <c r="BA47" i="4"/>
  <c r="BA46" i="4"/>
  <c r="BA45" i="4"/>
  <c r="BA44" i="4"/>
  <c r="BA43" i="4"/>
  <c r="BA38" i="4"/>
  <c r="BA37" i="4"/>
  <c r="BA36" i="4"/>
  <c r="BA35" i="4"/>
  <c r="BA34" i="4"/>
  <c r="BA33" i="4"/>
  <c r="BA28" i="4"/>
  <c r="BA27" i="4"/>
  <c r="BA26" i="4"/>
  <c r="BA25" i="4"/>
  <c r="BA24" i="4"/>
  <c r="BA23" i="4"/>
  <c r="BA18" i="4"/>
  <c r="BA17" i="4"/>
  <c r="BA16" i="4"/>
  <c r="BA15" i="4"/>
  <c r="BA14" i="4"/>
  <c r="BA13" i="4"/>
  <c r="BA8" i="4"/>
  <c r="BA7" i="4"/>
  <c r="BA6" i="4"/>
  <c r="BA5" i="4"/>
  <c r="BA4" i="4"/>
  <c r="BA3" i="4"/>
  <c r="DB45" i="4"/>
  <c r="DB38" i="4"/>
  <c r="DB32" i="4"/>
  <c r="DB25" i="4"/>
  <c r="DB19" i="4"/>
  <c r="DB14" i="4"/>
  <c r="DB9" i="4"/>
  <c r="DB3" i="4"/>
  <c r="DB49" i="4" l="1"/>
  <c r="BB73" i="2"/>
  <c r="BB72" i="2"/>
  <c r="BB71" i="2"/>
  <c r="BB70" i="2"/>
  <c r="BB69" i="2"/>
  <c r="BB68" i="2"/>
  <c r="BB67" i="2"/>
  <c r="BB66" i="2"/>
  <c r="C82" i="2"/>
  <c r="C82" i="4" s="1"/>
  <c r="C78" i="2"/>
  <c r="C78" i="4" s="1"/>
  <c r="C77" i="2"/>
  <c r="C77" i="4" s="1"/>
  <c r="C76" i="2"/>
  <c r="C76" i="4" s="1"/>
  <c r="C75" i="2"/>
  <c r="C75" i="4" s="1"/>
  <c r="C74" i="2"/>
  <c r="C74" i="4" s="1"/>
  <c r="C73" i="2"/>
  <c r="C73" i="4" s="1"/>
  <c r="C72" i="2"/>
  <c r="C72" i="4" s="1"/>
  <c r="C71" i="2"/>
  <c r="C71" i="4" s="1"/>
  <c r="C70" i="2"/>
  <c r="C70" i="4" s="1"/>
  <c r="C69" i="2"/>
  <c r="C69" i="4" s="1"/>
  <c r="C68" i="2"/>
  <c r="C68" i="4" s="1"/>
  <c r="C67" i="2"/>
  <c r="C67" i="4" s="1"/>
  <c r="C66" i="2"/>
  <c r="C66" i="4" s="1"/>
  <c r="C65" i="2"/>
  <c r="C65" i="4" s="1"/>
  <c r="C64" i="2"/>
  <c r="C64" i="4" s="1"/>
  <c r="C63" i="2"/>
  <c r="C63" i="4" s="1"/>
  <c r="BC58" i="2"/>
  <c r="BC58" i="4" s="1"/>
  <c r="BC57" i="2"/>
  <c r="BC57" i="4" s="1"/>
  <c r="BC56" i="2"/>
  <c r="BC56" i="4" s="1"/>
  <c r="BC55" i="2"/>
  <c r="BC55" i="4" s="1"/>
  <c r="BC54" i="2"/>
  <c r="BC54" i="4" s="1"/>
  <c r="BC53" i="2"/>
  <c r="BC53" i="4" s="1"/>
  <c r="C58" i="2"/>
  <c r="C58" i="4" s="1"/>
  <c r="C57" i="2"/>
  <c r="C57" i="4" s="1"/>
  <c r="C56" i="2"/>
  <c r="C56" i="4" s="1"/>
  <c r="C55" i="2"/>
  <c r="C55" i="4" s="1"/>
  <c r="C54" i="2"/>
  <c r="C54" i="4" s="1"/>
  <c r="C53" i="2"/>
  <c r="C53" i="4" s="1"/>
  <c r="BC48" i="2"/>
  <c r="BC48" i="4" s="1"/>
  <c r="BC47" i="2"/>
  <c r="BC47" i="4" s="1"/>
  <c r="BC46" i="2"/>
  <c r="BC46" i="4" s="1"/>
  <c r="BC45" i="2"/>
  <c r="BC45" i="4" s="1"/>
  <c r="BC44" i="2"/>
  <c r="BC44" i="4" s="1"/>
  <c r="BC43" i="2"/>
  <c r="BC43" i="4" s="1"/>
  <c r="C48" i="2"/>
  <c r="C48" i="4" s="1"/>
  <c r="C47" i="2"/>
  <c r="C47" i="4" s="1"/>
  <c r="C46" i="2"/>
  <c r="C46" i="4" s="1"/>
  <c r="C45" i="2"/>
  <c r="C45" i="4" s="1"/>
  <c r="C44" i="2"/>
  <c r="C44" i="4" s="1"/>
  <c r="C43" i="2"/>
  <c r="C43" i="4" s="1"/>
  <c r="BC38" i="2"/>
  <c r="BC38" i="4" s="1"/>
  <c r="BC37" i="2"/>
  <c r="BC37" i="4" s="1"/>
  <c r="BC36" i="2"/>
  <c r="BC36" i="4" s="1"/>
  <c r="BC35" i="2"/>
  <c r="BC35" i="4" s="1"/>
  <c r="BC34" i="2"/>
  <c r="BC34" i="4" s="1"/>
  <c r="BC33" i="2"/>
  <c r="BC33" i="4" s="1"/>
  <c r="C38" i="2"/>
  <c r="C38" i="4" s="1"/>
  <c r="C37" i="2"/>
  <c r="C37" i="4" s="1"/>
  <c r="C36" i="2"/>
  <c r="C36" i="4" s="1"/>
  <c r="C35" i="2"/>
  <c r="C35" i="4" s="1"/>
  <c r="C34" i="2"/>
  <c r="C34" i="4" s="1"/>
  <c r="C33" i="2"/>
  <c r="C33" i="4" s="1"/>
  <c r="BC28" i="2"/>
  <c r="BC28" i="4" s="1"/>
  <c r="BC27" i="2"/>
  <c r="BC27" i="4" s="1"/>
  <c r="BC26" i="2"/>
  <c r="BC26" i="4" s="1"/>
  <c r="BC25" i="2"/>
  <c r="BC25" i="4" s="1"/>
  <c r="BC24" i="2"/>
  <c r="BC24" i="4" s="1"/>
  <c r="BC23" i="2"/>
  <c r="BC23" i="4" s="1"/>
  <c r="C28" i="2"/>
  <c r="C28" i="4" s="1"/>
  <c r="C27" i="2"/>
  <c r="C27" i="4" s="1"/>
  <c r="C26" i="2"/>
  <c r="C26" i="4" s="1"/>
  <c r="C25" i="2"/>
  <c r="C25" i="4" s="1"/>
  <c r="C24" i="2"/>
  <c r="C24" i="4" s="1"/>
  <c r="C23" i="2"/>
  <c r="C23" i="4" s="1"/>
  <c r="BC18" i="2"/>
  <c r="BC18" i="4" s="1"/>
  <c r="BC17" i="2"/>
  <c r="BC17" i="4" s="1"/>
  <c r="BC16" i="2"/>
  <c r="BC16" i="4" s="1"/>
  <c r="BC15" i="2"/>
  <c r="BC15" i="4" s="1"/>
  <c r="BC14" i="2"/>
  <c r="BC14" i="4" s="1"/>
  <c r="BC13" i="2"/>
  <c r="BC13" i="4" s="1"/>
  <c r="C18" i="2"/>
  <c r="C18" i="4" s="1"/>
  <c r="C17" i="2"/>
  <c r="C17" i="4" s="1"/>
  <c r="C16" i="2"/>
  <c r="C16" i="4" s="1"/>
  <c r="C15" i="2"/>
  <c r="C15" i="4" s="1"/>
  <c r="C14" i="2"/>
  <c r="C14" i="4" s="1"/>
  <c r="C13" i="2"/>
  <c r="C13" i="4" s="1"/>
  <c r="BC8" i="2"/>
  <c r="BC8" i="4" s="1"/>
  <c r="BC7" i="2"/>
  <c r="BC7" i="4" s="1"/>
  <c r="BC6" i="2"/>
  <c r="BC6" i="4" s="1"/>
  <c r="BC5" i="2"/>
  <c r="BC5" i="4" s="1"/>
  <c r="BC4" i="2"/>
  <c r="BC4" i="4" s="1"/>
  <c r="BC3" i="2"/>
  <c r="BC3" i="4" s="1"/>
  <c r="C8" i="2"/>
  <c r="C8" i="4" s="1"/>
  <c r="C7" i="2"/>
  <c r="C7" i="4" s="1"/>
  <c r="C6" i="2"/>
  <c r="C6" i="4" s="1"/>
  <c r="C5" i="2"/>
  <c r="C5" i="4" s="1"/>
  <c r="C4" i="2"/>
  <c r="C4" i="4" s="1"/>
  <c r="C3" i="2"/>
  <c r="C3" i="4" s="1"/>
  <c r="BH94" i="4"/>
  <c r="H94" i="4"/>
  <c r="BH90" i="4"/>
  <c r="BH89" i="4"/>
  <c r="BH85" i="4"/>
  <c r="BH84" i="4"/>
  <c r="BH83" i="4"/>
  <c r="BH82" i="4"/>
  <c r="H89" i="4"/>
  <c r="H88" i="4"/>
  <c r="H87" i="4"/>
  <c r="H86" i="4"/>
  <c r="H85" i="4"/>
  <c r="H84" i="4"/>
  <c r="H83" i="4"/>
  <c r="H82" i="4"/>
  <c r="H78" i="4"/>
  <c r="H77" i="4"/>
  <c r="H76" i="4"/>
  <c r="H75" i="4"/>
  <c r="H74" i="4"/>
  <c r="H73" i="4"/>
  <c r="H72" i="4"/>
  <c r="H71" i="4"/>
  <c r="H70" i="4"/>
  <c r="H69" i="4"/>
  <c r="H68" i="4"/>
  <c r="H67" i="4"/>
  <c r="H66" i="4"/>
  <c r="H65" i="4"/>
  <c r="H64" i="4"/>
  <c r="J63" i="4"/>
  <c r="H63" i="4"/>
  <c r="BJ58" i="4"/>
  <c r="BJ57" i="4"/>
  <c r="BJ56" i="4"/>
  <c r="BJ55" i="4"/>
  <c r="BJ54" i="4"/>
  <c r="BJ53" i="4"/>
  <c r="J58" i="4"/>
  <c r="J57" i="4"/>
  <c r="J56" i="4"/>
  <c r="J55" i="4"/>
  <c r="J54" i="4"/>
  <c r="J53" i="4"/>
  <c r="BJ48" i="4"/>
  <c r="BJ47" i="4"/>
  <c r="BJ46" i="4"/>
  <c r="BJ45" i="4"/>
  <c r="BJ44" i="4"/>
  <c r="BJ43" i="4"/>
  <c r="J48" i="4"/>
  <c r="J47" i="4"/>
  <c r="J46" i="4"/>
  <c r="J45" i="4"/>
  <c r="J44" i="4"/>
  <c r="J43" i="4"/>
  <c r="BJ38" i="4"/>
  <c r="BJ37" i="4"/>
  <c r="BJ36" i="4"/>
  <c r="BJ35" i="4"/>
  <c r="BJ34" i="4"/>
  <c r="BJ33" i="4"/>
  <c r="J38" i="4"/>
  <c r="J37" i="4"/>
  <c r="J36" i="4"/>
  <c r="J35" i="4"/>
  <c r="J34" i="4"/>
  <c r="J33" i="4"/>
  <c r="BJ28" i="4"/>
  <c r="BJ27" i="4"/>
  <c r="BJ26" i="4"/>
  <c r="BJ25" i="4"/>
  <c r="BJ24" i="4"/>
  <c r="BJ23" i="4"/>
  <c r="J28" i="4"/>
  <c r="J27" i="4"/>
  <c r="J26" i="4"/>
  <c r="J25" i="4"/>
  <c r="J24" i="4"/>
  <c r="J23" i="4"/>
  <c r="BJ18" i="4"/>
  <c r="BJ17" i="4"/>
  <c r="BJ16" i="4"/>
  <c r="BJ15" i="4"/>
  <c r="BJ14" i="4"/>
  <c r="BJ13" i="4"/>
  <c r="J18" i="4"/>
  <c r="J17" i="4"/>
  <c r="J16" i="4"/>
  <c r="J15" i="4"/>
  <c r="J14" i="4"/>
  <c r="J13" i="4"/>
  <c r="BJ8" i="4"/>
  <c r="BJ7" i="4"/>
  <c r="BJ6" i="4"/>
  <c r="BJ5" i="4"/>
  <c r="BJ4" i="4"/>
  <c r="BJ3" i="4"/>
  <c r="J8" i="4"/>
  <c r="J7" i="4"/>
  <c r="J6" i="4"/>
  <c r="J5" i="4"/>
  <c r="J4" i="4"/>
  <c r="J3" i="4"/>
  <c r="B100" i="2"/>
  <c r="BO94" i="2"/>
  <c r="BN94" i="2"/>
  <c r="O94" i="2"/>
  <c r="N94" i="2"/>
  <c r="BO90" i="2"/>
  <c r="BN90" i="2"/>
  <c r="BO89" i="2"/>
  <c r="BN89" i="2"/>
  <c r="O89" i="2"/>
  <c r="N89" i="2"/>
  <c r="O88" i="2"/>
  <c r="N88" i="2"/>
  <c r="O87" i="2"/>
  <c r="N87" i="2"/>
  <c r="O86" i="2"/>
  <c r="N86" i="2"/>
  <c r="BO85" i="2"/>
  <c r="BN85" i="2"/>
  <c r="O85" i="2"/>
  <c r="N85" i="2"/>
  <c r="BO84" i="2"/>
  <c r="BN84" i="2"/>
  <c r="O84" i="2"/>
  <c r="N84" i="2"/>
  <c r="BO83" i="2"/>
  <c r="BN83" i="2"/>
  <c r="O83" i="2"/>
  <c r="N83" i="2"/>
  <c r="A83" i="2"/>
  <c r="C83" i="2" s="1"/>
  <c r="C83" i="4" s="1"/>
  <c r="BO82" i="2"/>
  <c r="BN82" i="2"/>
  <c r="O82" i="2"/>
  <c r="N82" i="2"/>
  <c r="N78" i="2"/>
  <c r="O77" i="2"/>
  <c r="N77" i="2"/>
  <c r="O76" i="2"/>
  <c r="N76" i="2"/>
  <c r="N75" i="2"/>
  <c r="O74" i="2"/>
  <c r="N74" i="2"/>
  <c r="O73" i="2"/>
  <c r="N73" i="2"/>
  <c r="N72" i="2"/>
  <c r="CF71" i="2"/>
  <c r="N71" i="2"/>
  <c r="CF70" i="2"/>
  <c r="N70" i="2"/>
  <c r="CF69" i="2"/>
  <c r="N69" i="2"/>
  <c r="CF68" i="2"/>
  <c r="N68" i="2"/>
  <c r="CH67" i="2"/>
  <c r="CH68" i="2" s="1"/>
  <c r="CH69" i="2" s="1"/>
  <c r="CH70" i="2" s="1"/>
  <c r="CH71" i="2" s="1"/>
  <c r="CH72" i="2" s="1"/>
  <c r="CH73" i="2" s="1"/>
  <c r="CH74" i="2" s="1"/>
  <c r="CH75" i="2" s="1"/>
  <c r="CH76" i="2" s="1"/>
  <c r="CH77" i="2" s="1"/>
  <c r="CF67" i="2"/>
  <c r="O67" i="2"/>
  <c r="N67" i="2"/>
  <c r="CF66" i="2"/>
  <c r="O66" i="2"/>
  <c r="N66" i="2"/>
  <c r="N65" i="2"/>
  <c r="O64" i="2"/>
  <c r="N64" i="2"/>
  <c r="O63" i="2"/>
  <c r="N63" i="2"/>
  <c r="BF58" i="2"/>
  <c r="BF58" i="4" s="1"/>
  <c r="BD58" i="2"/>
  <c r="BD58" i="4" s="1"/>
  <c r="F58" i="2"/>
  <c r="F58" i="4" s="1"/>
  <c r="D58" i="2"/>
  <c r="D58" i="4" s="1"/>
  <c r="BF57" i="2"/>
  <c r="BF57" i="4" s="1"/>
  <c r="BD57" i="2"/>
  <c r="BD57" i="4" s="1"/>
  <c r="F57" i="2"/>
  <c r="F57" i="4" s="1"/>
  <c r="D57" i="2"/>
  <c r="D57" i="4" s="1"/>
  <c r="BF56" i="2"/>
  <c r="BF56" i="4" s="1"/>
  <c r="BD56" i="2"/>
  <c r="BD56" i="4" s="1"/>
  <c r="F56" i="2"/>
  <c r="F56" i="4" s="1"/>
  <c r="D56" i="2"/>
  <c r="D56" i="4" s="1"/>
  <c r="BF55" i="2"/>
  <c r="BF55" i="4" s="1"/>
  <c r="BD55" i="2"/>
  <c r="BD55" i="4" s="1"/>
  <c r="F55" i="2"/>
  <c r="F55" i="4" s="1"/>
  <c r="D55" i="2"/>
  <c r="D55" i="4" s="1"/>
  <c r="BF54" i="2"/>
  <c r="BF54" i="4" s="1"/>
  <c r="BD54" i="2"/>
  <c r="BD54" i="4" s="1"/>
  <c r="F54" i="2"/>
  <c r="F54" i="4" s="1"/>
  <c r="D54" i="2"/>
  <c r="D54" i="4" s="1"/>
  <c r="BF53" i="2"/>
  <c r="BF53" i="4" s="1"/>
  <c r="BD53" i="2"/>
  <c r="BD53" i="4" s="1"/>
  <c r="F53" i="2"/>
  <c r="F53" i="4" s="1"/>
  <c r="D53" i="2"/>
  <c r="D53" i="4" s="1"/>
  <c r="BF48" i="2"/>
  <c r="BF48" i="4" s="1"/>
  <c r="BD48" i="2"/>
  <c r="BD48" i="4" s="1"/>
  <c r="F48" i="2"/>
  <c r="F48" i="4" s="1"/>
  <c r="D48" i="2"/>
  <c r="D48" i="4" s="1"/>
  <c r="BF47" i="2"/>
  <c r="BF47" i="4" s="1"/>
  <c r="BD47" i="2"/>
  <c r="BD47" i="4" s="1"/>
  <c r="F47" i="2"/>
  <c r="F47" i="4" s="1"/>
  <c r="D47" i="2"/>
  <c r="D47" i="4" s="1"/>
  <c r="BF46" i="2"/>
  <c r="BF46" i="4" s="1"/>
  <c r="BD46" i="2"/>
  <c r="BD46" i="4" s="1"/>
  <c r="F46" i="2"/>
  <c r="F46" i="4" s="1"/>
  <c r="D46" i="2"/>
  <c r="D46" i="4" s="1"/>
  <c r="BF45" i="2"/>
  <c r="BF45" i="4" s="1"/>
  <c r="BD45" i="2"/>
  <c r="BD45" i="4" s="1"/>
  <c r="F45" i="2"/>
  <c r="F45" i="4" s="1"/>
  <c r="D45" i="2"/>
  <c r="D45" i="4" s="1"/>
  <c r="BF44" i="2"/>
  <c r="BF44" i="4" s="1"/>
  <c r="BD44" i="2"/>
  <c r="BD44" i="4" s="1"/>
  <c r="F44" i="2"/>
  <c r="F44" i="4" s="1"/>
  <c r="D44" i="2"/>
  <c r="D44" i="4" s="1"/>
  <c r="BF43" i="2"/>
  <c r="BF43" i="4" s="1"/>
  <c r="BD43" i="2"/>
  <c r="BD43" i="4" s="1"/>
  <c r="F43" i="2"/>
  <c r="F43" i="4" s="1"/>
  <c r="D43" i="2"/>
  <c r="D43" i="4" s="1"/>
  <c r="BF38" i="2"/>
  <c r="BF38" i="4" s="1"/>
  <c r="BD38" i="2"/>
  <c r="BD38" i="4" s="1"/>
  <c r="F38" i="2"/>
  <c r="F38" i="4" s="1"/>
  <c r="D38" i="2"/>
  <c r="D38" i="4" s="1"/>
  <c r="BF37" i="2"/>
  <c r="BF37" i="4" s="1"/>
  <c r="BD37" i="2"/>
  <c r="BD37" i="4" s="1"/>
  <c r="F37" i="2"/>
  <c r="F37" i="4" s="1"/>
  <c r="D37" i="2"/>
  <c r="D37" i="4" s="1"/>
  <c r="BF36" i="2"/>
  <c r="BF36" i="4" s="1"/>
  <c r="BD36" i="2"/>
  <c r="BD36" i="4" s="1"/>
  <c r="F36" i="2"/>
  <c r="F36" i="4" s="1"/>
  <c r="D36" i="2"/>
  <c r="D36" i="4" s="1"/>
  <c r="BF35" i="2"/>
  <c r="BF35" i="4" s="1"/>
  <c r="BD35" i="2"/>
  <c r="BD35" i="4" s="1"/>
  <c r="F35" i="2"/>
  <c r="F35" i="4" s="1"/>
  <c r="D35" i="2"/>
  <c r="D35" i="4" s="1"/>
  <c r="BF34" i="2"/>
  <c r="BF34" i="4" s="1"/>
  <c r="BD34" i="2"/>
  <c r="BD34" i="4" s="1"/>
  <c r="F34" i="2"/>
  <c r="F34" i="4" s="1"/>
  <c r="D34" i="2"/>
  <c r="D34" i="4" s="1"/>
  <c r="BF33" i="2"/>
  <c r="BF33" i="4" s="1"/>
  <c r="BD33" i="2"/>
  <c r="BD33" i="4" s="1"/>
  <c r="F33" i="2"/>
  <c r="F33" i="4" s="1"/>
  <c r="D33" i="2"/>
  <c r="D33" i="4" s="1"/>
  <c r="BF28" i="2"/>
  <c r="BF28" i="4" s="1"/>
  <c r="BD28" i="2"/>
  <c r="BD28" i="4" s="1"/>
  <c r="F28" i="2"/>
  <c r="F28" i="4" s="1"/>
  <c r="D28" i="2"/>
  <c r="D28" i="4" s="1"/>
  <c r="BF27" i="2"/>
  <c r="BF27" i="4" s="1"/>
  <c r="BD27" i="2"/>
  <c r="BD27" i="4" s="1"/>
  <c r="F27" i="2"/>
  <c r="F27" i="4" s="1"/>
  <c r="D27" i="2"/>
  <c r="D27" i="4" s="1"/>
  <c r="BF26" i="2"/>
  <c r="BF26" i="4" s="1"/>
  <c r="BD26" i="2"/>
  <c r="BD26" i="4" s="1"/>
  <c r="F26" i="2"/>
  <c r="F26" i="4" s="1"/>
  <c r="D26" i="2"/>
  <c r="D26" i="4" s="1"/>
  <c r="BF25" i="2"/>
  <c r="BF25" i="4" s="1"/>
  <c r="BD25" i="2"/>
  <c r="BD25" i="4" s="1"/>
  <c r="F25" i="2"/>
  <c r="F25" i="4" s="1"/>
  <c r="D25" i="2"/>
  <c r="D25" i="4" s="1"/>
  <c r="BF24" i="2"/>
  <c r="BF24" i="4" s="1"/>
  <c r="BD24" i="2"/>
  <c r="BD24" i="4" s="1"/>
  <c r="F24" i="2"/>
  <c r="F24" i="4" s="1"/>
  <c r="D24" i="2"/>
  <c r="D24" i="4" s="1"/>
  <c r="BF23" i="2"/>
  <c r="BF23" i="4" s="1"/>
  <c r="BD23" i="2"/>
  <c r="BD23" i="4" s="1"/>
  <c r="F23" i="2"/>
  <c r="F23" i="4" s="1"/>
  <c r="D23" i="2"/>
  <c r="D23" i="4" s="1"/>
  <c r="BF18" i="2"/>
  <c r="BF18" i="4" s="1"/>
  <c r="BD18" i="2"/>
  <c r="BD18" i="4" s="1"/>
  <c r="F18" i="2"/>
  <c r="F18" i="4" s="1"/>
  <c r="D18" i="2"/>
  <c r="D18" i="4" s="1"/>
  <c r="BF17" i="2"/>
  <c r="BF17" i="4" s="1"/>
  <c r="BD17" i="2"/>
  <c r="BD17" i="4" s="1"/>
  <c r="F17" i="2"/>
  <c r="F17" i="4" s="1"/>
  <c r="D17" i="2"/>
  <c r="D17" i="4" s="1"/>
  <c r="BF16" i="2"/>
  <c r="BF16" i="4" s="1"/>
  <c r="BD16" i="2"/>
  <c r="BD16" i="4" s="1"/>
  <c r="F16" i="2"/>
  <c r="F16" i="4" s="1"/>
  <c r="D16" i="2"/>
  <c r="D16" i="4" s="1"/>
  <c r="BF15" i="2"/>
  <c r="BF15" i="4" s="1"/>
  <c r="BD15" i="2"/>
  <c r="BD15" i="4" s="1"/>
  <c r="F15" i="2"/>
  <c r="F15" i="4" s="1"/>
  <c r="D15" i="2"/>
  <c r="D15" i="4" s="1"/>
  <c r="BF14" i="2"/>
  <c r="BF14" i="4" s="1"/>
  <c r="BD14" i="2"/>
  <c r="BD14" i="4" s="1"/>
  <c r="F14" i="2"/>
  <c r="F14" i="4" s="1"/>
  <c r="D14" i="2"/>
  <c r="D14" i="4" s="1"/>
  <c r="BF13" i="2"/>
  <c r="BF13" i="4" s="1"/>
  <c r="BD13" i="2"/>
  <c r="BD13" i="4" s="1"/>
  <c r="F13" i="2"/>
  <c r="F13" i="4" s="1"/>
  <c r="D13" i="2"/>
  <c r="D13" i="4" s="1"/>
  <c r="BF8" i="2"/>
  <c r="BF8" i="4" s="1"/>
  <c r="BD8" i="2"/>
  <c r="BD8" i="4" s="1"/>
  <c r="F8" i="2"/>
  <c r="F8" i="4" s="1"/>
  <c r="D8" i="2"/>
  <c r="D8" i="4" s="1"/>
  <c r="BF7" i="2"/>
  <c r="BF7" i="4" s="1"/>
  <c r="BD7" i="2"/>
  <c r="BD7" i="4" s="1"/>
  <c r="F7" i="2"/>
  <c r="F7" i="4" s="1"/>
  <c r="D7" i="2"/>
  <c r="D7" i="4" s="1"/>
  <c r="BF6" i="2"/>
  <c r="BF6" i="4" s="1"/>
  <c r="BD6" i="2"/>
  <c r="BD6" i="4" s="1"/>
  <c r="F6" i="2"/>
  <c r="F6" i="4" s="1"/>
  <c r="D6" i="2"/>
  <c r="D6" i="4" s="1"/>
  <c r="BF5" i="2"/>
  <c r="BF5" i="4" s="1"/>
  <c r="BD5" i="2"/>
  <c r="BD5" i="4" s="1"/>
  <c r="F5" i="2"/>
  <c r="F5" i="4" s="1"/>
  <c r="D5" i="2"/>
  <c r="D5" i="4" s="1"/>
  <c r="BF4" i="2"/>
  <c r="BF4" i="4" s="1"/>
  <c r="BD4" i="2"/>
  <c r="BD4" i="4" s="1"/>
  <c r="F4" i="2"/>
  <c r="F4" i="4" s="1"/>
  <c r="D4" i="2"/>
  <c r="D4" i="4" s="1"/>
  <c r="BF3" i="2"/>
  <c r="BF3" i="4" s="1"/>
  <c r="BD3" i="2"/>
  <c r="BD3" i="4" s="1"/>
  <c r="F3" i="2"/>
  <c r="F3" i="4" s="1"/>
  <c r="D3" i="2"/>
  <c r="D3" i="4" s="1"/>
  <c r="A84" i="2" l="1"/>
  <c r="A83" i="4"/>
  <c r="J82" i="4"/>
  <c r="J71" i="4"/>
  <c r="BJ82" i="4"/>
  <c r="J67" i="4"/>
  <c r="J86" i="4"/>
  <c r="J75" i="4"/>
  <c r="BJ89" i="4"/>
  <c r="J69" i="4"/>
  <c r="J77" i="4"/>
  <c r="J88" i="4"/>
  <c r="J65" i="4"/>
  <c r="J73" i="4"/>
  <c r="J84" i="4"/>
  <c r="BJ84" i="4"/>
  <c r="J64" i="4"/>
  <c r="J66" i="4"/>
  <c r="J68" i="4"/>
  <c r="J70" i="4"/>
  <c r="J72" i="4"/>
  <c r="J74" i="4"/>
  <c r="J76" i="4"/>
  <c r="J78" i="4"/>
  <c r="J83" i="4"/>
  <c r="J85" i="4"/>
  <c r="J87" i="4"/>
  <c r="BJ83" i="4"/>
  <c r="BJ85" i="4"/>
  <c r="BJ90" i="4"/>
  <c r="BJ94" i="4"/>
  <c r="K8" i="2"/>
  <c r="AY8" i="36" s="1"/>
  <c r="BK8" i="2"/>
  <c r="CY8" i="5" s="1"/>
  <c r="BK38" i="2"/>
  <c r="CY38" i="5" s="1"/>
  <c r="BK46" i="2"/>
  <c r="K56" i="2"/>
  <c r="V53" i="2" s="1"/>
  <c r="K72" i="2"/>
  <c r="K48" i="2"/>
  <c r="K87" i="2"/>
  <c r="AY87" i="5" s="1"/>
  <c r="K28" i="2"/>
  <c r="AY28" i="5" s="1"/>
  <c r="K83" i="2"/>
  <c r="BK18" i="2"/>
  <c r="BS15" i="2" s="1"/>
  <c r="BK36" i="2"/>
  <c r="CY36" i="5" s="1"/>
  <c r="BK48" i="2"/>
  <c r="CY48" i="5" s="1"/>
  <c r="BK58" i="2"/>
  <c r="CY58" i="5" s="1"/>
  <c r="K24" i="2"/>
  <c r="AY24" i="5" s="1"/>
  <c r="K64" i="2"/>
  <c r="K68" i="2"/>
  <c r="AY68" i="5" s="1"/>
  <c r="K14" i="2"/>
  <c r="V14" i="2" s="1"/>
  <c r="K26" i="2"/>
  <c r="V23" i="2" s="1"/>
  <c r="K54" i="2"/>
  <c r="U55" i="2" s="1"/>
  <c r="BK83" i="2"/>
  <c r="CY83" i="5" s="1"/>
  <c r="H4" i="4"/>
  <c r="AX4" i="4" s="1"/>
  <c r="H6" i="4"/>
  <c r="AX6" i="4" s="1"/>
  <c r="H8" i="4"/>
  <c r="AX8" i="4" s="1"/>
  <c r="BH4" i="4"/>
  <c r="CX4" i="4" s="1"/>
  <c r="BK6" i="2"/>
  <c r="CY6" i="5" s="1"/>
  <c r="BH6" i="4"/>
  <c r="CX6" i="4" s="1"/>
  <c r="BH8" i="4"/>
  <c r="CX8" i="4" s="1"/>
  <c r="H14" i="4"/>
  <c r="AX14" i="4" s="1"/>
  <c r="H16" i="4"/>
  <c r="AX16" i="4" s="1"/>
  <c r="K18" i="2"/>
  <c r="S15" i="2" s="1"/>
  <c r="H18" i="4"/>
  <c r="AX18" i="4" s="1"/>
  <c r="BH14" i="4"/>
  <c r="CX14" i="4" s="1"/>
  <c r="BK16" i="2"/>
  <c r="CY16" i="5" s="1"/>
  <c r="BH16" i="4"/>
  <c r="CX16" i="4" s="1"/>
  <c r="BH18" i="4"/>
  <c r="CX18" i="4" s="1"/>
  <c r="H24" i="4"/>
  <c r="AX24" i="4" s="1"/>
  <c r="H26" i="4"/>
  <c r="AX26" i="4" s="1"/>
  <c r="H28" i="4"/>
  <c r="AX28" i="4" s="1"/>
  <c r="BK24" i="2"/>
  <c r="BU25" i="2" s="1"/>
  <c r="BH24" i="4"/>
  <c r="CX24" i="4" s="1"/>
  <c r="BH26" i="4"/>
  <c r="CX26" i="4" s="1"/>
  <c r="BK28" i="2"/>
  <c r="CY28" i="5" s="1"/>
  <c r="BH28" i="4"/>
  <c r="CX28" i="4" s="1"/>
  <c r="H34" i="4"/>
  <c r="AX34" i="4" s="1"/>
  <c r="H36" i="4"/>
  <c r="AX36" i="4" s="1"/>
  <c r="H38" i="4"/>
  <c r="AX38" i="4" s="1"/>
  <c r="BH34" i="4"/>
  <c r="CX34" i="4" s="1"/>
  <c r="BH36" i="4"/>
  <c r="CX36" i="4" s="1"/>
  <c r="BH38" i="4"/>
  <c r="CX38" i="4" s="1"/>
  <c r="H44" i="4"/>
  <c r="AX44" i="4" s="1"/>
  <c r="H46" i="4"/>
  <c r="AX46" i="4" s="1"/>
  <c r="H48" i="4"/>
  <c r="AX48" i="4" s="1"/>
  <c r="BH44" i="4"/>
  <c r="CX44" i="4" s="1"/>
  <c r="BH46" i="4"/>
  <c r="CX46" i="4" s="1"/>
  <c r="BH48" i="4"/>
  <c r="CX48" i="4" s="1"/>
  <c r="H54" i="4"/>
  <c r="AX54" i="4" s="1"/>
  <c r="H56" i="4"/>
  <c r="AX56" i="4" s="1"/>
  <c r="H58" i="4"/>
  <c r="AX58" i="4" s="1"/>
  <c r="BH54" i="4"/>
  <c r="CX54" i="4" s="1"/>
  <c r="BH56" i="4"/>
  <c r="CX56" i="4" s="1"/>
  <c r="BH58" i="4"/>
  <c r="CX58" i="4" s="1"/>
  <c r="H3" i="4"/>
  <c r="AX3" i="4" s="1"/>
  <c r="H5" i="4"/>
  <c r="AX5" i="4" s="1"/>
  <c r="H7" i="4"/>
  <c r="AX7" i="4" s="1"/>
  <c r="BH3" i="4"/>
  <c r="CX3" i="4" s="1"/>
  <c r="BH5" i="4"/>
  <c r="CX5" i="4" s="1"/>
  <c r="BH7" i="4"/>
  <c r="CX7" i="4" s="1"/>
  <c r="H13" i="4"/>
  <c r="AX13" i="4" s="1"/>
  <c r="H15" i="4"/>
  <c r="AX15" i="4" s="1"/>
  <c r="H17" i="4"/>
  <c r="AX17" i="4" s="1"/>
  <c r="BH13" i="4"/>
  <c r="CX13" i="4" s="1"/>
  <c r="BH15" i="4"/>
  <c r="CX15" i="4" s="1"/>
  <c r="BH17" i="4"/>
  <c r="CX17" i="4" s="1"/>
  <c r="H23" i="4"/>
  <c r="AX23" i="4" s="1"/>
  <c r="H25" i="4"/>
  <c r="AX25" i="4" s="1"/>
  <c r="H27" i="4"/>
  <c r="AX27" i="4" s="1"/>
  <c r="BH23" i="4"/>
  <c r="CX23" i="4" s="1"/>
  <c r="BH25" i="4"/>
  <c r="CX25" i="4" s="1"/>
  <c r="BH27" i="4"/>
  <c r="CX27" i="4" s="1"/>
  <c r="H33" i="4"/>
  <c r="AX33" i="4" s="1"/>
  <c r="H35" i="4"/>
  <c r="AX35" i="4" s="1"/>
  <c r="H37" i="4"/>
  <c r="AX37" i="4" s="1"/>
  <c r="BH33" i="4"/>
  <c r="CX33" i="4" s="1"/>
  <c r="BH35" i="4"/>
  <c r="CX35" i="4" s="1"/>
  <c r="BH37" i="4"/>
  <c r="CX37" i="4" s="1"/>
  <c r="H43" i="4"/>
  <c r="AX43" i="4" s="1"/>
  <c r="H45" i="4"/>
  <c r="AX45" i="4" s="1"/>
  <c r="H47" i="4"/>
  <c r="AX47" i="4" s="1"/>
  <c r="BH43" i="4"/>
  <c r="CX43" i="4" s="1"/>
  <c r="BH45" i="4"/>
  <c r="CX45" i="4" s="1"/>
  <c r="BH47" i="4"/>
  <c r="CX47" i="4" s="1"/>
  <c r="H53" i="4"/>
  <c r="AX53" i="4" s="1"/>
  <c r="H55" i="4"/>
  <c r="AX55" i="4" s="1"/>
  <c r="H57" i="4"/>
  <c r="AX57" i="4" s="1"/>
  <c r="BH53" i="4"/>
  <c r="CX53" i="4" s="1"/>
  <c r="BH55" i="4"/>
  <c r="CX55" i="4" s="1"/>
  <c r="BH57" i="4"/>
  <c r="CX57" i="4" s="1"/>
  <c r="K3" i="2"/>
  <c r="T2" i="2" s="1"/>
  <c r="V2" i="2"/>
  <c r="K15" i="2"/>
  <c r="U12" i="2" s="1"/>
  <c r="K17" i="2"/>
  <c r="U13" i="2" s="1"/>
  <c r="BK13" i="2"/>
  <c r="K25" i="2"/>
  <c r="U22" i="2" s="1"/>
  <c r="K27" i="2"/>
  <c r="BK27" i="2"/>
  <c r="BT24" i="2" s="1"/>
  <c r="K33" i="2"/>
  <c r="T32" i="2" s="1"/>
  <c r="K35" i="2"/>
  <c r="AY35" i="5" s="1"/>
  <c r="BK35" i="2"/>
  <c r="BU32" i="2" s="1"/>
  <c r="K43" i="2"/>
  <c r="T42" i="2" s="1"/>
  <c r="K45" i="2"/>
  <c r="S44" i="2" s="1"/>
  <c r="K53" i="2"/>
  <c r="T52" i="2" s="1"/>
  <c r="K57" i="2"/>
  <c r="BK57" i="2"/>
  <c r="CY57" i="5" s="1"/>
  <c r="K63" i="2"/>
  <c r="AY63" i="5" s="1"/>
  <c r="K65" i="2"/>
  <c r="AY65" i="5" s="1"/>
  <c r="K67" i="2"/>
  <c r="K71" i="2"/>
  <c r="K86" i="2"/>
  <c r="BK37" i="2"/>
  <c r="BV12" i="2"/>
  <c r="BV3" i="2"/>
  <c r="K5" i="2"/>
  <c r="AY5" i="5" s="1"/>
  <c r="BK43" i="2"/>
  <c r="BS43" i="2" s="1"/>
  <c r="BK15" i="2"/>
  <c r="CY15" i="5" s="1"/>
  <c r="BK17" i="2"/>
  <c r="CY17" i="5" s="1"/>
  <c r="BV22" i="2"/>
  <c r="S25" i="2"/>
  <c r="BK33" i="2"/>
  <c r="V54" i="2"/>
  <c r="K82" i="2"/>
  <c r="BK82" i="2"/>
  <c r="CY82" i="5" s="1"/>
  <c r="K75" i="2"/>
  <c r="BK3" i="2"/>
  <c r="K4" i="2"/>
  <c r="AY4" i="5" s="1"/>
  <c r="K13" i="2"/>
  <c r="BK34" i="2"/>
  <c r="CY34" i="5" s="1"/>
  <c r="K7" i="2"/>
  <c r="S5" i="2"/>
  <c r="BK7" i="2"/>
  <c r="CY7" i="5" s="1"/>
  <c r="S9" i="2"/>
  <c r="K6" i="2"/>
  <c r="BK5" i="2"/>
  <c r="CY5" i="5" s="1"/>
  <c r="BK14" i="2"/>
  <c r="CY14" i="5" s="1"/>
  <c r="K16" i="2"/>
  <c r="K23" i="2"/>
  <c r="BK25" i="2"/>
  <c r="CY25" i="5" s="1"/>
  <c r="BK55" i="2"/>
  <c r="CY55" i="5" s="1"/>
  <c r="BK4" i="2"/>
  <c r="CY4" i="5" s="1"/>
  <c r="BT12" i="2"/>
  <c r="BK23" i="2"/>
  <c r="BK26" i="2"/>
  <c r="CY26" i="5" s="1"/>
  <c r="K34" i="2"/>
  <c r="K37" i="2"/>
  <c r="BK56" i="2"/>
  <c r="CY56" i="5" s="1"/>
  <c r="BK44" i="2"/>
  <c r="CY44" i="5" s="1"/>
  <c r="BK53" i="2"/>
  <c r="K36" i="2"/>
  <c r="BK45" i="2"/>
  <c r="CY45" i="5" s="1"/>
  <c r="BK47" i="2"/>
  <c r="CY47" i="5" s="1"/>
  <c r="K38" i="2"/>
  <c r="K55" i="2"/>
  <c r="K58" i="2"/>
  <c r="K44" i="2"/>
  <c r="K46" i="2"/>
  <c r="AY46" i="5" s="1"/>
  <c r="K47" i="2"/>
  <c r="BK54" i="2"/>
  <c r="CY54" i="5" s="1"/>
  <c r="K69" i="2"/>
  <c r="A85" i="2"/>
  <c r="BK85" i="2"/>
  <c r="CY85" i="5" s="1"/>
  <c r="R196" i="25"/>
  <c r="CX58" i="36"/>
  <c r="R112" i="25"/>
  <c r="CX57" i="36"/>
  <c r="CX56" i="36"/>
  <c r="CX55" i="36"/>
  <c r="CX54" i="36"/>
  <c r="CX53" i="36"/>
  <c r="R90" i="25"/>
  <c r="R83" i="25"/>
  <c r="AX58" i="36"/>
  <c r="R82" i="25"/>
  <c r="R110" i="25"/>
  <c r="R103" i="25"/>
  <c r="R102" i="25"/>
  <c r="CX47" i="36"/>
  <c r="CX46" i="36"/>
  <c r="CX45" i="36"/>
  <c r="CX44" i="36"/>
  <c r="CX43" i="36"/>
  <c r="R73" i="25"/>
  <c r="AX48" i="36"/>
  <c r="AX43" i="36"/>
  <c r="R100" i="25"/>
  <c r="CX38" i="36"/>
  <c r="R92" i="25"/>
  <c r="CX37" i="36"/>
  <c r="CX36" i="36"/>
  <c r="CX35" i="36"/>
  <c r="CX34" i="36"/>
  <c r="CX33" i="36"/>
  <c r="R70" i="25"/>
  <c r="R63" i="25"/>
  <c r="AX38" i="36"/>
  <c r="R62" i="25"/>
  <c r="AX36" i="36"/>
  <c r="R60" i="25"/>
  <c r="R53" i="25"/>
  <c r="R52" i="25"/>
  <c r="CX27" i="36"/>
  <c r="CX26" i="36"/>
  <c r="CX25" i="36"/>
  <c r="CX24" i="36"/>
  <c r="CX23" i="36"/>
  <c r="R23" i="25"/>
  <c r="AX28" i="36"/>
  <c r="AX27" i="36"/>
  <c r="R50" i="25"/>
  <c r="CX17" i="36"/>
  <c r="CX16" i="36"/>
  <c r="CX15" i="36"/>
  <c r="CX14" i="36"/>
  <c r="CX13" i="36"/>
  <c r="R20" i="25"/>
  <c r="R13" i="25"/>
  <c r="AX18" i="36"/>
  <c r="R12" i="25"/>
  <c r="R40" i="25"/>
  <c r="R33" i="25"/>
  <c r="R32" i="25"/>
  <c r="CX7" i="36"/>
  <c r="CX6" i="36"/>
  <c r="CX5" i="36"/>
  <c r="CX4" i="36"/>
  <c r="CX3" i="36"/>
  <c r="R3" i="25"/>
  <c r="AX8" i="36"/>
  <c r="AX3" i="36"/>
  <c r="AB196" i="25"/>
  <c r="AI31" i="6"/>
  <c r="AB120" i="25"/>
  <c r="AB113" i="25"/>
  <c r="AB112" i="25"/>
  <c r="CX57" i="34"/>
  <c r="CX56" i="34"/>
  <c r="CX55" i="34"/>
  <c r="CX54" i="34"/>
  <c r="CX53" i="34"/>
  <c r="AB83" i="25"/>
  <c r="AX58" i="34"/>
  <c r="AB110" i="25"/>
  <c r="AB102" i="25"/>
  <c r="CX47" i="34"/>
  <c r="CX46" i="34"/>
  <c r="CX45" i="34"/>
  <c r="CX44" i="34"/>
  <c r="CX43" i="34"/>
  <c r="AB80" i="25"/>
  <c r="AX48" i="34"/>
  <c r="AB72" i="25"/>
  <c r="AX47" i="34"/>
  <c r="AB100" i="25"/>
  <c r="AB93" i="25"/>
  <c r="AB92" i="25"/>
  <c r="CX37" i="34"/>
  <c r="CX36" i="34"/>
  <c r="CX35" i="34"/>
  <c r="CX34" i="34"/>
  <c r="CX33" i="34"/>
  <c r="AB63" i="25"/>
  <c r="AX38" i="34"/>
  <c r="AB52" i="25"/>
  <c r="CX27" i="34"/>
  <c r="CX26" i="34"/>
  <c r="CX25" i="34"/>
  <c r="CX24" i="34"/>
  <c r="CX23" i="34"/>
  <c r="AB30" i="25"/>
  <c r="AB23" i="25"/>
  <c r="AX28" i="34"/>
  <c r="AB22" i="25"/>
  <c r="AB50" i="25"/>
  <c r="AB43" i="25"/>
  <c r="AB42" i="25"/>
  <c r="CX17" i="34"/>
  <c r="CX16" i="34"/>
  <c r="CX15" i="34"/>
  <c r="CX14" i="34"/>
  <c r="CX13" i="34"/>
  <c r="AB13" i="25"/>
  <c r="AX18" i="34"/>
  <c r="AB40" i="25"/>
  <c r="AB32" i="25"/>
  <c r="CX7" i="34"/>
  <c r="CX6" i="34"/>
  <c r="CX5" i="34"/>
  <c r="CX4" i="34"/>
  <c r="CX3" i="34"/>
  <c r="AB10" i="25"/>
  <c r="AX8" i="34"/>
  <c r="AB2" i="25"/>
  <c r="M196" i="25"/>
  <c r="M120" i="25"/>
  <c r="CX57" i="5"/>
  <c r="CX56" i="5"/>
  <c r="CX55" i="5"/>
  <c r="CX54" i="5"/>
  <c r="CX53" i="5"/>
  <c r="M90" i="25"/>
  <c r="M83" i="25"/>
  <c r="AX58" i="5"/>
  <c r="M82" i="25"/>
  <c r="M110" i="25"/>
  <c r="M103" i="25"/>
  <c r="M102" i="25"/>
  <c r="CX47" i="5"/>
  <c r="CX46" i="5"/>
  <c r="CX45" i="5"/>
  <c r="CX44" i="5"/>
  <c r="CX43" i="5"/>
  <c r="M73" i="25"/>
  <c r="AX48" i="5"/>
  <c r="AX45" i="5"/>
  <c r="M92" i="25"/>
  <c r="CX37" i="5"/>
  <c r="CX36" i="5"/>
  <c r="CX35" i="5"/>
  <c r="CX34" i="5"/>
  <c r="CX33" i="5"/>
  <c r="M70" i="25"/>
  <c r="M63" i="25"/>
  <c r="AX38" i="5"/>
  <c r="M62" i="25"/>
  <c r="AX36" i="5"/>
  <c r="M60" i="25"/>
  <c r="M53" i="25"/>
  <c r="M52" i="25"/>
  <c r="CX27" i="5"/>
  <c r="CX26" i="5"/>
  <c r="CX25" i="5"/>
  <c r="CX24" i="5"/>
  <c r="CX23" i="5"/>
  <c r="M23" i="25"/>
  <c r="AX28" i="5"/>
  <c r="M50" i="25"/>
  <c r="M42" i="25"/>
  <c r="CX17" i="5"/>
  <c r="CX16" i="5"/>
  <c r="CX15" i="5"/>
  <c r="CX14" i="5"/>
  <c r="CX13" i="5"/>
  <c r="M20" i="25"/>
  <c r="M13" i="25"/>
  <c r="AX18" i="5"/>
  <c r="M12" i="25"/>
  <c r="AX17" i="5"/>
  <c r="M40" i="25"/>
  <c r="M33" i="25"/>
  <c r="M32" i="25"/>
  <c r="CX7" i="5"/>
  <c r="CX6" i="5"/>
  <c r="CX5" i="5"/>
  <c r="CX4" i="5"/>
  <c r="CX3" i="5"/>
  <c r="M3" i="25"/>
  <c r="AX8" i="5"/>
  <c r="AX5" i="5"/>
  <c r="J176" i="25"/>
  <c r="J146" i="25"/>
  <c r="J126" i="25"/>
  <c r="J87" i="25"/>
  <c r="J107" i="25"/>
  <c r="H75" i="25"/>
  <c r="H94" i="25"/>
  <c r="R120" i="25"/>
  <c r="R113" i="25"/>
  <c r="R93" i="25"/>
  <c r="R80" i="25"/>
  <c r="R72" i="25"/>
  <c r="R43" i="25"/>
  <c r="R42" i="25"/>
  <c r="R30" i="25"/>
  <c r="R22" i="25"/>
  <c r="R10" i="25"/>
  <c r="R2" i="25"/>
  <c r="AY1" i="6"/>
  <c r="AK3" i="6"/>
  <c r="A82" i="36"/>
  <c r="A78" i="36"/>
  <c r="A77" i="36"/>
  <c r="A76" i="36"/>
  <c r="A75" i="36"/>
  <c r="A74" i="36"/>
  <c r="A73" i="36"/>
  <c r="A72" i="36"/>
  <c r="A71" i="36"/>
  <c r="A70" i="36"/>
  <c r="A69" i="36"/>
  <c r="A68" i="36"/>
  <c r="A67" i="36"/>
  <c r="A66" i="36"/>
  <c r="A65" i="36"/>
  <c r="A64" i="36"/>
  <c r="A63" i="36"/>
  <c r="BA58" i="36"/>
  <c r="A58" i="36"/>
  <c r="BA57" i="36"/>
  <c r="A57" i="36"/>
  <c r="BA56" i="36"/>
  <c r="A56" i="36"/>
  <c r="BA55" i="36"/>
  <c r="A55" i="36"/>
  <c r="BA54" i="36"/>
  <c r="A54" i="36"/>
  <c r="BA53" i="36"/>
  <c r="A53" i="36"/>
  <c r="BA48" i="36"/>
  <c r="A48" i="36"/>
  <c r="BA47" i="36"/>
  <c r="A47" i="36"/>
  <c r="BA46" i="36"/>
  <c r="A46" i="36"/>
  <c r="DB45" i="36"/>
  <c r="BA45" i="36"/>
  <c r="A45" i="36"/>
  <c r="BA44" i="36"/>
  <c r="A44" i="36"/>
  <c r="BA43" i="36"/>
  <c r="A43" i="36"/>
  <c r="DB38" i="36"/>
  <c r="BA38" i="36"/>
  <c r="A38" i="36"/>
  <c r="BA37" i="36"/>
  <c r="A37" i="36"/>
  <c r="BA36" i="36"/>
  <c r="A36" i="36"/>
  <c r="BA35" i="36"/>
  <c r="A35" i="36"/>
  <c r="BA34" i="36"/>
  <c r="A34" i="36"/>
  <c r="BA33" i="36"/>
  <c r="A33" i="36"/>
  <c r="DB32" i="36"/>
  <c r="BA28" i="36"/>
  <c r="A28" i="36"/>
  <c r="BA27" i="36"/>
  <c r="A27" i="36"/>
  <c r="BA26" i="36"/>
  <c r="A26" i="36"/>
  <c r="DB25" i="36"/>
  <c r="BA25" i="36"/>
  <c r="A25" i="36"/>
  <c r="BA24" i="36"/>
  <c r="A24" i="36"/>
  <c r="BA23" i="36"/>
  <c r="A23" i="36"/>
  <c r="DB19" i="36"/>
  <c r="BA18" i="36"/>
  <c r="A18" i="36"/>
  <c r="BA17" i="36"/>
  <c r="A17" i="36"/>
  <c r="BA16" i="36"/>
  <c r="A16" i="36"/>
  <c r="BA15" i="36"/>
  <c r="A15" i="36"/>
  <c r="DB14" i="36"/>
  <c r="BA14" i="36"/>
  <c r="A14" i="36"/>
  <c r="BA13" i="36"/>
  <c r="A13" i="36"/>
  <c r="DB9" i="36"/>
  <c r="BA8" i="36"/>
  <c r="A8" i="36"/>
  <c r="BA7" i="36"/>
  <c r="A7" i="36"/>
  <c r="BA6" i="36"/>
  <c r="A6" i="36"/>
  <c r="BA5" i="36"/>
  <c r="A5" i="36"/>
  <c r="BA4" i="36"/>
  <c r="A4" i="36"/>
  <c r="DB3" i="36"/>
  <c r="BA3" i="36"/>
  <c r="A3" i="36"/>
  <c r="H188" i="25"/>
  <c r="J76" i="25"/>
  <c r="K185" i="25"/>
  <c r="K184" i="25"/>
  <c r="K183" i="25"/>
  <c r="K195" i="25"/>
  <c r="K194" i="25"/>
  <c r="K192" i="25"/>
  <c r="K191" i="25"/>
  <c r="K190" i="25"/>
  <c r="I154" i="25"/>
  <c r="G154" i="25"/>
  <c r="E154" i="25"/>
  <c r="A154" i="25"/>
  <c r="I152" i="25"/>
  <c r="G152" i="25"/>
  <c r="E152" i="25"/>
  <c r="A152" i="25"/>
  <c r="I150" i="25"/>
  <c r="G150" i="25"/>
  <c r="E150" i="25"/>
  <c r="A150" i="25"/>
  <c r="I148" i="25"/>
  <c r="G148" i="25"/>
  <c r="E148" i="25"/>
  <c r="A148" i="25"/>
  <c r="I146" i="25"/>
  <c r="G146" i="25"/>
  <c r="E146" i="25"/>
  <c r="A146" i="25"/>
  <c r="I144" i="25"/>
  <c r="G144" i="25"/>
  <c r="E144" i="25"/>
  <c r="A144" i="25"/>
  <c r="I142" i="25"/>
  <c r="G142" i="25"/>
  <c r="E142" i="25"/>
  <c r="A142" i="25"/>
  <c r="I140" i="25"/>
  <c r="G140" i="25"/>
  <c r="E140" i="25"/>
  <c r="A140" i="25"/>
  <c r="I138" i="25"/>
  <c r="G138" i="25"/>
  <c r="E138" i="25"/>
  <c r="A138" i="25"/>
  <c r="I136" i="25"/>
  <c r="G136" i="25"/>
  <c r="E136" i="25"/>
  <c r="A136" i="25"/>
  <c r="I134" i="25"/>
  <c r="G134" i="25"/>
  <c r="E134" i="25"/>
  <c r="A134" i="25"/>
  <c r="I132" i="25"/>
  <c r="G132" i="25"/>
  <c r="E132" i="25"/>
  <c r="A132" i="25"/>
  <c r="I130" i="25"/>
  <c r="G130" i="25"/>
  <c r="E130" i="25"/>
  <c r="A130" i="25"/>
  <c r="I128" i="25"/>
  <c r="G128" i="25"/>
  <c r="E128" i="25"/>
  <c r="A128" i="25"/>
  <c r="I126" i="25"/>
  <c r="G126" i="25"/>
  <c r="E126" i="25"/>
  <c r="A126" i="25"/>
  <c r="I124" i="25"/>
  <c r="G124" i="25"/>
  <c r="E124" i="25"/>
  <c r="A124" i="25"/>
  <c r="G123" i="25"/>
  <c r="C123" i="25"/>
  <c r="B123" i="25"/>
  <c r="B122" i="25"/>
  <c r="I198" i="25"/>
  <c r="G198" i="25"/>
  <c r="E198" i="25"/>
  <c r="I193" i="25"/>
  <c r="G193" i="25"/>
  <c r="E193" i="25"/>
  <c r="I188" i="25"/>
  <c r="G188" i="25"/>
  <c r="E188" i="25"/>
  <c r="I186" i="25"/>
  <c r="G186" i="25"/>
  <c r="E186" i="25"/>
  <c r="B196" i="25"/>
  <c r="B191" i="25"/>
  <c r="B184" i="25"/>
  <c r="I172" i="25"/>
  <c r="G172" i="25"/>
  <c r="E172" i="25"/>
  <c r="I170" i="25"/>
  <c r="G170" i="25"/>
  <c r="E170" i="25"/>
  <c r="I168" i="25"/>
  <c r="G168" i="25"/>
  <c r="E168" i="25"/>
  <c r="I166" i="25"/>
  <c r="G166" i="25"/>
  <c r="E166" i="25"/>
  <c r="I164" i="25"/>
  <c r="G164" i="25"/>
  <c r="E164" i="25"/>
  <c r="I162" i="25"/>
  <c r="G162" i="25"/>
  <c r="E162" i="25"/>
  <c r="I160" i="25"/>
  <c r="G160" i="25"/>
  <c r="E160" i="25"/>
  <c r="I158" i="25"/>
  <c r="G158" i="25"/>
  <c r="E158" i="25"/>
  <c r="A158" i="25"/>
  <c r="B156" i="25"/>
  <c r="I182" i="25"/>
  <c r="G182" i="25"/>
  <c r="E182" i="25"/>
  <c r="I180" i="25"/>
  <c r="G180" i="25"/>
  <c r="E180" i="25"/>
  <c r="I178" i="25"/>
  <c r="G178" i="25"/>
  <c r="E178" i="25"/>
  <c r="I176" i="25"/>
  <c r="G176" i="25"/>
  <c r="E176" i="25"/>
  <c r="B174" i="25"/>
  <c r="AH31" i="6"/>
  <c r="AB90" i="25"/>
  <c r="AB82" i="25"/>
  <c r="AB103" i="25"/>
  <c r="AB73" i="25"/>
  <c r="AB70" i="25"/>
  <c r="AB62" i="25"/>
  <c r="AB60" i="25"/>
  <c r="AB53" i="25"/>
  <c r="AB20" i="25"/>
  <c r="AB12" i="25"/>
  <c r="AB33" i="25"/>
  <c r="AB3" i="25"/>
  <c r="A82" i="34"/>
  <c r="A78" i="34"/>
  <c r="A77" i="34"/>
  <c r="A76" i="34"/>
  <c r="A75" i="34"/>
  <c r="A74" i="34"/>
  <c r="A73" i="34"/>
  <c r="A72" i="34"/>
  <c r="A71" i="34"/>
  <c r="A70" i="34"/>
  <c r="A69" i="34"/>
  <c r="A68" i="34"/>
  <c r="A67" i="34"/>
  <c r="A66" i="34"/>
  <c r="A65" i="34"/>
  <c r="A64" i="34"/>
  <c r="A63" i="34"/>
  <c r="BA58" i="34"/>
  <c r="A58" i="34"/>
  <c r="BA57" i="34"/>
  <c r="A57" i="34"/>
  <c r="BA56" i="34"/>
  <c r="A56" i="34"/>
  <c r="BA55" i="34"/>
  <c r="A55" i="34"/>
  <c r="BA54" i="34"/>
  <c r="A54" i="34"/>
  <c r="BA53" i="34"/>
  <c r="A53" i="34"/>
  <c r="BA48" i="34"/>
  <c r="A48" i="34"/>
  <c r="BA47" i="34"/>
  <c r="A47" i="34"/>
  <c r="BA46" i="34"/>
  <c r="A46" i="34"/>
  <c r="DB45" i="34"/>
  <c r="BA45" i="34"/>
  <c r="A45" i="34"/>
  <c r="BA44" i="34"/>
  <c r="A44" i="34"/>
  <c r="BA43" i="34"/>
  <c r="A43" i="34"/>
  <c r="DB38" i="34"/>
  <c r="BA38" i="34"/>
  <c r="A38" i="34"/>
  <c r="BA37" i="34"/>
  <c r="A37" i="34"/>
  <c r="BA36" i="34"/>
  <c r="A36" i="34"/>
  <c r="BA35" i="34"/>
  <c r="A35" i="34"/>
  <c r="BA34" i="34"/>
  <c r="A34" i="34"/>
  <c r="BA33" i="34"/>
  <c r="A33" i="34"/>
  <c r="DB32" i="34"/>
  <c r="BA28" i="34"/>
  <c r="A28" i="34"/>
  <c r="BA27" i="34"/>
  <c r="A27" i="34"/>
  <c r="BA26" i="34"/>
  <c r="A26" i="34"/>
  <c r="DB25" i="34"/>
  <c r="BA25" i="34"/>
  <c r="A25" i="34"/>
  <c r="BA24" i="34"/>
  <c r="A24" i="34"/>
  <c r="BA23" i="34"/>
  <c r="A23" i="34"/>
  <c r="DB19" i="34"/>
  <c r="BA18" i="34"/>
  <c r="A18" i="34"/>
  <c r="BA17" i="34"/>
  <c r="A17" i="34"/>
  <c r="BA16" i="34"/>
  <c r="A16" i="34"/>
  <c r="BA15" i="34"/>
  <c r="A15" i="34"/>
  <c r="DB14" i="34"/>
  <c r="BA14" i="34"/>
  <c r="A14" i="34"/>
  <c r="BA13" i="34"/>
  <c r="A13" i="34"/>
  <c r="DB9" i="34"/>
  <c r="BA8" i="34"/>
  <c r="A8" i="34"/>
  <c r="BA7" i="34"/>
  <c r="A7" i="34"/>
  <c r="BA6" i="34"/>
  <c r="A6" i="34"/>
  <c r="BA5" i="34"/>
  <c r="A5" i="34"/>
  <c r="BA4" i="34"/>
  <c r="A4" i="34"/>
  <c r="DB3" i="34"/>
  <c r="BA3" i="34"/>
  <c r="A3" i="34"/>
  <c r="G120" i="25"/>
  <c r="I119" i="25"/>
  <c r="G119" i="25"/>
  <c r="E119" i="25"/>
  <c r="A119" i="25"/>
  <c r="I118" i="25"/>
  <c r="G118" i="25"/>
  <c r="E118" i="25"/>
  <c r="A118" i="25"/>
  <c r="I117" i="25"/>
  <c r="G117" i="25"/>
  <c r="E117" i="25"/>
  <c r="A117" i="25"/>
  <c r="I116" i="25"/>
  <c r="G116" i="25"/>
  <c r="E116" i="25"/>
  <c r="A116" i="25"/>
  <c r="I115" i="25"/>
  <c r="G115" i="25"/>
  <c r="E115" i="25"/>
  <c r="A115" i="25"/>
  <c r="I114" i="25"/>
  <c r="G114" i="25"/>
  <c r="E114" i="25"/>
  <c r="A114" i="25"/>
  <c r="G113" i="25"/>
  <c r="C113" i="25"/>
  <c r="B113" i="25"/>
  <c r="G112" i="25"/>
  <c r="C112" i="25"/>
  <c r="G110" i="25"/>
  <c r="I109" i="25"/>
  <c r="G109" i="25"/>
  <c r="E109" i="25"/>
  <c r="A109" i="25"/>
  <c r="I108" i="25"/>
  <c r="G108" i="25"/>
  <c r="E108" i="25"/>
  <c r="A108" i="25"/>
  <c r="I107" i="25"/>
  <c r="G107" i="25"/>
  <c r="E107" i="25"/>
  <c r="A107" i="25"/>
  <c r="I106" i="25"/>
  <c r="G106" i="25"/>
  <c r="E106" i="25"/>
  <c r="A106" i="25"/>
  <c r="I105" i="25"/>
  <c r="G105" i="25"/>
  <c r="E105" i="25"/>
  <c r="A105" i="25"/>
  <c r="I104" i="25"/>
  <c r="G104" i="25"/>
  <c r="E104" i="25"/>
  <c r="A104" i="25"/>
  <c r="G103" i="25"/>
  <c r="C103" i="25"/>
  <c r="B103" i="25"/>
  <c r="G102" i="25"/>
  <c r="C102" i="25"/>
  <c r="K120" i="25"/>
  <c r="K113" i="25"/>
  <c r="K112" i="25"/>
  <c r="K111" i="25"/>
  <c r="K110" i="25"/>
  <c r="K103" i="25"/>
  <c r="K102" i="25"/>
  <c r="K101" i="25"/>
  <c r="K100" i="25"/>
  <c r="I100" i="25"/>
  <c r="G100" i="25"/>
  <c r="I99" i="25"/>
  <c r="G99" i="25"/>
  <c r="E99" i="25"/>
  <c r="A99" i="25"/>
  <c r="I98" i="25"/>
  <c r="G98" i="25"/>
  <c r="E98" i="25"/>
  <c r="A98" i="25"/>
  <c r="I97" i="25"/>
  <c r="G97" i="25"/>
  <c r="E97" i="25"/>
  <c r="A97" i="25"/>
  <c r="I96" i="25"/>
  <c r="G96" i="25"/>
  <c r="E96" i="25"/>
  <c r="A96" i="25"/>
  <c r="I95" i="25"/>
  <c r="G95" i="25"/>
  <c r="E95" i="25"/>
  <c r="A95" i="25"/>
  <c r="I94" i="25"/>
  <c r="G94" i="25"/>
  <c r="E94" i="25"/>
  <c r="A94" i="25"/>
  <c r="G93" i="25"/>
  <c r="C93" i="25"/>
  <c r="B93" i="25"/>
  <c r="G92" i="25"/>
  <c r="C92" i="25"/>
  <c r="B112" i="25"/>
  <c r="B102" i="25"/>
  <c r="B92" i="25"/>
  <c r="I89" i="25"/>
  <c r="G89" i="25"/>
  <c r="E89" i="25"/>
  <c r="A89" i="25"/>
  <c r="I88" i="25"/>
  <c r="G88" i="25"/>
  <c r="E88" i="25"/>
  <c r="A88" i="25"/>
  <c r="I87" i="25"/>
  <c r="G87" i="25"/>
  <c r="E87" i="25"/>
  <c r="A87" i="25"/>
  <c r="I86" i="25"/>
  <c r="G86" i="25"/>
  <c r="E86" i="25"/>
  <c r="A86" i="25"/>
  <c r="I85" i="25"/>
  <c r="G85" i="25"/>
  <c r="E85" i="25"/>
  <c r="A85" i="25"/>
  <c r="I84" i="25"/>
  <c r="G84" i="25"/>
  <c r="E84" i="25"/>
  <c r="A84" i="25"/>
  <c r="G83" i="25"/>
  <c r="C83" i="25"/>
  <c r="B83" i="25"/>
  <c r="G82" i="25"/>
  <c r="C82" i="25"/>
  <c r="B82" i="25"/>
  <c r="I79" i="25"/>
  <c r="G79" i="25"/>
  <c r="E79" i="25"/>
  <c r="A79" i="25"/>
  <c r="I78" i="25"/>
  <c r="G78" i="25"/>
  <c r="E78" i="25"/>
  <c r="A78" i="25"/>
  <c r="I77" i="25"/>
  <c r="G77" i="25"/>
  <c r="E77" i="25"/>
  <c r="A77" i="25"/>
  <c r="I76" i="25"/>
  <c r="G76" i="25"/>
  <c r="E76" i="25"/>
  <c r="A76" i="25"/>
  <c r="I75" i="25"/>
  <c r="G75" i="25"/>
  <c r="E75" i="25"/>
  <c r="A75" i="25"/>
  <c r="I74" i="25"/>
  <c r="G74" i="25"/>
  <c r="E74" i="25"/>
  <c r="A74" i="25"/>
  <c r="G73" i="25"/>
  <c r="C73" i="25"/>
  <c r="B73" i="25"/>
  <c r="C72" i="25"/>
  <c r="B72" i="25"/>
  <c r="G72" i="25"/>
  <c r="G71" i="25"/>
  <c r="G70" i="25"/>
  <c r="G69" i="25"/>
  <c r="G68" i="25"/>
  <c r="G67" i="25"/>
  <c r="G66" i="25"/>
  <c r="G64" i="25"/>
  <c r="G63" i="25"/>
  <c r="G62" i="25"/>
  <c r="G61" i="25"/>
  <c r="I69" i="25"/>
  <c r="E69" i="25"/>
  <c r="A69" i="25"/>
  <c r="I68" i="25"/>
  <c r="E68" i="25"/>
  <c r="A68" i="25"/>
  <c r="I67" i="25"/>
  <c r="E67" i="25"/>
  <c r="A67" i="25"/>
  <c r="I66" i="25"/>
  <c r="E66" i="25"/>
  <c r="A66" i="25"/>
  <c r="I65" i="25"/>
  <c r="G65" i="25"/>
  <c r="E65" i="25"/>
  <c r="A65" i="25"/>
  <c r="I64" i="25"/>
  <c r="E64" i="25"/>
  <c r="A64" i="25"/>
  <c r="C63" i="25"/>
  <c r="B63" i="25"/>
  <c r="C62" i="25"/>
  <c r="B62" i="25"/>
  <c r="A82" i="5"/>
  <c r="A78" i="5"/>
  <c r="A77" i="5"/>
  <c r="A76" i="5"/>
  <c r="A75" i="5"/>
  <c r="A74" i="5"/>
  <c r="A73" i="5"/>
  <c r="A72" i="5"/>
  <c r="A71" i="5"/>
  <c r="A70" i="5"/>
  <c r="A69" i="5"/>
  <c r="A68" i="5"/>
  <c r="A67" i="5"/>
  <c r="A66" i="5"/>
  <c r="A65" i="5"/>
  <c r="A64" i="5"/>
  <c r="A63" i="5"/>
  <c r="BA58" i="5"/>
  <c r="A58" i="5"/>
  <c r="BA57" i="5"/>
  <c r="A57" i="5"/>
  <c r="BA56" i="5"/>
  <c r="A56" i="5"/>
  <c r="BA55" i="5"/>
  <c r="A55" i="5"/>
  <c r="BA54" i="5"/>
  <c r="A54" i="5"/>
  <c r="BA53" i="5"/>
  <c r="A53" i="5"/>
  <c r="BA48" i="5"/>
  <c r="A48" i="5"/>
  <c r="BA47" i="5"/>
  <c r="A47" i="5"/>
  <c r="BA46" i="5"/>
  <c r="A46" i="5"/>
  <c r="DB45" i="5"/>
  <c r="BA45" i="5"/>
  <c r="A45" i="5"/>
  <c r="BA44" i="5"/>
  <c r="A44" i="5"/>
  <c r="BA43" i="5"/>
  <c r="A43" i="5"/>
  <c r="DB38" i="5"/>
  <c r="BA38" i="5"/>
  <c r="A38" i="5"/>
  <c r="BA37" i="5"/>
  <c r="A37" i="5"/>
  <c r="BA36" i="5"/>
  <c r="A36" i="5"/>
  <c r="BA35" i="5"/>
  <c r="A35" i="5"/>
  <c r="BA34" i="5"/>
  <c r="A34" i="5"/>
  <c r="BA33" i="5"/>
  <c r="A33" i="5"/>
  <c r="DB32" i="5"/>
  <c r="BA28" i="5"/>
  <c r="A28" i="5"/>
  <c r="BA27" i="5"/>
  <c r="A27" i="5"/>
  <c r="BA26" i="5"/>
  <c r="A26" i="5"/>
  <c r="DB25" i="5"/>
  <c r="BA25" i="5"/>
  <c r="A25" i="5"/>
  <c r="BA24" i="5"/>
  <c r="A24" i="5"/>
  <c r="BA23" i="5"/>
  <c r="A23" i="5"/>
  <c r="DB19" i="5"/>
  <c r="BA18" i="5"/>
  <c r="A18" i="5"/>
  <c r="BA17" i="5"/>
  <c r="A17" i="5"/>
  <c r="BA16" i="5"/>
  <c r="A16" i="5"/>
  <c r="BA15" i="5"/>
  <c r="A15" i="5"/>
  <c r="DB14" i="5"/>
  <c r="BA14" i="5"/>
  <c r="A14" i="5"/>
  <c r="BA13" i="5"/>
  <c r="A13" i="5"/>
  <c r="DB9" i="5"/>
  <c r="BA8" i="5"/>
  <c r="A8" i="5"/>
  <c r="BA7" i="5"/>
  <c r="A7" i="5"/>
  <c r="BA6" i="5"/>
  <c r="A6" i="5"/>
  <c r="BA5" i="5"/>
  <c r="A5" i="5"/>
  <c r="BA4" i="5"/>
  <c r="A4" i="5"/>
  <c r="DB3" i="5"/>
  <c r="BA3" i="5"/>
  <c r="A3" i="5"/>
  <c r="DB45" i="28"/>
  <c r="DB38" i="28"/>
  <c r="DB32" i="28"/>
  <c r="DB25" i="28"/>
  <c r="DB19" i="28"/>
  <c r="DB14" i="28"/>
  <c r="DB9" i="28"/>
  <c r="DB3" i="28"/>
  <c r="DB45" i="3"/>
  <c r="DB38" i="3"/>
  <c r="DB32" i="3"/>
  <c r="DB25" i="3"/>
  <c r="DB19" i="3"/>
  <c r="DB14" i="3"/>
  <c r="DB9" i="3"/>
  <c r="DB3" i="3"/>
  <c r="B100" i="3"/>
  <c r="BO94" i="3"/>
  <c r="BN94" i="3"/>
  <c r="BH94" i="3"/>
  <c r="BJ94" i="3" s="1"/>
  <c r="O94" i="3"/>
  <c r="N94" i="3"/>
  <c r="H94" i="3"/>
  <c r="J94" i="3" s="1"/>
  <c r="BO90" i="3"/>
  <c r="BN90" i="3"/>
  <c r="BH90" i="3"/>
  <c r="BJ90" i="3" s="1"/>
  <c r="BO89" i="3"/>
  <c r="BN89" i="3"/>
  <c r="BH89" i="3"/>
  <c r="BJ89" i="3" s="1"/>
  <c r="O89" i="3"/>
  <c r="N89" i="3"/>
  <c r="H89" i="3"/>
  <c r="J89" i="3" s="1"/>
  <c r="O88" i="3"/>
  <c r="N88" i="3"/>
  <c r="H88" i="3"/>
  <c r="O87" i="3"/>
  <c r="N87" i="3"/>
  <c r="H87" i="3"/>
  <c r="J87" i="3" s="1"/>
  <c r="O86" i="3"/>
  <c r="N86" i="3"/>
  <c r="H86" i="3"/>
  <c r="J86" i="3" s="1"/>
  <c r="BO85" i="3"/>
  <c r="BN85" i="3"/>
  <c r="BH85" i="3"/>
  <c r="BJ85" i="3" s="1"/>
  <c r="O85" i="3"/>
  <c r="N85" i="3"/>
  <c r="H85" i="3"/>
  <c r="J85" i="3" s="1"/>
  <c r="BO84" i="3"/>
  <c r="BN84" i="3"/>
  <c r="BH84" i="3"/>
  <c r="BJ84" i="3" s="1"/>
  <c r="O84" i="3"/>
  <c r="N84" i="3"/>
  <c r="H84" i="3"/>
  <c r="J84" i="3" s="1"/>
  <c r="BO83" i="3"/>
  <c r="BN83" i="3"/>
  <c r="BH83" i="3"/>
  <c r="BJ83" i="3" s="1"/>
  <c r="O83" i="3"/>
  <c r="N83" i="3"/>
  <c r="H83" i="3"/>
  <c r="J83" i="3" s="1"/>
  <c r="A83" i="3"/>
  <c r="C83" i="3" s="1"/>
  <c r="BO82" i="3"/>
  <c r="BN82" i="3"/>
  <c r="BH82" i="3"/>
  <c r="BJ82" i="3" s="1"/>
  <c r="O82" i="3"/>
  <c r="N82" i="3"/>
  <c r="H82" i="3"/>
  <c r="J82" i="3" s="1"/>
  <c r="C82" i="3"/>
  <c r="N78" i="3"/>
  <c r="H78" i="3"/>
  <c r="J78" i="3" s="1"/>
  <c r="C78" i="3"/>
  <c r="O77" i="3"/>
  <c r="N77" i="3"/>
  <c r="H77" i="3"/>
  <c r="J77" i="3" s="1"/>
  <c r="C77" i="3"/>
  <c r="O76" i="3"/>
  <c r="N76" i="3"/>
  <c r="H76" i="3"/>
  <c r="J76" i="3" s="1"/>
  <c r="C76" i="3"/>
  <c r="N75" i="3"/>
  <c r="H75" i="3"/>
  <c r="J75" i="3" s="1"/>
  <c r="C75" i="3"/>
  <c r="O74" i="3"/>
  <c r="N74" i="3"/>
  <c r="H74" i="3"/>
  <c r="J74" i="3" s="1"/>
  <c r="C74" i="3"/>
  <c r="BB73" i="3"/>
  <c r="O73" i="3"/>
  <c r="N73" i="3"/>
  <c r="H73" i="3"/>
  <c r="J73" i="3" s="1"/>
  <c r="C73" i="3"/>
  <c r="BB72" i="3"/>
  <c r="N72" i="3"/>
  <c r="H72" i="3"/>
  <c r="J72" i="3" s="1"/>
  <c r="C72" i="3"/>
  <c r="CF71" i="3"/>
  <c r="BB71" i="3"/>
  <c r="N71" i="3"/>
  <c r="H71" i="3"/>
  <c r="J71" i="3" s="1"/>
  <c r="C71" i="3"/>
  <c r="CF70" i="3"/>
  <c r="BB70" i="3"/>
  <c r="N70" i="3"/>
  <c r="H70" i="3"/>
  <c r="J70" i="3" s="1"/>
  <c r="C70" i="3"/>
  <c r="CF69" i="3"/>
  <c r="BB69" i="3"/>
  <c r="N69" i="3"/>
  <c r="H69" i="3"/>
  <c r="C69" i="3"/>
  <c r="CF68" i="3"/>
  <c r="BB68" i="3"/>
  <c r="N68" i="3"/>
  <c r="H68" i="3"/>
  <c r="J68" i="3" s="1"/>
  <c r="C68" i="3"/>
  <c r="CH67" i="3"/>
  <c r="CH68" i="3" s="1"/>
  <c r="CH69" i="3" s="1"/>
  <c r="CH70" i="3" s="1"/>
  <c r="CH71" i="3" s="1"/>
  <c r="CH72" i="3" s="1"/>
  <c r="CH73" i="3" s="1"/>
  <c r="CH74" i="3" s="1"/>
  <c r="CH75" i="3" s="1"/>
  <c r="CH76" i="3" s="1"/>
  <c r="CH77" i="3" s="1"/>
  <c r="CF67" i="3"/>
  <c r="BB67" i="3"/>
  <c r="O67" i="3"/>
  <c r="N67" i="3"/>
  <c r="H67" i="3"/>
  <c r="J67" i="3" s="1"/>
  <c r="C67" i="3"/>
  <c r="CF66" i="3"/>
  <c r="BB66" i="3"/>
  <c r="O66" i="3"/>
  <c r="N66" i="3"/>
  <c r="H66" i="3"/>
  <c r="J66" i="3" s="1"/>
  <c r="C66" i="3"/>
  <c r="N65" i="3"/>
  <c r="H65" i="3"/>
  <c r="J65" i="3" s="1"/>
  <c r="C65" i="3"/>
  <c r="O64" i="3"/>
  <c r="N64" i="3"/>
  <c r="H64" i="3"/>
  <c r="J64" i="3" s="1"/>
  <c r="C64" i="3"/>
  <c r="O63" i="3"/>
  <c r="N63" i="3"/>
  <c r="H63" i="3"/>
  <c r="J63" i="3" s="1"/>
  <c r="C63" i="3"/>
  <c r="BJ58" i="3"/>
  <c r="BT58" i="3" s="1"/>
  <c r="BH58" i="3"/>
  <c r="BF58" i="3"/>
  <c r="BD58" i="3"/>
  <c r="BC58" i="3"/>
  <c r="J58" i="3"/>
  <c r="H58" i="3"/>
  <c r="U57" i="3" s="1"/>
  <c r="F58" i="3"/>
  <c r="D58" i="3"/>
  <c r="C58" i="3"/>
  <c r="BJ57" i="3"/>
  <c r="BH57" i="3"/>
  <c r="BS59" i="3" s="1"/>
  <c r="BF57" i="3"/>
  <c r="BD57" i="3"/>
  <c r="BC57" i="3"/>
  <c r="J57" i="3"/>
  <c r="V56" i="3" s="1"/>
  <c r="H57" i="3"/>
  <c r="S59" i="3" s="1"/>
  <c r="F57" i="3"/>
  <c r="D57" i="3"/>
  <c r="C57" i="3"/>
  <c r="BJ56" i="3"/>
  <c r="BV57" i="3" s="1"/>
  <c r="BH56" i="3"/>
  <c r="BT59" i="3" s="1"/>
  <c r="BF56" i="3"/>
  <c r="BD56" i="3"/>
  <c r="BC56" i="3"/>
  <c r="J56" i="3"/>
  <c r="V57" i="3" s="1"/>
  <c r="H56" i="3"/>
  <c r="T59" i="3" s="1"/>
  <c r="F56" i="3"/>
  <c r="D56" i="3"/>
  <c r="C56" i="3"/>
  <c r="BJ55" i="3"/>
  <c r="BH55" i="3"/>
  <c r="BU56" i="3" s="1"/>
  <c r="BF55" i="3"/>
  <c r="BD55" i="3"/>
  <c r="BC55" i="3"/>
  <c r="J55" i="3"/>
  <c r="H55" i="3"/>
  <c r="U56" i="3" s="1"/>
  <c r="F55" i="3"/>
  <c r="D55" i="3"/>
  <c r="C55" i="3"/>
  <c r="BJ54" i="3"/>
  <c r="BU59" i="3" s="1"/>
  <c r="BH54" i="3"/>
  <c r="BV58" i="3" s="1"/>
  <c r="BF54" i="3"/>
  <c r="BD54" i="3"/>
  <c r="BC54" i="3"/>
  <c r="J54" i="3"/>
  <c r="U59" i="3" s="1"/>
  <c r="H54" i="3"/>
  <c r="F54" i="3"/>
  <c r="D54" i="3"/>
  <c r="C54" i="3"/>
  <c r="BJ53" i="3"/>
  <c r="BS57" i="3" s="1"/>
  <c r="BH53" i="3"/>
  <c r="BT56" i="3" s="1"/>
  <c r="BF53" i="3"/>
  <c r="BD53" i="3"/>
  <c r="BC53" i="3"/>
  <c r="J53" i="3"/>
  <c r="S57" i="3" s="1"/>
  <c r="H53" i="3"/>
  <c r="T56" i="3" s="1"/>
  <c r="F53" i="3"/>
  <c r="D53" i="3"/>
  <c r="C53" i="3"/>
  <c r="BJ48" i="3"/>
  <c r="BT48" i="3" s="1"/>
  <c r="BH48" i="3"/>
  <c r="BU47" i="3" s="1"/>
  <c r="BF48" i="3"/>
  <c r="BD48" i="3"/>
  <c r="BC48" i="3"/>
  <c r="J48" i="3"/>
  <c r="H48" i="3"/>
  <c r="U47" i="3" s="1"/>
  <c r="F48" i="3"/>
  <c r="D48" i="3"/>
  <c r="C48" i="3"/>
  <c r="BJ47" i="3"/>
  <c r="BV46" i="3" s="1"/>
  <c r="BH47" i="3"/>
  <c r="BS49" i="3" s="1"/>
  <c r="BF47" i="3"/>
  <c r="BD47" i="3"/>
  <c r="BC47" i="3"/>
  <c r="J47" i="3"/>
  <c r="V46" i="3" s="1"/>
  <c r="H47" i="3"/>
  <c r="F47" i="3"/>
  <c r="D47" i="3"/>
  <c r="C47" i="3"/>
  <c r="BJ46" i="3"/>
  <c r="BV47" i="3" s="1"/>
  <c r="BH46" i="3"/>
  <c r="BT49" i="3" s="1"/>
  <c r="BF46" i="3"/>
  <c r="BD46" i="3"/>
  <c r="BC46" i="3"/>
  <c r="J46" i="3"/>
  <c r="V47" i="3" s="1"/>
  <c r="H46" i="3"/>
  <c r="T49" i="3" s="1"/>
  <c r="F46" i="3"/>
  <c r="D46" i="3"/>
  <c r="C46" i="3"/>
  <c r="BJ45" i="3"/>
  <c r="BH45" i="3"/>
  <c r="BU46" i="3" s="1"/>
  <c r="BF45" i="3"/>
  <c r="BD45" i="3"/>
  <c r="BC45" i="3"/>
  <c r="J45" i="3"/>
  <c r="S48" i="3" s="1"/>
  <c r="H45" i="3"/>
  <c r="U46" i="3" s="1"/>
  <c r="F45" i="3"/>
  <c r="D45" i="3"/>
  <c r="C45" i="3"/>
  <c r="BJ44" i="3"/>
  <c r="BH44" i="3"/>
  <c r="BV48" i="3" s="1"/>
  <c r="BF44" i="3"/>
  <c r="BD44" i="3"/>
  <c r="BC44" i="3"/>
  <c r="J44" i="3"/>
  <c r="H44" i="3"/>
  <c r="F44" i="3"/>
  <c r="D44" i="3"/>
  <c r="C44" i="3"/>
  <c r="BJ43" i="3"/>
  <c r="BS47" i="3" s="1"/>
  <c r="BH43" i="3"/>
  <c r="BF43" i="3"/>
  <c r="BD43" i="3"/>
  <c r="BC43" i="3"/>
  <c r="J43" i="3"/>
  <c r="S47" i="3" s="1"/>
  <c r="H43" i="3"/>
  <c r="F43" i="3"/>
  <c r="D43" i="3"/>
  <c r="C43" i="3"/>
  <c r="BJ38" i="3"/>
  <c r="BT38" i="3" s="1"/>
  <c r="BH38" i="3"/>
  <c r="BU37" i="3" s="1"/>
  <c r="BF38" i="3"/>
  <c r="BD38" i="3"/>
  <c r="BC38" i="3"/>
  <c r="J38" i="3"/>
  <c r="T38" i="3" s="1"/>
  <c r="H38" i="3"/>
  <c r="F38" i="3"/>
  <c r="D38" i="3"/>
  <c r="C38" i="3"/>
  <c r="BJ37" i="3"/>
  <c r="BV36" i="3" s="1"/>
  <c r="BH37" i="3"/>
  <c r="BS39" i="3" s="1"/>
  <c r="BF37" i="3"/>
  <c r="BD37" i="3"/>
  <c r="BC37" i="3"/>
  <c r="J37" i="3"/>
  <c r="H37" i="3"/>
  <c r="S39" i="3" s="1"/>
  <c r="F37" i="3"/>
  <c r="D37" i="3"/>
  <c r="C37" i="3"/>
  <c r="BJ36" i="3"/>
  <c r="BH36" i="3"/>
  <c r="BT39" i="3" s="1"/>
  <c r="BF36" i="3"/>
  <c r="BD36" i="3"/>
  <c r="BC36" i="3"/>
  <c r="J36" i="3"/>
  <c r="V37" i="3" s="1"/>
  <c r="H36" i="3"/>
  <c r="T39" i="3" s="1"/>
  <c r="F36" i="3"/>
  <c r="D36" i="3"/>
  <c r="C36" i="3"/>
  <c r="BJ35" i="3"/>
  <c r="BH35" i="3"/>
  <c r="BU36" i="3" s="1"/>
  <c r="BF35" i="3"/>
  <c r="BD35" i="3"/>
  <c r="BC35" i="3"/>
  <c r="J35" i="3"/>
  <c r="S38" i="3" s="1"/>
  <c r="H35" i="3"/>
  <c r="U36" i="3" s="1"/>
  <c r="F35" i="3"/>
  <c r="D35" i="3"/>
  <c r="C35" i="3"/>
  <c r="BJ34" i="3"/>
  <c r="BU39" i="3" s="1"/>
  <c r="BH34" i="3"/>
  <c r="BV38" i="3" s="1"/>
  <c r="BF34" i="3"/>
  <c r="BD34" i="3"/>
  <c r="BC34" i="3"/>
  <c r="J34" i="3"/>
  <c r="U39" i="3" s="1"/>
  <c r="H34" i="3"/>
  <c r="V38" i="3" s="1"/>
  <c r="F34" i="3"/>
  <c r="D34" i="3"/>
  <c r="C34" i="3"/>
  <c r="BJ33" i="3"/>
  <c r="BH33" i="3"/>
  <c r="BT36" i="3" s="1"/>
  <c r="BF33" i="3"/>
  <c r="BD33" i="3"/>
  <c r="BC33" i="3"/>
  <c r="J33" i="3"/>
  <c r="S37" i="3" s="1"/>
  <c r="H33" i="3"/>
  <c r="T36" i="3" s="1"/>
  <c r="F33" i="3"/>
  <c r="D33" i="3"/>
  <c r="C33" i="3"/>
  <c r="BJ28" i="3"/>
  <c r="BT28" i="3" s="1"/>
  <c r="BH28" i="3"/>
  <c r="BU27" i="3" s="1"/>
  <c r="BF28" i="3"/>
  <c r="BD28" i="3"/>
  <c r="BC28" i="3"/>
  <c r="J28" i="3"/>
  <c r="T28" i="3" s="1"/>
  <c r="H28" i="3"/>
  <c r="U27" i="3" s="1"/>
  <c r="F28" i="3"/>
  <c r="D28" i="3"/>
  <c r="C28" i="3"/>
  <c r="BJ27" i="3"/>
  <c r="BV26" i="3" s="1"/>
  <c r="BH27" i="3"/>
  <c r="BS29" i="3" s="1"/>
  <c r="BF27" i="3"/>
  <c r="BD27" i="3"/>
  <c r="BC27" i="3"/>
  <c r="J27" i="3"/>
  <c r="V26" i="3" s="1"/>
  <c r="H27" i="3"/>
  <c r="S29" i="3" s="1"/>
  <c r="F27" i="3"/>
  <c r="D27" i="3"/>
  <c r="C27" i="3"/>
  <c r="BJ26" i="3"/>
  <c r="BV27" i="3" s="1"/>
  <c r="BH26" i="3"/>
  <c r="BT29" i="3" s="1"/>
  <c r="BF26" i="3"/>
  <c r="BD26" i="3"/>
  <c r="BC26" i="3"/>
  <c r="J26" i="3"/>
  <c r="H26" i="3"/>
  <c r="T29" i="3" s="1"/>
  <c r="F26" i="3"/>
  <c r="D26" i="3"/>
  <c r="C26" i="3"/>
  <c r="BJ25" i="3"/>
  <c r="BS28" i="3" s="1"/>
  <c r="BH25" i="3"/>
  <c r="BU26" i="3" s="1"/>
  <c r="BF25" i="3"/>
  <c r="BD25" i="3"/>
  <c r="BC25" i="3"/>
  <c r="J25" i="3"/>
  <c r="S28" i="3" s="1"/>
  <c r="H25" i="3"/>
  <c r="U26" i="3" s="1"/>
  <c r="F25" i="3"/>
  <c r="D25" i="3"/>
  <c r="C25" i="3"/>
  <c r="BJ24" i="3"/>
  <c r="BU29" i="3" s="1"/>
  <c r="BH24" i="3"/>
  <c r="BV28" i="3" s="1"/>
  <c r="BF24" i="3"/>
  <c r="BD24" i="3"/>
  <c r="BC24" i="3"/>
  <c r="J24" i="3"/>
  <c r="U29" i="3" s="1"/>
  <c r="H24" i="3"/>
  <c r="V28" i="3" s="1"/>
  <c r="F24" i="3"/>
  <c r="D24" i="3"/>
  <c r="C24" i="3"/>
  <c r="BJ23" i="3"/>
  <c r="BS27" i="3" s="1"/>
  <c r="BH23" i="3"/>
  <c r="BT26" i="3" s="1"/>
  <c r="BF23" i="3"/>
  <c r="BD23" i="3"/>
  <c r="BC23" i="3"/>
  <c r="J23" i="3"/>
  <c r="S27" i="3" s="1"/>
  <c r="H23" i="3"/>
  <c r="F23" i="3"/>
  <c r="D23" i="3"/>
  <c r="C23" i="3"/>
  <c r="BJ18" i="3"/>
  <c r="BT18" i="3" s="1"/>
  <c r="BH18" i="3"/>
  <c r="BU17" i="3" s="1"/>
  <c r="BF18" i="3"/>
  <c r="BD18" i="3"/>
  <c r="BC18" i="3"/>
  <c r="J18" i="3"/>
  <c r="H18" i="3"/>
  <c r="U17" i="3" s="1"/>
  <c r="F18" i="3"/>
  <c r="D18" i="3"/>
  <c r="C18" i="3"/>
  <c r="BJ17" i="3"/>
  <c r="BH17" i="3"/>
  <c r="BF17" i="3"/>
  <c r="BD17" i="3"/>
  <c r="BC17" i="3"/>
  <c r="J17" i="3"/>
  <c r="V16" i="3" s="1"/>
  <c r="H17" i="3"/>
  <c r="F17" i="3"/>
  <c r="D17" i="3"/>
  <c r="C17" i="3"/>
  <c r="BJ16" i="3"/>
  <c r="BV17" i="3" s="1"/>
  <c r="BH16" i="3"/>
  <c r="BT19" i="3" s="1"/>
  <c r="BF16" i="3"/>
  <c r="BD16" i="3"/>
  <c r="BC16" i="3"/>
  <c r="J16" i="3"/>
  <c r="V17" i="3" s="1"/>
  <c r="H16" i="3"/>
  <c r="T19" i="3" s="1"/>
  <c r="F16" i="3"/>
  <c r="D16" i="3"/>
  <c r="C16" i="3"/>
  <c r="BJ15" i="3"/>
  <c r="BH15" i="3"/>
  <c r="BU16" i="3" s="1"/>
  <c r="BF15" i="3"/>
  <c r="BD15" i="3"/>
  <c r="BC15" i="3"/>
  <c r="J15" i="3"/>
  <c r="S18" i="3" s="1"/>
  <c r="H15" i="3"/>
  <c r="U16" i="3" s="1"/>
  <c r="F15" i="3"/>
  <c r="D15" i="3"/>
  <c r="C15" i="3"/>
  <c r="BJ14" i="3"/>
  <c r="BH14" i="3"/>
  <c r="BF14" i="3"/>
  <c r="BD14" i="3"/>
  <c r="BC14" i="3"/>
  <c r="J14" i="3"/>
  <c r="U19" i="3" s="1"/>
  <c r="H14" i="3"/>
  <c r="V18" i="3" s="1"/>
  <c r="F14" i="3"/>
  <c r="D14" i="3"/>
  <c r="C14" i="3"/>
  <c r="BJ13" i="3"/>
  <c r="BS17" i="3" s="1"/>
  <c r="BH13" i="3"/>
  <c r="BT16" i="3" s="1"/>
  <c r="BF13" i="3"/>
  <c r="BD13" i="3"/>
  <c r="BC13" i="3"/>
  <c r="J13" i="3"/>
  <c r="S17" i="3" s="1"/>
  <c r="H13" i="3"/>
  <c r="T16" i="3" s="1"/>
  <c r="F13" i="3"/>
  <c r="D13" i="3"/>
  <c r="C13" i="3"/>
  <c r="BJ8" i="3"/>
  <c r="BT8" i="3" s="1"/>
  <c r="BH8" i="3"/>
  <c r="BU7" i="3" s="1"/>
  <c r="BF8" i="3"/>
  <c r="BD8" i="3"/>
  <c r="BC8" i="3"/>
  <c r="J8" i="3"/>
  <c r="H8" i="3"/>
  <c r="U7" i="3" s="1"/>
  <c r="F8" i="3"/>
  <c r="D8" i="3"/>
  <c r="C8" i="3"/>
  <c r="BJ7" i="3"/>
  <c r="BV6" i="3" s="1"/>
  <c r="BH7" i="3"/>
  <c r="BS9" i="3" s="1"/>
  <c r="BF7" i="3"/>
  <c r="BD7" i="3"/>
  <c r="BC7" i="3"/>
  <c r="J7" i="3"/>
  <c r="V6" i="3" s="1"/>
  <c r="H7" i="3"/>
  <c r="F7" i="3"/>
  <c r="D7" i="3"/>
  <c r="C7" i="3"/>
  <c r="BJ6" i="3"/>
  <c r="BV7" i="3" s="1"/>
  <c r="BH6" i="3"/>
  <c r="BT9" i="3" s="1"/>
  <c r="BF6" i="3"/>
  <c r="BD6" i="3"/>
  <c r="BC6" i="3"/>
  <c r="J6" i="3"/>
  <c r="V7" i="3" s="1"/>
  <c r="H6" i="3"/>
  <c r="F6" i="3"/>
  <c r="D6" i="3"/>
  <c r="C6" i="3"/>
  <c r="BJ5" i="3"/>
  <c r="BS8" i="3" s="1"/>
  <c r="BH5" i="3"/>
  <c r="BU6" i="3" s="1"/>
  <c r="BF5" i="3"/>
  <c r="BD5" i="3"/>
  <c r="BC5" i="3"/>
  <c r="J5" i="3"/>
  <c r="S8" i="3" s="1"/>
  <c r="H5" i="3"/>
  <c r="U6" i="3" s="1"/>
  <c r="F5" i="3"/>
  <c r="D5" i="3"/>
  <c r="C5" i="3"/>
  <c r="BJ4" i="3"/>
  <c r="BH4" i="3"/>
  <c r="BV8" i="3" s="1"/>
  <c r="BF4" i="3"/>
  <c r="BD4" i="3"/>
  <c r="BC4" i="3"/>
  <c r="J4" i="3"/>
  <c r="H4" i="3"/>
  <c r="V8" i="3" s="1"/>
  <c r="F4" i="3"/>
  <c r="D4" i="3"/>
  <c r="C4" i="3"/>
  <c r="BJ3" i="3"/>
  <c r="BH3" i="3"/>
  <c r="BT6" i="3" s="1"/>
  <c r="BF3" i="3"/>
  <c r="BD3" i="3"/>
  <c r="BC3" i="3"/>
  <c r="J3" i="3"/>
  <c r="S7" i="3" s="1"/>
  <c r="H3" i="3"/>
  <c r="T6" i="3" s="1"/>
  <c r="F3" i="3"/>
  <c r="D3" i="3"/>
  <c r="C3" i="3"/>
  <c r="B100" i="28"/>
  <c r="BO94" i="28"/>
  <c r="BN94" i="28"/>
  <c r="BH94" i="28"/>
  <c r="BJ94" i="28"/>
  <c r="O94" i="28"/>
  <c r="N94" i="28"/>
  <c r="H94" i="28"/>
  <c r="J94" i="28"/>
  <c r="BO90" i="28"/>
  <c r="BN90" i="28"/>
  <c r="BH90" i="28"/>
  <c r="BJ90" i="28"/>
  <c r="BO89" i="28"/>
  <c r="BN89" i="28"/>
  <c r="BH89" i="28"/>
  <c r="BJ89" i="28"/>
  <c r="O89" i="28"/>
  <c r="N89" i="28"/>
  <c r="H89" i="28"/>
  <c r="J89" i="28"/>
  <c r="O88" i="28"/>
  <c r="N88" i="28"/>
  <c r="H88" i="28"/>
  <c r="J88" i="28"/>
  <c r="O87" i="28"/>
  <c r="N87" i="28"/>
  <c r="H87" i="28"/>
  <c r="J87" i="28"/>
  <c r="O86" i="28"/>
  <c r="N86" i="28"/>
  <c r="H86" i="28"/>
  <c r="J86" i="28"/>
  <c r="BO85" i="28"/>
  <c r="BN85" i="28"/>
  <c r="BH85" i="28"/>
  <c r="BJ85" i="28"/>
  <c r="O85" i="28"/>
  <c r="N85" i="28"/>
  <c r="H85" i="28"/>
  <c r="J85" i="28"/>
  <c r="BO84" i="28"/>
  <c r="BN84" i="28"/>
  <c r="BH84" i="28"/>
  <c r="BJ84" i="28"/>
  <c r="O84" i="28"/>
  <c r="N84" i="28"/>
  <c r="H84" i="28"/>
  <c r="J84" i="28"/>
  <c r="BO83" i="28"/>
  <c r="BN83" i="28"/>
  <c r="BH83" i="28"/>
  <c r="BJ83" i="28"/>
  <c r="O83" i="28"/>
  <c r="N83" i="28"/>
  <c r="H83" i="28"/>
  <c r="J83" i="28"/>
  <c r="A83" i="28"/>
  <c r="A84" i="28" s="1"/>
  <c r="BO82" i="28"/>
  <c r="BN82" i="28"/>
  <c r="BH82" i="28"/>
  <c r="BJ82" i="28"/>
  <c r="O82" i="28"/>
  <c r="N82" i="28"/>
  <c r="H82" i="28"/>
  <c r="J82" i="28"/>
  <c r="C82" i="28"/>
  <c r="N78" i="28"/>
  <c r="H78" i="28"/>
  <c r="J78" i="28"/>
  <c r="C78" i="28"/>
  <c r="O77" i="28"/>
  <c r="N77" i="28"/>
  <c r="H77" i="28"/>
  <c r="J77" i="28"/>
  <c r="C77" i="28"/>
  <c r="O76" i="28"/>
  <c r="N76" i="28"/>
  <c r="H76" i="28"/>
  <c r="J76" i="28"/>
  <c r="C76" i="28"/>
  <c r="N75" i="28"/>
  <c r="J75" i="28"/>
  <c r="H75" i="28"/>
  <c r="C75" i="28"/>
  <c r="O74" i="28"/>
  <c r="N74" i="28"/>
  <c r="H74" i="28"/>
  <c r="J74" i="28"/>
  <c r="C74" i="28"/>
  <c r="BB73" i="28"/>
  <c r="O73" i="28"/>
  <c r="N73" i="28"/>
  <c r="H73" i="28"/>
  <c r="J73" i="28"/>
  <c r="C73" i="28"/>
  <c r="BB72" i="28"/>
  <c r="N72" i="28"/>
  <c r="H72" i="28"/>
  <c r="J72" i="28"/>
  <c r="C72" i="28"/>
  <c r="CF71" i="28"/>
  <c r="BB71" i="28"/>
  <c r="N71" i="28"/>
  <c r="H71" i="28"/>
  <c r="J71" i="28"/>
  <c r="C71" i="28"/>
  <c r="CF70" i="28"/>
  <c r="BB70" i="28"/>
  <c r="N70" i="28"/>
  <c r="H70" i="28"/>
  <c r="J70" i="28"/>
  <c r="C70" i="28"/>
  <c r="CF69" i="28"/>
  <c r="BB69" i="28"/>
  <c r="N69" i="28"/>
  <c r="H69" i="28"/>
  <c r="J69" i="28"/>
  <c r="C69" i="28"/>
  <c r="CF68" i="28"/>
  <c r="BB68" i="28"/>
  <c r="N68" i="28"/>
  <c r="H68" i="28"/>
  <c r="J68" i="28"/>
  <c r="C68" i="28"/>
  <c r="CH67" i="28"/>
  <c r="CH68" i="28" s="1"/>
  <c r="CH69" i="28" s="1"/>
  <c r="CH70" i="28" s="1"/>
  <c r="CH71" i="28" s="1"/>
  <c r="CH72" i="28" s="1"/>
  <c r="CH73" i="28" s="1"/>
  <c r="CH74" i="28" s="1"/>
  <c r="CH75" i="28" s="1"/>
  <c r="CH76" i="28" s="1"/>
  <c r="CH77" i="28" s="1"/>
  <c r="CF67" i="28"/>
  <c r="BB67" i="28"/>
  <c r="O67" i="28"/>
  <c r="N67" i="28"/>
  <c r="H67" i="28"/>
  <c r="J67" i="28"/>
  <c r="C67" i="28"/>
  <c r="CF66" i="28"/>
  <c r="BB66" i="28"/>
  <c r="O66" i="28"/>
  <c r="N66" i="28"/>
  <c r="H66" i="28"/>
  <c r="J66" i="28"/>
  <c r="C66" i="28"/>
  <c r="N65" i="28"/>
  <c r="H65" i="28"/>
  <c r="J65" i="28"/>
  <c r="C65" i="28"/>
  <c r="O64" i="28"/>
  <c r="N64" i="28"/>
  <c r="H64" i="28"/>
  <c r="J64" i="28"/>
  <c r="C64" i="28"/>
  <c r="O63" i="28"/>
  <c r="N63" i="28"/>
  <c r="H63" i="28"/>
  <c r="J63" i="28"/>
  <c r="C63" i="28"/>
  <c r="BJ58" i="28"/>
  <c r="BH58" i="28"/>
  <c r="BU57" i="28" s="1"/>
  <c r="BF58" i="28"/>
  <c r="BD58" i="28"/>
  <c r="BC58" i="28"/>
  <c r="J58" i="28"/>
  <c r="T58" i="28" s="1"/>
  <c r="H58" i="28"/>
  <c r="F58" i="28"/>
  <c r="D58" i="28"/>
  <c r="C58" i="28"/>
  <c r="BJ57" i="28"/>
  <c r="BH57" i="28"/>
  <c r="BF57" i="28"/>
  <c r="BD57" i="28"/>
  <c r="BC57" i="28"/>
  <c r="J57" i="28"/>
  <c r="V56" i="28" s="1"/>
  <c r="H57" i="28"/>
  <c r="F57" i="28"/>
  <c r="D57" i="28"/>
  <c r="C57" i="28"/>
  <c r="BJ56" i="28"/>
  <c r="BH56" i="28"/>
  <c r="BF56" i="28"/>
  <c r="BD56" i="28"/>
  <c r="BC56" i="28"/>
  <c r="J56" i="28"/>
  <c r="H56" i="28"/>
  <c r="T59" i="28" s="1"/>
  <c r="F56" i="28"/>
  <c r="D56" i="28"/>
  <c r="C56" i="28"/>
  <c r="BJ55" i="28"/>
  <c r="BS58" i="28" s="1"/>
  <c r="BH55" i="28"/>
  <c r="BF55" i="28"/>
  <c r="BD55" i="28"/>
  <c r="BC55" i="28"/>
  <c r="J55" i="28"/>
  <c r="H55" i="28"/>
  <c r="F55" i="28"/>
  <c r="D55" i="28"/>
  <c r="C55" i="28"/>
  <c r="BJ54" i="28"/>
  <c r="BH54" i="28"/>
  <c r="BV58" i="28" s="1"/>
  <c r="BF54" i="28"/>
  <c r="BD54" i="28"/>
  <c r="BC54" i="28"/>
  <c r="J54" i="28"/>
  <c r="H54" i="28"/>
  <c r="V58" i="28" s="1"/>
  <c r="F54" i="28"/>
  <c r="D54" i="28"/>
  <c r="C54" i="28"/>
  <c r="BJ53" i="28"/>
  <c r="BS57" i="28" s="1"/>
  <c r="BH53" i="28"/>
  <c r="BT56" i="28" s="1"/>
  <c r="BF53" i="28"/>
  <c r="BD53" i="28"/>
  <c r="BC53" i="28"/>
  <c r="J53" i="28"/>
  <c r="S57" i="28" s="1"/>
  <c r="H53" i="28"/>
  <c r="T56" i="28" s="1"/>
  <c r="F53" i="28"/>
  <c r="D53" i="28"/>
  <c r="C53" i="28"/>
  <c r="BJ48" i="28"/>
  <c r="BH48" i="28"/>
  <c r="BU47" i="28" s="1"/>
  <c r="BF48" i="28"/>
  <c r="BD48" i="28"/>
  <c r="BC48" i="28"/>
  <c r="J48" i="28"/>
  <c r="T48" i="28" s="1"/>
  <c r="H48" i="28"/>
  <c r="U47" i="28" s="1"/>
  <c r="F48" i="28"/>
  <c r="D48" i="28"/>
  <c r="C48" i="28"/>
  <c r="BJ47" i="28"/>
  <c r="BV46" i="28" s="1"/>
  <c r="BH47" i="28"/>
  <c r="BS49" i="28" s="1"/>
  <c r="BF47" i="28"/>
  <c r="BD47" i="28"/>
  <c r="BC47" i="28"/>
  <c r="J47" i="28"/>
  <c r="V46" i="28" s="1"/>
  <c r="H47" i="28"/>
  <c r="S49" i="28" s="1"/>
  <c r="F47" i="28"/>
  <c r="D47" i="28"/>
  <c r="C47" i="28"/>
  <c r="BJ46" i="28"/>
  <c r="BV47" i="28" s="1"/>
  <c r="BH46" i="28"/>
  <c r="BT49" i="28" s="1"/>
  <c r="BF46" i="28"/>
  <c r="BD46" i="28"/>
  <c r="BC46" i="28"/>
  <c r="J46" i="28"/>
  <c r="V47" i="28" s="1"/>
  <c r="H46" i="28"/>
  <c r="T49" i="28" s="1"/>
  <c r="F46" i="28"/>
  <c r="D46" i="28"/>
  <c r="C46" i="28"/>
  <c r="BJ45" i="28"/>
  <c r="BH45" i="28"/>
  <c r="BF45" i="28"/>
  <c r="BD45" i="28"/>
  <c r="BC45" i="28"/>
  <c r="J45" i="28"/>
  <c r="H45" i="28"/>
  <c r="F45" i="28"/>
  <c r="D45" i="28"/>
  <c r="C45" i="28"/>
  <c r="BJ44" i="28"/>
  <c r="BU49" i="28" s="1"/>
  <c r="BH44" i="28"/>
  <c r="BF44" i="28"/>
  <c r="BD44" i="28"/>
  <c r="BC44" i="28"/>
  <c r="J44" i="28"/>
  <c r="U49" i="28" s="1"/>
  <c r="H44" i="28"/>
  <c r="V48" i="28" s="1"/>
  <c r="F44" i="28"/>
  <c r="D44" i="28"/>
  <c r="C44" i="28"/>
  <c r="BJ43" i="28"/>
  <c r="BS47" i="28" s="1"/>
  <c r="BH43" i="28"/>
  <c r="BF43" i="28"/>
  <c r="BD43" i="28"/>
  <c r="BC43" i="28"/>
  <c r="J43" i="28"/>
  <c r="S47" i="28" s="1"/>
  <c r="H43" i="28"/>
  <c r="T46" i="28" s="1"/>
  <c r="F43" i="28"/>
  <c r="D43" i="28"/>
  <c r="C43" i="28"/>
  <c r="BJ38" i="28"/>
  <c r="BT38" i="28" s="1"/>
  <c r="BH38" i="28"/>
  <c r="BU37" i="28" s="1"/>
  <c r="BF38" i="28"/>
  <c r="BD38" i="28"/>
  <c r="BC38" i="28"/>
  <c r="J38" i="28"/>
  <c r="T38" i="28" s="1"/>
  <c r="H38" i="28"/>
  <c r="F38" i="28"/>
  <c r="D38" i="28"/>
  <c r="C38" i="28"/>
  <c r="BJ37" i="28"/>
  <c r="BV36" i="28" s="1"/>
  <c r="BH37" i="28"/>
  <c r="BS39" i="28" s="1"/>
  <c r="BF37" i="28"/>
  <c r="BD37" i="28"/>
  <c r="BC37" i="28"/>
  <c r="J37" i="28"/>
  <c r="V36" i="28" s="1"/>
  <c r="H37" i="28"/>
  <c r="F37" i="28"/>
  <c r="D37" i="28"/>
  <c r="C37" i="28"/>
  <c r="BJ36" i="28"/>
  <c r="BV37" i="28" s="1"/>
  <c r="BH36" i="28"/>
  <c r="BT39" i="28" s="1"/>
  <c r="BF36" i="28"/>
  <c r="BD36" i="28"/>
  <c r="BC36" i="28"/>
  <c r="J36" i="28"/>
  <c r="V37" i="28" s="1"/>
  <c r="H36" i="28"/>
  <c r="F36" i="28"/>
  <c r="D36" i="28"/>
  <c r="C36" i="28"/>
  <c r="BJ35" i="28"/>
  <c r="BS38" i="28" s="1"/>
  <c r="BH35" i="28"/>
  <c r="BU36" i="28" s="1"/>
  <c r="BF35" i="28"/>
  <c r="BD35" i="28"/>
  <c r="BC35" i="28"/>
  <c r="J35" i="28"/>
  <c r="H35" i="28"/>
  <c r="U36" i="28" s="1"/>
  <c r="F35" i="28"/>
  <c r="D35" i="28"/>
  <c r="C35" i="28"/>
  <c r="BJ34" i="28"/>
  <c r="BU39" i="28" s="1"/>
  <c r="BH34" i="28"/>
  <c r="BV38" i="28" s="1"/>
  <c r="BF34" i="28"/>
  <c r="BD34" i="28"/>
  <c r="BC34" i="28"/>
  <c r="J34" i="28"/>
  <c r="H34" i="28"/>
  <c r="F34" i="28"/>
  <c r="D34" i="28"/>
  <c r="C34" i="28"/>
  <c r="BJ33" i="28"/>
  <c r="BS37" i="28" s="1"/>
  <c r="BH33" i="28"/>
  <c r="BT36" i="28" s="1"/>
  <c r="BF33" i="28"/>
  <c r="BD33" i="28"/>
  <c r="BC33" i="28"/>
  <c r="J33" i="28"/>
  <c r="S37" i="28" s="1"/>
  <c r="H33" i="28"/>
  <c r="T36" i="28" s="1"/>
  <c r="F33" i="28"/>
  <c r="D33" i="28"/>
  <c r="C33" i="28"/>
  <c r="BJ28" i="28"/>
  <c r="BT28" i="28" s="1"/>
  <c r="BH28" i="28"/>
  <c r="BU27" i="28" s="1"/>
  <c r="BF28" i="28"/>
  <c r="BD28" i="28"/>
  <c r="BC28" i="28"/>
  <c r="J28" i="28"/>
  <c r="H28" i="28"/>
  <c r="U27" i="28" s="1"/>
  <c r="F28" i="28"/>
  <c r="D28" i="28"/>
  <c r="C28" i="28"/>
  <c r="BJ27" i="28"/>
  <c r="BV26" i="28" s="1"/>
  <c r="BH27" i="28"/>
  <c r="BS29" i="28" s="1"/>
  <c r="BF27" i="28"/>
  <c r="BD27" i="28"/>
  <c r="BC27" i="28"/>
  <c r="J27" i="28"/>
  <c r="V26" i="28" s="1"/>
  <c r="H27" i="28"/>
  <c r="F27" i="28"/>
  <c r="D27" i="28"/>
  <c r="C27" i="28"/>
  <c r="BJ26" i="28"/>
  <c r="BV27" i="28" s="1"/>
  <c r="BH26" i="28"/>
  <c r="BT29" i="28" s="1"/>
  <c r="BF26" i="28"/>
  <c r="BD26" i="28"/>
  <c r="BC26" i="28"/>
  <c r="J26" i="28"/>
  <c r="V27" i="28" s="1"/>
  <c r="H26" i="28"/>
  <c r="T29" i="28" s="1"/>
  <c r="F26" i="28"/>
  <c r="D26" i="28"/>
  <c r="C26" i="28"/>
  <c r="BJ25" i="28"/>
  <c r="BS28" i="28" s="1"/>
  <c r="BH25" i="28"/>
  <c r="BU26" i="28" s="1"/>
  <c r="BF25" i="28"/>
  <c r="BD25" i="28"/>
  <c r="BC25" i="28"/>
  <c r="J25" i="28"/>
  <c r="S28" i="28" s="1"/>
  <c r="H25" i="28"/>
  <c r="F25" i="28"/>
  <c r="D25" i="28"/>
  <c r="C25" i="28"/>
  <c r="BJ24" i="28"/>
  <c r="BU29" i="28" s="1"/>
  <c r="BH24" i="28"/>
  <c r="BV28" i="28" s="1"/>
  <c r="BF24" i="28"/>
  <c r="BD24" i="28"/>
  <c r="BC24" i="28"/>
  <c r="J24" i="28"/>
  <c r="U29" i="28" s="1"/>
  <c r="H24" i="28"/>
  <c r="F24" i="28"/>
  <c r="D24" i="28"/>
  <c r="C24" i="28"/>
  <c r="BJ23" i="28"/>
  <c r="BS27" i="28" s="1"/>
  <c r="BH23" i="28"/>
  <c r="BT26" i="28" s="1"/>
  <c r="BF23" i="28"/>
  <c r="BD23" i="28"/>
  <c r="BC23" i="28"/>
  <c r="J23" i="28"/>
  <c r="S27" i="28" s="1"/>
  <c r="H23" i="28"/>
  <c r="F23" i="28"/>
  <c r="D23" i="28"/>
  <c r="C23" i="28"/>
  <c r="BJ18" i="28"/>
  <c r="BT18" i="28" s="1"/>
  <c r="BH18" i="28"/>
  <c r="BF18" i="28"/>
  <c r="BD18" i="28"/>
  <c r="BC18" i="28"/>
  <c r="J18" i="28"/>
  <c r="T18" i="28" s="1"/>
  <c r="H18" i="28"/>
  <c r="F18" i="28"/>
  <c r="D18" i="28"/>
  <c r="C18" i="28"/>
  <c r="BJ17" i="28"/>
  <c r="BV16" i="28" s="1"/>
  <c r="BH17" i="28"/>
  <c r="BF17" i="28"/>
  <c r="BD17" i="28"/>
  <c r="BC17" i="28"/>
  <c r="J17" i="28"/>
  <c r="H17" i="28"/>
  <c r="S19" i="28" s="1"/>
  <c r="F17" i="28"/>
  <c r="D17" i="28"/>
  <c r="C17" i="28"/>
  <c r="BJ16" i="28"/>
  <c r="BV17" i="28" s="1"/>
  <c r="BH16" i="28"/>
  <c r="BT19" i="28" s="1"/>
  <c r="BF16" i="28"/>
  <c r="BD16" i="28"/>
  <c r="BC16" i="28"/>
  <c r="J16" i="28"/>
  <c r="V17" i="28" s="1"/>
  <c r="H16" i="28"/>
  <c r="T19" i="28" s="1"/>
  <c r="F16" i="28"/>
  <c r="D16" i="28"/>
  <c r="C16" i="28"/>
  <c r="BJ15" i="28"/>
  <c r="BS18" i="28" s="1"/>
  <c r="BH15" i="28"/>
  <c r="BU16" i="28" s="1"/>
  <c r="BF15" i="28"/>
  <c r="BD15" i="28"/>
  <c r="BC15" i="28"/>
  <c r="J15" i="28"/>
  <c r="H15" i="28"/>
  <c r="U16" i="28" s="1"/>
  <c r="F15" i="28"/>
  <c r="D15" i="28"/>
  <c r="C15" i="28"/>
  <c r="BJ14" i="28"/>
  <c r="BU19" i="28" s="1"/>
  <c r="BH14" i="28"/>
  <c r="BV18" i="28" s="1"/>
  <c r="BF14" i="28"/>
  <c r="BD14" i="28"/>
  <c r="BC14" i="28"/>
  <c r="J14" i="28"/>
  <c r="H14" i="28"/>
  <c r="V18" i="28" s="1"/>
  <c r="F14" i="28"/>
  <c r="D14" i="28"/>
  <c r="C14" i="28"/>
  <c r="BJ13" i="28"/>
  <c r="BS17" i="28" s="1"/>
  <c r="BH13" i="28"/>
  <c r="BT16" i="28" s="1"/>
  <c r="BF13" i="28"/>
  <c r="BD13" i="28"/>
  <c r="BC13" i="28"/>
  <c r="J13" i="28"/>
  <c r="S17" i="28" s="1"/>
  <c r="H13" i="28"/>
  <c r="F13" i="28"/>
  <c r="D13" i="28"/>
  <c r="C13" i="28"/>
  <c r="BJ8" i="28"/>
  <c r="BH8" i="28"/>
  <c r="BF8" i="28"/>
  <c r="BD8" i="28"/>
  <c r="BC8" i="28"/>
  <c r="J8" i="28"/>
  <c r="H8" i="28"/>
  <c r="U7" i="28" s="1"/>
  <c r="F8" i="28"/>
  <c r="D8" i="28"/>
  <c r="C8" i="28"/>
  <c r="BJ7" i="28"/>
  <c r="BV6" i="28" s="1"/>
  <c r="BH7" i="28"/>
  <c r="BS9" i="28" s="1"/>
  <c r="BF7" i="28"/>
  <c r="BD7" i="28"/>
  <c r="BC7" i="28"/>
  <c r="J7" i="28"/>
  <c r="V6" i="28" s="1"/>
  <c r="H7" i="28"/>
  <c r="F7" i="28"/>
  <c r="D7" i="28"/>
  <c r="C7" i="28"/>
  <c r="BJ6" i="28"/>
  <c r="BH6" i="28"/>
  <c r="BF6" i="28"/>
  <c r="BD6" i="28"/>
  <c r="BC6" i="28"/>
  <c r="J6" i="28"/>
  <c r="H6" i="28"/>
  <c r="F6" i="28"/>
  <c r="D6" i="28"/>
  <c r="C6" i="28"/>
  <c r="BJ5" i="28"/>
  <c r="BS8" i="28" s="1"/>
  <c r="BH5" i="28"/>
  <c r="BU6" i="28" s="1"/>
  <c r="BF5" i="28"/>
  <c r="BD5" i="28"/>
  <c r="BC5" i="28"/>
  <c r="J5" i="28"/>
  <c r="S8" i="28" s="1"/>
  <c r="H5" i="28"/>
  <c r="U6" i="28" s="1"/>
  <c r="F5" i="28"/>
  <c r="D5" i="28"/>
  <c r="C5" i="28"/>
  <c r="BJ4" i="28"/>
  <c r="BU9" i="28" s="1"/>
  <c r="BH4" i="28"/>
  <c r="BF4" i="28"/>
  <c r="BD4" i="28"/>
  <c r="BC4" i="28"/>
  <c r="J4" i="28"/>
  <c r="U9" i="28" s="1"/>
  <c r="H4" i="28"/>
  <c r="F4" i="28"/>
  <c r="D4" i="28"/>
  <c r="C4" i="28"/>
  <c r="BJ3" i="28"/>
  <c r="BS7" i="28" s="1"/>
  <c r="BH3" i="28"/>
  <c r="BF3" i="28"/>
  <c r="BD3" i="28"/>
  <c r="BC3" i="28"/>
  <c r="J3" i="28"/>
  <c r="S7" i="28" s="1"/>
  <c r="H3" i="28"/>
  <c r="T6" i="28" s="1"/>
  <c r="F3" i="28"/>
  <c r="D3" i="28"/>
  <c r="C3" i="28"/>
  <c r="BC54" i="36"/>
  <c r="BC43" i="36"/>
  <c r="C45" i="36"/>
  <c r="C44" i="36"/>
  <c r="BC28" i="36"/>
  <c r="BC26" i="36"/>
  <c r="BC24" i="36"/>
  <c r="C15" i="25"/>
  <c r="BC3" i="36"/>
  <c r="C3" i="36"/>
  <c r="R496" i="29"/>
  <c r="Q496" i="29"/>
  <c r="P496" i="29"/>
  <c r="O496" i="29"/>
  <c r="N496" i="29"/>
  <c r="M496" i="29"/>
  <c r="L496" i="29"/>
  <c r="K496" i="29"/>
  <c r="R495" i="29"/>
  <c r="Q495" i="29"/>
  <c r="P495" i="29"/>
  <c r="O495" i="29"/>
  <c r="N495" i="29"/>
  <c r="M495" i="29"/>
  <c r="L495" i="29"/>
  <c r="U495" i="29" s="1"/>
  <c r="K495" i="29"/>
  <c r="R494" i="29"/>
  <c r="Q494" i="29"/>
  <c r="P494" i="29"/>
  <c r="O494" i="29"/>
  <c r="N494" i="29"/>
  <c r="M494" i="29"/>
  <c r="L494" i="29"/>
  <c r="K494" i="29"/>
  <c r="R493" i="29"/>
  <c r="Q493" i="29"/>
  <c r="P493" i="29"/>
  <c r="O493" i="29"/>
  <c r="N493" i="29"/>
  <c r="M493" i="29"/>
  <c r="L493" i="29"/>
  <c r="Z493" i="29" s="1"/>
  <c r="K493" i="29"/>
  <c r="R492" i="29"/>
  <c r="Q492" i="29"/>
  <c r="P492" i="29"/>
  <c r="O492" i="29"/>
  <c r="N492" i="29"/>
  <c r="M492" i="29"/>
  <c r="L492" i="29"/>
  <c r="K492" i="29"/>
  <c r="R491" i="29"/>
  <c r="Q491" i="29"/>
  <c r="P491" i="29"/>
  <c r="O491" i="29"/>
  <c r="N491" i="29"/>
  <c r="M491" i="29"/>
  <c r="L491" i="29"/>
  <c r="K491" i="29"/>
  <c r="R490" i="29"/>
  <c r="Q490" i="29"/>
  <c r="P490" i="29"/>
  <c r="O490" i="29"/>
  <c r="N490" i="29"/>
  <c r="M490" i="29"/>
  <c r="L490" i="29"/>
  <c r="K490" i="29"/>
  <c r="R489" i="29"/>
  <c r="Q489" i="29"/>
  <c r="P489" i="29"/>
  <c r="O489" i="29"/>
  <c r="N489" i="29"/>
  <c r="M489" i="29"/>
  <c r="L489" i="29"/>
  <c r="K489" i="29"/>
  <c r="R488" i="29"/>
  <c r="Q488" i="29"/>
  <c r="P488" i="29"/>
  <c r="O488" i="29"/>
  <c r="N488" i="29"/>
  <c r="M488" i="29"/>
  <c r="L488" i="29"/>
  <c r="K488" i="29"/>
  <c r="R487" i="29"/>
  <c r="Q487" i="29"/>
  <c r="P487" i="29"/>
  <c r="O487" i="29"/>
  <c r="N487" i="29"/>
  <c r="M487" i="29"/>
  <c r="L487" i="29"/>
  <c r="K487" i="29"/>
  <c r="R486" i="29"/>
  <c r="Q486" i="29"/>
  <c r="P486" i="29"/>
  <c r="O486" i="29"/>
  <c r="N486" i="29"/>
  <c r="M486" i="29"/>
  <c r="L486" i="29"/>
  <c r="K486" i="29"/>
  <c r="V486" i="29" s="1"/>
  <c r="R485" i="29"/>
  <c r="Q485" i="29"/>
  <c r="P485" i="29"/>
  <c r="O485" i="29"/>
  <c r="N485" i="29"/>
  <c r="M485" i="29"/>
  <c r="L485" i="29"/>
  <c r="K485" i="29"/>
  <c r="W485" i="29" s="1"/>
  <c r="R484" i="29"/>
  <c r="Q484" i="29"/>
  <c r="P484" i="29"/>
  <c r="O484" i="29"/>
  <c r="N484" i="29"/>
  <c r="M484" i="29"/>
  <c r="L484" i="29"/>
  <c r="K484" i="29"/>
  <c r="X484" i="29" s="1"/>
  <c r="R483" i="29"/>
  <c r="Q483" i="29"/>
  <c r="P483" i="29"/>
  <c r="O483" i="29"/>
  <c r="N483" i="29"/>
  <c r="M483" i="29"/>
  <c r="L483" i="29"/>
  <c r="K483" i="29"/>
  <c r="R482" i="29"/>
  <c r="Q482" i="29"/>
  <c r="P482" i="29"/>
  <c r="O482" i="29"/>
  <c r="N482" i="29"/>
  <c r="M482" i="29"/>
  <c r="L482" i="29"/>
  <c r="K482" i="29"/>
  <c r="R481" i="29"/>
  <c r="Q481" i="29"/>
  <c r="P481" i="29"/>
  <c r="O481" i="29"/>
  <c r="N481" i="29"/>
  <c r="M481" i="29"/>
  <c r="L481" i="29"/>
  <c r="K481" i="29"/>
  <c r="R480" i="29"/>
  <c r="Q480" i="29"/>
  <c r="P480" i="29"/>
  <c r="O480" i="29"/>
  <c r="N480" i="29"/>
  <c r="M480" i="29"/>
  <c r="L480" i="29"/>
  <c r="K480" i="29"/>
  <c r="R479" i="29"/>
  <c r="Q479" i="29"/>
  <c r="P479" i="29"/>
  <c r="O479" i="29"/>
  <c r="N479" i="29"/>
  <c r="M479" i="29"/>
  <c r="L479" i="29"/>
  <c r="K479" i="29"/>
  <c r="R478" i="29"/>
  <c r="Q478" i="29"/>
  <c r="P478" i="29"/>
  <c r="O478" i="29"/>
  <c r="N478" i="29"/>
  <c r="M478" i="29"/>
  <c r="L478" i="29"/>
  <c r="K478" i="29"/>
  <c r="R477" i="29"/>
  <c r="Q477" i="29"/>
  <c r="P477" i="29"/>
  <c r="O477" i="29"/>
  <c r="N477" i="29"/>
  <c r="M477" i="29"/>
  <c r="L477" i="29"/>
  <c r="K477" i="29"/>
  <c r="Z477" i="29" s="1"/>
  <c r="R476" i="29"/>
  <c r="Q476" i="29"/>
  <c r="P476" i="29"/>
  <c r="O476" i="29"/>
  <c r="N476" i="29"/>
  <c r="M476" i="29"/>
  <c r="L476" i="29"/>
  <c r="K476" i="29"/>
  <c r="R475" i="29"/>
  <c r="Q475" i="29"/>
  <c r="P475" i="29"/>
  <c r="O475" i="29"/>
  <c r="N475" i="29"/>
  <c r="M475" i="29"/>
  <c r="L475" i="29"/>
  <c r="K475" i="29"/>
  <c r="Y475" i="29" s="1"/>
  <c r="R474" i="29"/>
  <c r="Q474" i="29"/>
  <c r="P474" i="29"/>
  <c r="O474" i="29"/>
  <c r="N474" i="29"/>
  <c r="M474" i="29"/>
  <c r="L474" i="29"/>
  <c r="K474" i="29"/>
  <c r="R473" i="29"/>
  <c r="Q473" i="29"/>
  <c r="P473" i="29"/>
  <c r="O473" i="29"/>
  <c r="N473" i="29"/>
  <c r="M473" i="29"/>
  <c r="L473" i="29"/>
  <c r="K473" i="29"/>
  <c r="R472" i="29"/>
  <c r="Q472" i="29"/>
  <c r="P472" i="29"/>
  <c r="O472" i="29"/>
  <c r="N472" i="29"/>
  <c r="M472" i="29"/>
  <c r="L472" i="29"/>
  <c r="K472" i="29"/>
  <c r="R471" i="29"/>
  <c r="Q471" i="29"/>
  <c r="P471" i="29"/>
  <c r="O471" i="29"/>
  <c r="N471" i="29"/>
  <c r="M471" i="29"/>
  <c r="L471" i="29"/>
  <c r="K471" i="29"/>
  <c r="R470" i="29"/>
  <c r="Q470" i="29"/>
  <c r="P470" i="29"/>
  <c r="O470" i="29"/>
  <c r="N470" i="29"/>
  <c r="M470" i="29"/>
  <c r="L470" i="29"/>
  <c r="K470" i="29"/>
  <c r="Y470" i="29" s="1"/>
  <c r="R469" i="29"/>
  <c r="Q469" i="29"/>
  <c r="P469" i="29"/>
  <c r="O469" i="29"/>
  <c r="N469" i="29"/>
  <c r="M469" i="29"/>
  <c r="L469" i="29"/>
  <c r="K469" i="29"/>
  <c r="W469" i="29" s="1"/>
  <c r="R468" i="29"/>
  <c r="Q468" i="29"/>
  <c r="P468" i="29"/>
  <c r="O468" i="29"/>
  <c r="N468" i="29"/>
  <c r="M468" i="29"/>
  <c r="L468" i="29"/>
  <c r="K468" i="29"/>
  <c r="R467" i="29"/>
  <c r="Q467" i="29"/>
  <c r="P467" i="29"/>
  <c r="O467" i="29"/>
  <c r="N467" i="29"/>
  <c r="M467" i="29"/>
  <c r="L467" i="29"/>
  <c r="K467" i="29"/>
  <c r="Y467" i="29" s="1"/>
  <c r="R466" i="29"/>
  <c r="Q466" i="29"/>
  <c r="P466" i="29"/>
  <c r="O466" i="29"/>
  <c r="N466" i="29"/>
  <c r="M466" i="29"/>
  <c r="L466" i="29"/>
  <c r="K466" i="29"/>
  <c r="Z466" i="29" s="1"/>
  <c r="R465" i="29"/>
  <c r="Q465" i="29"/>
  <c r="P465" i="29"/>
  <c r="O465" i="29"/>
  <c r="N465" i="29"/>
  <c r="M465" i="29"/>
  <c r="L465" i="29"/>
  <c r="K465" i="29"/>
  <c r="R464" i="29"/>
  <c r="Q464" i="29"/>
  <c r="P464" i="29"/>
  <c r="O464" i="29"/>
  <c r="N464" i="29"/>
  <c r="M464" i="29"/>
  <c r="L464" i="29"/>
  <c r="K464" i="29"/>
  <c r="R463" i="29"/>
  <c r="Q463" i="29"/>
  <c r="P463" i="29"/>
  <c r="O463" i="29"/>
  <c r="N463" i="29"/>
  <c r="M463" i="29"/>
  <c r="L463" i="29"/>
  <c r="K463" i="29"/>
  <c r="R462" i="29"/>
  <c r="Q462" i="29"/>
  <c r="P462" i="29"/>
  <c r="O462" i="29"/>
  <c r="N462" i="29"/>
  <c r="M462" i="29"/>
  <c r="L462" i="29"/>
  <c r="K462" i="29"/>
  <c r="R461" i="29"/>
  <c r="Q461" i="29"/>
  <c r="P461" i="29"/>
  <c r="O461" i="29"/>
  <c r="N461" i="29"/>
  <c r="M461" i="29"/>
  <c r="L461" i="29"/>
  <c r="K461" i="29"/>
  <c r="R460" i="29"/>
  <c r="Q460" i="29"/>
  <c r="P460" i="29"/>
  <c r="O460" i="29"/>
  <c r="N460" i="29"/>
  <c r="M460" i="29"/>
  <c r="L460" i="29"/>
  <c r="K460" i="29"/>
  <c r="X460" i="29" s="1"/>
  <c r="R459" i="29"/>
  <c r="Q459" i="29"/>
  <c r="P459" i="29"/>
  <c r="O459" i="29"/>
  <c r="N459" i="29"/>
  <c r="M459" i="29"/>
  <c r="L459" i="29"/>
  <c r="K459" i="29"/>
  <c r="Y459" i="29" s="1"/>
  <c r="R458" i="29"/>
  <c r="Q458" i="29"/>
  <c r="P458" i="29"/>
  <c r="O458" i="29"/>
  <c r="N458" i="29"/>
  <c r="M458" i="29"/>
  <c r="L458" i="29"/>
  <c r="K458" i="29"/>
  <c r="AA458" i="29" s="1"/>
  <c r="R457" i="29"/>
  <c r="Q457" i="29"/>
  <c r="P457" i="29"/>
  <c r="O457" i="29"/>
  <c r="N457" i="29"/>
  <c r="M457" i="29"/>
  <c r="L457" i="29"/>
  <c r="K457" i="29"/>
  <c r="X457" i="29" s="1"/>
  <c r="R456" i="29"/>
  <c r="Q456" i="29"/>
  <c r="P456" i="29"/>
  <c r="O456" i="29"/>
  <c r="N456" i="29"/>
  <c r="M456" i="29"/>
  <c r="L456" i="29"/>
  <c r="K456" i="29"/>
  <c r="Y456" i="29" s="1"/>
  <c r="R455" i="29"/>
  <c r="Q455" i="29"/>
  <c r="P455" i="29"/>
  <c r="O455" i="29"/>
  <c r="N455" i="29"/>
  <c r="M455" i="29"/>
  <c r="L455" i="29"/>
  <c r="K455" i="29"/>
  <c r="Z455" i="29" s="1"/>
  <c r="R454" i="29"/>
  <c r="Q454" i="29"/>
  <c r="P454" i="29"/>
  <c r="O454" i="29"/>
  <c r="N454" i="29"/>
  <c r="M454" i="29"/>
  <c r="L454" i="29"/>
  <c r="K454" i="29"/>
  <c r="Z454" i="29" s="1"/>
  <c r="R453" i="29"/>
  <c r="Q453" i="29"/>
  <c r="P453" i="29"/>
  <c r="O453" i="29"/>
  <c r="N453" i="29"/>
  <c r="M453" i="29"/>
  <c r="L453" i="29"/>
  <c r="K453" i="29"/>
  <c r="R452" i="29"/>
  <c r="Q452" i="29"/>
  <c r="P452" i="29"/>
  <c r="O452" i="29"/>
  <c r="N452" i="29"/>
  <c r="M452" i="29"/>
  <c r="L452" i="29"/>
  <c r="K452" i="29"/>
  <c r="R451" i="29"/>
  <c r="Q451" i="29"/>
  <c r="P451" i="29"/>
  <c r="O451" i="29"/>
  <c r="N451" i="29"/>
  <c r="M451" i="29"/>
  <c r="L451" i="29"/>
  <c r="K451" i="29"/>
  <c r="V451" i="29"/>
  <c r="R450" i="29"/>
  <c r="Q450" i="29"/>
  <c r="P450" i="29"/>
  <c r="O450" i="29"/>
  <c r="N450" i="29"/>
  <c r="M450" i="29"/>
  <c r="L450" i="29"/>
  <c r="K450" i="29"/>
  <c r="W450" i="29" s="1"/>
  <c r="R449" i="29"/>
  <c r="Q449" i="29"/>
  <c r="P449" i="29"/>
  <c r="O449" i="29"/>
  <c r="N449" i="29"/>
  <c r="M449" i="29"/>
  <c r="L449" i="29"/>
  <c r="K449" i="29"/>
  <c r="V449" i="29" s="1"/>
  <c r="R448" i="29"/>
  <c r="Q448" i="29"/>
  <c r="P448" i="29"/>
  <c r="O448" i="29"/>
  <c r="N448" i="29"/>
  <c r="M448" i="29"/>
  <c r="L448" i="29"/>
  <c r="K448" i="29"/>
  <c r="W448" i="29" s="1"/>
  <c r="R447" i="29"/>
  <c r="Q447" i="29"/>
  <c r="P447" i="29"/>
  <c r="O447" i="29"/>
  <c r="N447" i="29"/>
  <c r="M447" i="29"/>
  <c r="L447" i="29"/>
  <c r="K447" i="29"/>
  <c r="R446" i="29"/>
  <c r="Q446" i="29"/>
  <c r="P446" i="29"/>
  <c r="O446" i="29"/>
  <c r="N446" i="29"/>
  <c r="M446" i="29"/>
  <c r="L446" i="29"/>
  <c r="K446" i="29"/>
  <c r="R445" i="29"/>
  <c r="Q445" i="29"/>
  <c r="P445" i="29"/>
  <c r="O445" i="29"/>
  <c r="N445" i="29"/>
  <c r="M445" i="29"/>
  <c r="L445" i="29"/>
  <c r="K445" i="29"/>
  <c r="R444" i="29"/>
  <c r="Q444" i="29"/>
  <c r="P444" i="29"/>
  <c r="O444" i="29"/>
  <c r="N444" i="29"/>
  <c r="M444" i="29"/>
  <c r="L444" i="29"/>
  <c r="K444" i="29"/>
  <c r="R443" i="29"/>
  <c r="Q443" i="29"/>
  <c r="P443" i="29"/>
  <c r="O443" i="29"/>
  <c r="N443" i="29"/>
  <c r="M443" i="29"/>
  <c r="L443" i="29"/>
  <c r="K443" i="29"/>
  <c r="V443" i="29" s="1"/>
  <c r="R442" i="29"/>
  <c r="Q442" i="29"/>
  <c r="P442" i="29"/>
  <c r="O442" i="29"/>
  <c r="N442" i="29"/>
  <c r="M442" i="29"/>
  <c r="L442" i="29"/>
  <c r="K442" i="29"/>
  <c r="R441" i="29"/>
  <c r="Q441" i="29"/>
  <c r="P441" i="29"/>
  <c r="O441" i="29"/>
  <c r="N441" i="29"/>
  <c r="M441" i="29"/>
  <c r="L441" i="29"/>
  <c r="K441" i="29"/>
  <c r="R440" i="29"/>
  <c r="Q440" i="29"/>
  <c r="P440" i="29"/>
  <c r="O440" i="29"/>
  <c r="N440" i="29"/>
  <c r="M440" i="29"/>
  <c r="L440" i="29"/>
  <c r="K440" i="29"/>
  <c r="R439" i="29"/>
  <c r="Q439" i="29"/>
  <c r="P439" i="29"/>
  <c r="O439" i="29"/>
  <c r="N439" i="29"/>
  <c r="M439" i="29"/>
  <c r="L439" i="29"/>
  <c r="K439" i="29"/>
  <c r="V439" i="29" s="1"/>
  <c r="R438" i="29"/>
  <c r="Q438" i="29"/>
  <c r="P438" i="29"/>
  <c r="O438" i="29"/>
  <c r="N438" i="29"/>
  <c r="M438" i="29"/>
  <c r="L438" i="29"/>
  <c r="K438" i="29"/>
  <c r="R437" i="29"/>
  <c r="Q437" i="29"/>
  <c r="P437" i="29"/>
  <c r="O437" i="29"/>
  <c r="N437" i="29"/>
  <c r="M437" i="29"/>
  <c r="L437" i="29"/>
  <c r="K437" i="29"/>
  <c r="R436" i="29"/>
  <c r="Q436" i="29"/>
  <c r="P436" i="29"/>
  <c r="O436" i="29"/>
  <c r="N436" i="29"/>
  <c r="M436" i="29"/>
  <c r="L436" i="29"/>
  <c r="AA436" i="29" s="1"/>
  <c r="K436" i="29"/>
  <c r="R435" i="29"/>
  <c r="Q435" i="29"/>
  <c r="P435" i="29"/>
  <c r="O435" i="29"/>
  <c r="N435" i="29"/>
  <c r="M435" i="29"/>
  <c r="L435" i="29"/>
  <c r="K435" i="29"/>
  <c r="R434" i="29"/>
  <c r="Q434" i="29"/>
  <c r="P434" i="29"/>
  <c r="O434" i="29"/>
  <c r="N434" i="29"/>
  <c r="M434" i="29"/>
  <c r="L434" i="29"/>
  <c r="K434" i="29"/>
  <c r="V434" i="29" s="1"/>
  <c r="R433" i="29"/>
  <c r="Q433" i="29"/>
  <c r="P433" i="29"/>
  <c r="O433" i="29"/>
  <c r="N433" i="29"/>
  <c r="M433" i="29"/>
  <c r="L433" i="29"/>
  <c r="K433" i="29"/>
  <c r="R432" i="29"/>
  <c r="Q432" i="29"/>
  <c r="P432" i="29"/>
  <c r="O432" i="29"/>
  <c r="N432" i="29"/>
  <c r="M432" i="29"/>
  <c r="L432" i="29"/>
  <c r="K432" i="29"/>
  <c r="R431" i="29"/>
  <c r="Q431" i="29"/>
  <c r="P431" i="29"/>
  <c r="O431" i="29"/>
  <c r="N431" i="29"/>
  <c r="M431" i="29"/>
  <c r="L431" i="29"/>
  <c r="K431" i="29"/>
  <c r="R430" i="29"/>
  <c r="Q430" i="29"/>
  <c r="P430" i="29"/>
  <c r="O430" i="29"/>
  <c r="N430" i="29"/>
  <c r="M430" i="29"/>
  <c r="L430" i="29"/>
  <c r="K430" i="29"/>
  <c r="R429" i="29"/>
  <c r="Q429" i="29"/>
  <c r="P429" i="29"/>
  <c r="O429" i="29"/>
  <c r="N429" i="29"/>
  <c r="M429" i="29"/>
  <c r="L429" i="29"/>
  <c r="K429" i="29"/>
  <c r="Z429" i="29" s="1"/>
  <c r="R428" i="29"/>
  <c r="Q428" i="29"/>
  <c r="P428" i="29"/>
  <c r="O428" i="29"/>
  <c r="N428" i="29"/>
  <c r="M428" i="29"/>
  <c r="L428" i="29"/>
  <c r="K428" i="29"/>
  <c r="R427" i="29"/>
  <c r="Q427" i="29"/>
  <c r="P427" i="29"/>
  <c r="O427" i="29"/>
  <c r="N427" i="29"/>
  <c r="M427" i="29"/>
  <c r="L427" i="29"/>
  <c r="K427" i="29"/>
  <c r="R426" i="29"/>
  <c r="Q426" i="29"/>
  <c r="P426" i="29"/>
  <c r="O426" i="29"/>
  <c r="N426" i="29"/>
  <c r="M426" i="29"/>
  <c r="L426" i="29"/>
  <c r="K426" i="29"/>
  <c r="R425" i="29"/>
  <c r="Q425" i="29"/>
  <c r="P425" i="29"/>
  <c r="O425" i="29"/>
  <c r="N425" i="29"/>
  <c r="M425" i="29"/>
  <c r="L425" i="29"/>
  <c r="K425" i="29"/>
  <c r="R424" i="29"/>
  <c r="Q424" i="29"/>
  <c r="P424" i="29"/>
  <c r="O424" i="29"/>
  <c r="N424" i="29"/>
  <c r="M424" i="29"/>
  <c r="L424" i="29"/>
  <c r="K424" i="29"/>
  <c r="R423" i="29"/>
  <c r="Q423" i="29"/>
  <c r="P423" i="29"/>
  <c r="O423" i="29"/>
  <c r="N423" i="29"/>
  <c r="M423" i="29"/>
  <c r="L423" i="29"/>
  <c r="K423" i="29"/>
  <c r="R422" i="29"/>
  <c r="Q422" i="29"/>
  <c r="P422" i="29"/>
  <c r="O422" i="29"/>
  <c r="N422" i="29"/>
  <c r="M422" i="29"/>
  <c r="L422" i="29"/>
  <c r="K422" i="29"/>
  <c r="R421" i="29"/>
  <c r="Q421" i="29"/>
  <c r="P421" i="29"/>
  <c r="O421" i="29"/>
  <c r="N421" i="29"/>
  <c r="M421" i="29"/>
  <c r="L421" i="29"/>
  <c r="K421" i="29"/>
  <c r="R420" i="29"/>
  <c r="Q420" i="29"/>
  <c r="P420" i="29"/>
  <c r="O420" i="29"/>
  <c r="N420" i="29"/>
  <c r="M420" i="29"/>
  <c r="L420" i="29"/>
  <c r="X420" i="29" s="1"/>
  <c r="K420" i="29"/>
  <c r="R419" i="29"/>
  <c r="Q419" i="29"/>
  <c r="P419" i="29"/>
  <c r="O419" i="29"/>
  <c r="N419" i="29"/>
  <c r="M419" i="29"/>
  <c r="L419" i="29"/>
  <c r="K419" i="29"/>
  <c r="R418" i="29"/>
  <c r="Q418" i="29"/>
  <c r="P418" i="29"/>
  <c r="O418" i="29"/>
  <c r="N418" i="29"/>
  <c r="M418" i="29"/>
  <c r="L418" i="29"/>
  <c r="K418" i="29"/>
  <c r="R417" i="29"/>
  <c r="Q417" i="29"/>
  <c r="P417" i="29"/>
  <c r="O417" i="29"/>
  <c r="N417" i="29"/>
  <c r="M417" i="29"/>
  <c r="L417" i="29"/>
  <c r="K417" i="29"/>
  <c r="W417" i="29" s="1"/>
  <c r="R416" i="29"/>
  <c r="Q416" i="29"/>
  <c r="P416" i="29"/>
  <c r="O416" i="29"/>
  <c r="N416" i="29"/>
  <c r="M416" i="29"/>
  <c r="L416" i="29"/>
  <c r="K416" i="29"/>
  <c r="R415" i="29"/>
  <c r="Q415" i="29"/>
  <c r="P415" i="29"/>
  <c r="O415" i="29"/>
  <c r="N415" i="29"/>
  <c r="M415" i="29"/>
  <c r="L415" i="29"/>
  <c r="K415" i="29"/>
  <c r="Y415" i="29" s="1"/>
  <c r="R414" i="29"/>
  <c r="Q414" i="29"/>
  <c r="P414" i="29"/>
  <c r="O414" i="29"/>
  <c r="N414" i="29"/>
  <c r="M414" i="29"/>
  <c r="L414" i="29"/>
  <c r="K414" i="29"/>
  <c r="R413" i="29"/>
  <c r="Q413" i="29"/>
  <c r="P413" i="29"/>
  <c r="O413" i="29"/>
  <c r="N413" i="29"/>
  <c r="M413" i="29"/>
  <c r="L413" i="29"/>
  <c r="K413" i="29"/>
  <c r="R412" i="29"/>
  <c r="Q412" i="29"/>
  <c r="P412" i="29"/>
  <c r="O412" i="29"/>
  <c r="N412" i="29"/>
  <c r="M412" i="29"/>
  <c r="L412" i="29"/>
  <c r="K412" i="29"/>
  <c r="R411" i="29"/>
  <c r="Q411" i="29"/>
  <c r="P411" i="29"/>
  <c r="O411" i="29"/>
  <c r="N411" i="29"/>
  <c r="M411" i="29"/>
  <c r="L411" i="29"/>
  <c r="K411" i="29"/>
  <c r="X411" i="29" s="1"/>
  <c r="R410" i="29"/>
  <c r="Q410" i="29"/>
  <c r="P410" i="29"/>
  <c r="O410" i="29"/>
  <c r="N410" i="29"/>
  <c r="M410" i="29"/>
  <c r="L410" i="29"/>
  <c r="K410" i="29"/>
  <c r="R409" i="29"/>
  <c r="Q409" i="29"/>
  <c r="P409" i="29"/>
  <c r="O409" i="29"/>
  <c r="N409" i="29"/>
  <c r="M409" i="29"/>
  <c r="L409" i="29"/>
  <c r="AA409" i="29" s="1"/>
  <c r="K409" i="29"/>
  <c r="R408" i="29"/>
  <c r="Q408" i="29"/>
  <c r="P408" i="29"/>
  <c r="O408" i="29"/>
  <c r="N408" i="29"/>
  <c r="M408" i="29"/>
  <c r="L408" i="29"/>
  <c r="K408" i="29"/>
  <c r="R407" i="29"/>
  <c r="Q407" i="29"/>
  <c r="P407" i="29"/>
  <c r="O407" i="29"/>
  <c r="N407" i="29"/>
  <c r="M407" i="29"/>
  <c r="L407" i="29"/>
  <c r="K407" i="29"/>
  <c r="R406" i="29"/>
  <c r="Q406" i="29"/>
  <c r="P406" i="29"/>
  <c r="O406" i="29"/>
  <c r="N406" i="29"/>
  <c r="M406" i="29"/>
  <c r="L406" i="29"/>
  <c r="K406" i="29"/>
  <c r="R405" i="29"/>
  <c r="Q405" i="29"/>
  <c r="P405" i="29"/>
  <c r="O405" i="29"/>
  <c r="N405" i="29"/>
  <c r="M405" i="29"/>
  <c r="L405" i="29"/>
  <c r="K405" i="29"/>
  <c r="R404" i="29"/>
  <c r="Q404" i="29"/>
  <c r="P404" i="29"/>
  <c r="O404" i="29"/>
  <c r="N404" i="29"/>
  <c r="M404" i="29"/>
  <c r="L404" i="29"/>
  <c r="K404" i="29"/>
  <c r="R403" i="29"/>
  <c r="Q403" i="29"/>
  <c r="P403" i="29"/>
  <c r="O403" i="29"/>
  <c r="N403" i="29"/>
  <c r="M403" i="29"/>
  <c r="L403" i="29"/>
  <c r="K403" i="29"/>
  <c r="R402" i="29"/>
  <c r="Q402" i="29"/>
  <c r="P402" i="29"/>
  <c r="O402" i="29"/>
  <c r="N402" i="29"/>
  <c r="M402" i="29"/>
  <c r="L402" i="29"/>
  <c r="K402" i="29"/>
  <c r="X402" i="29" s="1"/>
  <c r="R401" i="29"/>
  <c r="Q401" i="29"/>
  <c r="P401" i="29"/>
  <c r="O401" i="29"/>
  <c r="N401" i="29"/>
  <c r="M401" i="29"/>
  <c r="L401" i="29"/>
  <c r="K401" i="29"/>
  <c r="R400" i="29"/>
  <c r="Q400" i="29"/>
  <c r="P400" i="29"/>
  <c r="O400" i="29"/>
  <c r="N400" i="29"/>
  <c r="M400" i="29"/>
  <c r="L400" i="29"/>
  <c r="Z400" i="29" s="1"/>
  <c r="K400" i="29"/>
  <c r="R399" i="29"/>
  <c r="Q399" i="29"/>
  <c r="P399" i="29"/>
  <c r="O399" i="29"/>
  <c r="N399" i="29"/>
  <c r="M399" i="29"/>
  <c r="L399" i="29"/>
  <c r="K399" i="29"/>
  <c r="R398" i="29"/>
  <c r="Q398" i="29"/>
  <c r="P398" i="29"/>
  <c r="O398" i="29"/>
  <c r="N398" i="29"/>
  <c r="M398" i="29"/>
  <c r="L398" i="29"/>
  <c r="K398" i="29"/>
  <c r="R397" i="29"/>
  <c r="Q397" i="29"/>
  <c r="P397" i="29"/>
  <c r="O397" i="29"/>
  <c r="N397" i="29"/>
  <c r="M397" i="29"/>
  <c r="L397" i="29"/>
  <c r="K397" i="29"/>
  <c r="R396" i="29"/>
  <c r="Q396" i="29"/>
  <c r="P396" i="29"/>
  <c r="O396" i="29"/>
  <c r="N396" i="29"/>
  <c r="M396" i="29"/>
  <c r="L396" i="29"/>
  <c r="K396" i="29"/>
  <c r="Y396" i="29"/>
  <c r="R395" i="29"/>
  <c r="Q395" i="29"/>
  <c r="P395" i="29"/>
  <c r="O395" i="29"/>
  <c r="N395" i="29"/>
  <c r="M395" i="29"/>
  <c r="L395" i="29"/>
  <c r="K395" i="29"/>
  <c r="W395" i="29" s="1"/>
  <c r="R394" i="29"/>
  <c r="Q394" i="29"/>
  <c r="P394" i="29"/>
  <c r="O394" i="29"/>
  <c r="N394" i="29"/>
  <c r="M394" i="29"/>
  <c r="L394" i="29"/>
  <c r="K394" i="29"/>
  <c r="R393" i="29"/>
  <c r="Q393" i="29"/>
  <c r="P393" i="29"/>
  <c r="O393" i="29"/>
  <c r="N393" i="29"/>
  <c r="M393" i="29"/>
  <c r="L393" i="29"/>
  <c r="K393" i="29"/>
  <c r="R392" i="29"/>
  <c r="Q392" i="29"/>
  <c r="P392" i="29"/>
  <c r="O392" i="29"/>
  <c r="N392" i="29"/>
  <c r="M392" i="29"/>
  <c r="L392" i="29"/>
  <c r="K392" i="29"/>
  <c r="R391" i="29"/>
  <c r="Q391" i="29"/>
  <c r="P391" i="29"/>
  <c r="O391" i="29"/>
  <c r="N391" i="29"/>
  <c r="M391" i="29"/>
  <c r="L391" i="29"/>
  <c r="K391" i="29"/>
  <c r="R390" i="29"/>
  <c r="Q390" i="29"/>
  <c r="P390" i="29"/>
  <c r="O390" i="29"/>
  <c r="N390" i="29"/>
  <c r="M390" i="29"/>
  <c r="L390" i="29"/>
  <c r="X390" i="29" s="1"/>
  <c r="K390" i="29"/>
  <c r="R389" i="29"/>
  <c r="Q389" i="29"/>
  <c r="P389" i="29"/>
  <c r="O389" i="29"/>
  <c r="N389" i="29"/>
  <c r="M389" i="29"/>
  <c r="L389" i="29"/>
  <c r="K389" i="29"/>
  <c r="R388" i="29"/>
  <c r="Q388" i="29"/>
  <c r="P388" i="29"/>
  <c r="O388" i="29"/>
  <c r="N388" i="29"/>
  <c r="M388" i="29"/>
  <c r="L388" i="29"/>
  <c r="K388" i="29"/>
  <c r="R387" i="29"/>
  <c r="Q387" i="29"/>
  <c r="P387" i="29"/>
  <c r="O387" i="29"/>
  <c r="N387" i="29"/>
  <c r="M387" i="29"/>
  <c r="L387" i="29"/>
  <c r="K387" i="29"/>
  <c r="R386" i="29"/>
  <c r="Q386" i="29"/>
  <c r="P386" i="29"/>
  <c r="O386" i="29"/>
  <c r="N386" i="29"/>
  <c r="M386" i="29"/>
  <c r="L386" i="29"/>
  <c r="K386" i="29"/>
  <c r="X386" i="29"/>
  <c r="R385" i="29"/>
  <c r="Q385" i="29"/>
  <c r="P385" i="29"/>
  <c r="O385" i="29"/>
  <c r="N385" i="29"/>
  <c r="M385" i="29"/>
  <c r="L385" i="29"/>
  <c r="K385" i="29"/>
  <c r="Y385" i="29" s="1"/>
  <c r="R384" i="29"/>
  <c r="Q384" i="29"/>
  <c r="P384" i="29"/>
  <c r="O384" i="29"/>
  <c r="N384" i="29"/>
  <c r="M384" i="29"/>
  <c r="L384" i="29"/>
  <c r="K384" i="29"/>
  <c r="R383" i="29"/>
  <c r="Q383" i="29"/>
  <c r="P383" i="29"/>
  <c r="O383" i="29"/>
  <c r="N383" i="29"/>
  <c r="M383" i="29"/>
  <c r="L383" i="29"/>
  <c r="K383" i="29"/>
  <c r="AA383" i="29" s="1"/>
  <c r="R382" i="29"/>
  <c r="Q382" i="29"/>
  <c r="P382" i="29"/>
  <c r="O382" i="29"/>
  <c r="N382" i="29"/>
  <c r="M382" i="29"/>
  <c r="L382" i="29"/>
  <c r="K382" i="29"/>
  <c r="R381" i="29"/>
  <c r="Q381" i="29"/>
  <c r="P381" i="29"/>
  <c r="O381" i="29"/>
  <c r="N381" i="29"/>
  <c r="M381" i="29"/>
  <c r="L381" i="29"/>
  <c r="K381" i="29"/>
  <c r="U381" i="29" s="1"/>
  <c r="R380" i="29"/>
  <c r="Q380" i="29"/>
  <c r="P380" i="29"/>
  <c r="O380" i="29"/>
  <c r="N380" i="29"/>
  <c r="M380" i="29"/>
  <c r="L380" i="29"/>
  <c r="K380" i="29"/>
  <c r="R379" i="29"/>
  <c r="Q379" i="29"/>
  <c r="P379" i="29"/>
  <c r="O379" i="29"/>
  <c r="N379" i="29"/>
  <c r="M379" i="29"/>
  <c r="L379" i="29"/>
  <c r="K379" i="29"/>
  <c r="Z379" i="29" s="1"/>
  <c r="R378" i="29"/>
  <c r="Q378" i="29"/>
  <c r="P378" i="29"/>
  <c r="O378" i="29"/>
  <c r="N378" i="29"/>
  <c r="M378" i="29"/>
  <c r="L378" i="29"/>
  <c r="K378" i="29"/>
  <c r="R377" i="29"/>
  <c r="Q377" i="29"/>
  <c r="P377" i="29"/>
  <c r="O377" i="29"/>
  <c r="N377" i="29"/>
  <c r="M377" i="29"/>
  <c r="L377" i="29"/>
  <c r="K377" i="29"/>
  <c r="R376" i="29"/>
  <c r="Q376" i="29"/>
  <c r="P376" i="29"/>
  <c r="O376" i="29"/>
  <c r="N376" i="29"/>
  <c r="M376" i="29"/>
  <c r="L376" i="29"/>
  <c r="K376" i="29"/>
  <c r="R375" i="29"/>
  <c r="Q375" i="29"/>
  <c r="P375" i="29"/>
  <c r="O375" i="29"/>
  <c r="N375" i="29"/>
  <c r="M375" i="29"/>
  <c r="L375" i="29"/>
  <c r="K375" i="29"/>
  <c r="R374" i="29"/>
  <c r="Q374" i="29"/>
  <c r="P374" i="29"/>
  <c r="O374" i="29"/>
  <c r="N374" i="29"/>
  <c r="M374" i="29"/>
  <c r="L374" i="29"/>
  <c r="K374" i="29"/>
  <c r="R373" i="29"/>
  <c r="Q373" i="29"/>
  <c r="P373" i="29"/>
  <c r="O373" i="29"/>
  <c r="N373" i="29"/>
  <c r="M373" i="29"/>
  <c r="L373" i="29"/>
  <c r="K373" i="29"/>
  <c r="R372" i="29"/>
  <c r="Q372" i="29"/>
  <c r="P372" i="29"/>
  <c r="O372" i="29"/>
  <c r="N372" i="29"/>
  <c r="M372" i="29"/>
  <c r="L372" i="29"/>
  <c r="K372" i="29"/>
  <c r="R371" i="29"/>
  <c r="Q371" i="29"/>
  <c r="P371" i="29"/>
  <c r="O371" i="29"/>
  <c r="N371" i="29"/>
  <c r="M371" i="29"/>
  <c r="L371" i="29"/>
  <c r="K371" i="29"/>
  <c r="R370" i="29"/>
  <c r="Q370" i="29"/>
  <c r="P370" i="29"/>
  <c r="O370" i="29"/>
  <c r="N370" i="29"/>
  <c r="M370" i="29"/>
  <c r="L370" i="29"/>
  <c r="K370" i="29"/>
  <c r="R369" i="29"/>
  <c r="Q369" i="29"/>
  <c r="P369" i="29"/>
  <c r="O369" i="29"/>
  <c r="N369" i="29"/>
  <c r="M369" i="29"/>
  <c r="L369" i="29"/>
  <c r="K369" i="29"/>
  <c r="R368" i="29"/>
  <c r="Q368" i="29"/>
  <c r="P368" i="29"/>
  <c r="O368" i="29"/>
  <c r="N368" i="29"/>
  <c r="M368" i="29"/>
  <c r="L368" i="29"/>
  <c r="K368" i="29"/>
  <c r="R367" i="29"/>
  <c r="Q367" i="29"/>
  <c r="P367" i="29"/>
  <c r="O367" i="29"/>
  <c r="N367" i="29"/>
  <c r="M367" i="29"/>
  <c r="L367" i="29"/>
  <c r="K367" i="29"/>
  <c r="R366" i="29"/>
  <c r="Q366" i="29"/>
  <c r="P366" i="29"/>
  <c r="O366" i="29"/>
  <c r="N366" i="29"/>
  <c r="M366" i="29"/>
  <c r="L366" i="29"/>
  <c r="K366" i="29"/>
  <c r="R365" i="29"/>
  <c r="Q365" i="29"/>
  <c r="P365" i="29"/>
  <c r="O365" i="29"/>
  <c r="N365" i="29"/>
  <c r="M365" i="29"/>
  <c r="L365" i="29"/>
  <c r="K365" i="29"/>
  <c r="R364" i="29"/>
  <c r="Q364" i="29"/>
  <c r="P364" i="29"/>
  <c r="O364" i="29"/>
  <c r="N364" i="29"/>
  <c r="M364" i="29"/>
  <c r="L364" i="29"/>
  <c r="K364" i="29"/>
  <c r="R363" i="29"/>
  <c r="Q363" i="29"/>
  <c r="P363" i="29"/>
  <c r="O363" i="29"/>
  <c r="N363" i="29"/>
  <c r="M363" i="29"/>
  <c r="L363" i="29"/>
  <c r="K363" i="29"/>
  <c r="W363" i="29" s="1"/>
  <c r="R362" i="29"/>
  <c r="Q362" i="29"/>
  <c r="P362" i="29"/>
  <c r="O362" i="29"/>
  <c r="N362" i="29"/>
  <c r="M362" i="29"/>
  <c r="L362" i="29"/>
  <c r="K362" i="29"/>
  <c r="R361" i="29"/>
  <c r="Q361" i="29"/>
  <c r="P361" i="29"/>
  <c r="O361" i="29"/>
  <c r="N361" i="29"/>
  <c r="M361" i="29"/>
  <c r="L361" i="29"/>
  <c r="K361" i="29"/>
  <c r="R360" i="29"/>
  <c r="Q360" i="29"/>
  <c r="P360" i="29"/>
  <c r="O360" i="29"/>
  <c r="N360" i="29"/>
  <c r="M360" i="29"/>
  <c r="L360" i="29"/>
  <c r="K360" i="29"/>
  <c r="V360" i="29" s="1"/>
  <c r="R359" i="29"/>
  <c r="Q359" i="29"/>
  <c r="P359" i="29"/>
  <c r="O359" i="29"/>
  <c r="N359" i="29"/>
  <c r="M359" i="29"/>
  <c r="L359" i="29"/>
  <c r="K359" i="29"/>
  <c r="R358" i="29"/>
  <c r="Q358" i="29"/>
  <c r="P358" i="29"/>
  <c r="O358" i="29"/>
  <c r="N358" i="29"/>
  <c r="M358" i="29"/>
  <c r="L358" i="29"/>
  <c r="K358" i="29"/>
  <c r="R357" i="29"/>
  <c r="Q357" i="29"/>
  <c r="P357" i="29"/>
  <c r="O357" i="29"/>
  <c r="N357" i="29"/>
  <c r="M357" i="29"/>
  <c r="L357" i="29"/>
  <c r="K357" i="29"/>
  <c r="Y357" i="29"/>
  <c r="R356" i="29"/>
  <c r="Q356" i="29"/>
  <c r="P356" i="29"/>
  <c r="O356" i="29"/>
  <c r="N356" i="29"/>
  <c r="M356" i="29"/>
  <c r="L356" i="29"/>
  <c r="K356" i="29"/>
  <c r="R355" i="29"/>
  <c r="Q355" i="29"/>
  <c r="P355" i="29"/>
  <c r="O355" i="29"/>
  <c r="N355" i="29"/>
  <c r="M355" i="29"/>
  <c r="L355" i="29"/>
  <c r="K355" i="29"/>
  <c r="R354" i="29"/>
  <c r="Q354" i="29"/>
  <c r="P354" i="29"/>
  <c r="O354" i="29"/>
  <c r="N354" i="29"/>
  <c r="M354" i="29"/>
  <c r="L354" i="29"/>
  <c r="K354" i="29"/>
  <c r="X354" i="29" s="1"/>
  <c r="R353" i="29"/>
  <c r="Q353" i="29"/>
  <c r="P353" i="29"/>
  <c r="O353" i="29"/>
  <c r="N353" i="29"/>
  <c r="M353" i="29"/>
  <c r="L353" i="29"/>
  <c r="K353" i="29"/>
  <c r="R352" i="29"/>
  <c r="Q352" i="29"/>
  <c r="P352" i="29"/>
  <c r="O352" i="29"/>
  <c r="N352" i="29"/>
  <c r="M352" i="29"/>
  <c r="L352" i="29"/>
  <c r="K352" i="29"/>
  <c r="R351" i="29"/>
  <c r="Q351" i="29"/>
  <c r="P351" i="29"/>
  <c r="O351" i="29"/>
  <c r="N351" i="29"/>
  <c r="M351" i="29"/>
  <c r="L351" i="29"/>
  <c r="K351" i="29"/>
  <c r="R350" i="29"/>
  <c r="Q350" i="29"/>
  <c r="P350" i="29"/>
  <c r="O350" i="29"/>
  <c r="N350" i="29"/>
  <c r="M350" i="29"/>
  <c r="L350" i="29"/>
  <c r="K350" i="29"/>
  <c r="X350" i="29" s="1"/>
  <c r="R349" i="29"/>
  <c r="Q349" i="29"/>
  <c r="P349" i="29"/>
  <c r="O349" i="29"/>
  <c r="N349" i="29"/>
  <c r="M349" i="29"/>
  <c r="L349" i="29"/>
  <c r="K349" i="29"/>
  <c r="R348" i="29"/>
  <c r="Q348" i="29"/>
  <c r="P348" i="29"/>
  <c r="O348" i="29"/>
  <c r="N348" i="29"/>
  <c r="M348" i="29"/>
  <c r="L348" i="29"/>
  <c r="K348" i="29"/>
  <c r="R347" i="29"/>
  <c r="Q347" i="29"/>
  <c r="P347" i="29"/>
  <c r="O347" i="29"/>
  <c r="N347" i="29"/>
  <c r="M347" i="29"/>
  <c r="L347" i="29"/>
  <c r="K347" i="29"/>
  <c r="R346" i="29"/>
  <c r="Q346" i="29"/>
  <c r="P346" i="29"/>
  <c r="O346" i="29"/>
  <c r="N346" i="29"/>
  <c r="M346" i="29"/>
  <c r="L346" i="29"/>
  <c r="K346" i="29"/>
  <c r="R345" i="29"/>
  <c r="Q345" i="29"/>
  <c r="P345" i="29"/>
  <c r="O345" i="29"/>
  <c r="N345" i="29"/>
  <c r="M345" i="29"/>
  <c r="L345" i="29"/>
  <c r="K345" i="29"/>
  <c r="R344" i="29"/>
  <c r="Q344" i="29"/>
  <c r="P344" i="29"/>
  <c r="O344" i="29"/>
  <c r="N344" i="29"/>
  <c r="M344" i="29"/>
  <c r="L344" i="29"/>
  <c r="K344" i="29"/>
  <c r="R343" i="29"/>
  <c r="Q343" i="29"/>
  <c r="P343" i="29"/>
  <c r="O343" i="29"/>
  <c r="N343" i="29"/>
  <c r="M343" i="29"/>
  <c r="L343" i="29"/>
  <c r="K343" i="29"/>
  <c r="AA343" i="29" s="1"/>
  <c r="R342" i="29"/>
  <c r="Q342" i="29"/>
  <c r="P342" i="29"/>
  <c r="O342" i="29"/>
  <c r="N342" i="29"/>
  <c r="M342" i="29"/>
  <c r="L342" i="29"/>
  <c r="K342" i="29"/>
  <c r="R341" i="29"/>
  <c r="Q341" i="29"/>
  <c r="P341" i="29"/>
  <c r="O341" i="29"/>
  <c r="N341" i="29"/>
  <c r="M341" i="29"/>
  <c r="L341" i="29"/>
  <c r="K341" i="29"/>
  <c r="R340" i="29"/>
  <c r="Q340" i="29"/>
  <c r="P340" i="29"/>
  <c r="O340" i="29"/>
  <c r="N340" i="29"/>
  <c r="M340" i="29"/>
  <c r="L340" i="29"/>
  <c r="K340" i="29"/>
  <c r="R339" i="29"/>
  <c r="Q339" i="29"/>
  <c r="P339" i="29"/>
  <c r="O339" i="29"/>
  <c r="N339" i="29"/>
  <c r="M339" i="29"/>
  <c r="L339" i="29"/>
  <c r="K339" i="29"/>
  <c r="AA339" i="29" s="1"/>
  <c r="R338" i="29"/>
  <c r="Q338" i="29"/>
  <c r="P338" i="29"/>
  <c r="O338" i="29"/>
  <c r="N338" i="29"/>
  <c r="M338" i="29"/>
  <c r="L338" i="29"/>
  <c r="K338" i="29"/>
  <c r="R337" i="29"/>
  <c r="Q337" i="29"/>
  <c r="P337" i="29"/>
  <c r="O337" i="29"/>
  <c r="N337" i="29"/>
  <c r="M337" i="29"/>
  <c r="L337" i="29"/>
  <c r="K337" i="29"/>
  <c r="Y337" i="29" s="1"/>
  <c r="R336" i="29"/>
  <c r="Q336" i="29"/>
  <c r="P336" i="29"/>
  <c r="O336" i="29"/>
  <c r="N336" i="29"/>
  <c r="M336" i="29"/>
  <c r="L336" i="29"/>
  <c r="K336" i="29"/>
  <c r="R335" i="29"/>
  <c r="Q335" i="29"/>
  <c r="P335" i="29"/>
  <c r="O335" i="29"/>
  <c r="N335" i="29"/>
  <c r="M335" i="29"/>
  <c r="L335" i="29"/>
  <c r="K335" i="29"/>
  <c r="W335" i="29" s="1"/>
  <c r="R334" i="29"/>
  <c r="Q334" i="29"/>
  <c r="P334" i="29"/>
  <c r="O334" i="29"/>
  <c r="N334" i="29"/>
  <c r="M334" i="29"/>
  <c r="L334" i="29"/>
  <c r="K334" i="29"/>
  <c r="X334" i="29" s="1"/>
  <c r="R333" i="29"/>
  <c r="Q333" i="29"/>
  <c r="P333" i="29"/>
  <c r="O333" i="29"/>
  <c r="N333" i="29"/>
  <c r="M333" i="29"/>
  <c r="L333" i="29"/>
  <c r="K333" i="29"/>
  <c r="R332" i="29"/>
  <c r="Q332" i="29"/>
  <c r="P332" i="29"/>
  <c r="O332" i="29"/>
  <c r="N332" i="29"/>
  <c r="M332" i="29"/>
  <c r="L332" i="29"/>
  <c r="K332" i="29"/>
  <c r="R331" i="29"/>
  <c r="Q331" i="29"/>
  <c r="P331" i="29"/>
  <c r="O331" i="29"/>
  <c r="N331" i="29"/>
  <c r="M331" i="29"/>
  <c r="L331" i="29"/>
  <c r="K331" i="29"/>
  <c r="R330" i="29"/>
  <c r="Q330" i="29"/>
  <c r="P330" i="29"/>
  <c r="O330" i="29"/>
  <c r="N330" i="29"/>
  <c r="M330" i="29"/>
  <c r="L330" i="29"/>
  <c r="K330" i="29"/>
  <c r="R329" i="29"/>
  <c r="Q329" i="29"/>
  <c r="P329" i="29"/>
  <c r="O329" i="29"/>
  <c r="N329" i="29"/>
  <c r="M329" i="29"/>
  <c r="L329" i="29"/>
  <c r="Y329" i="29" s="1"/>
  <c r="K329" i="29"/>
  <c r="R328" i="29"/>
  <c r="Q328" i="29"/>
  <c r="P328" i="29"/>
  <c r="O328" i="29"/>
  <c r="N328" i="29"/>
  <c r="M328" i="29"/>
  <c r="L328" i="29"/>
  <c r="K328" i="29"/>
  <c r="R327" i="29"/>
  <c r="Q327" i="29"/>
  <c r="P327" i="29"/>
  <c r="O327" i="29"/>
  <c r="N327" i="29"/>
  <c r="M327" i="29"/>
  <c r="L327" i="29"/>
  <c r="W327" i="29" s="1"/>
  <c r="K327" i="29"/>
  <c r="R326" i="29"/>
  <c r="Q326" i="29"/>
  <c r="P326" i="29"/>
  <c r="O326" i="29"/>
  <c r="N326" i="29"/>
  <c r="M326" i="29"/>
  <c r="L326" i="29"/>
  <c r="K326" i="29"/>
  <c r="R325" i="29"/>
  <c r="Q325" i="29"/>
  <c r="P325" i="29"/>
  <c r="O325" i="29"/>
  <c r="N325" i="29"/>
  <c r="M325" i="29"/>
  <c r="L325" i="29"/>
  <c r="K325" i="29"/>
  <c r="R324" i="29"/>
  <c r="Q324" i="29"/>
  <c r="P324" i="29"/>
  <c r="O324" i="29"/>
  <c r="N324" i="29"/>
  <c r="M324" i="29"/>
  <c r="L324" i="29"/>
  <c r="K324" i="29"/>
  <c r="R323" i="29"/>
  <c r="Q323" i="29"/>
  <c r="P323" i="29"/>
  <c r="O323" i="29"/>
  <c r="N323" i="29"/>
  <c r="M323" i="29"/>
  <c r="L323" i="29"/>
  <c r="Y323" i="29" s="1"/>
  <c r="K323" i="29"/>
  <c r="R322" i="29"/>
  <c r="Q322" i="29"/>
  <c r="P322" i="29"/>
  <c r="O322" i="29"/>
  <c r="N322" i="29"/>
  <c r="M322" i="29"/>
  <c r="L322" i="29"/>
  <c r="K322" i="29"/>
  <c r="R321" i="29"/>
  <c r="Q321" i="29"/>
  <c r="P321" i="29"/>
  <c r="O321" i="29"/>
  <c r="N321" i="29"/>
  <c r="M321" i="29"/>
  <c r="L321" i="29"/>
  <c r="K321" i="29"/>
  <c r="R320" i="29"/>
  <c r="Q320" i="29"/>
  <c r="P320" i="29"/>
  <c r="O320" i="29"/>
  <c r="N320" i="29"/>
  <c r="M320" i="29"/>
  <c r="L320" i="29"/>
  <c r="K320" i="29"/>
  <c r="R319" i="29"/>
  <c r="Q319" i="29"/>
  <c r="P319" i="29"/>
  <c r="O319" i="29"/>
  <c r="N319" i="29"/>
  <c r="M319" i="29"/>
  <c r="L319" i="29"/>
  <c r="K319" i="29"/>
  <c r="R318" i="29"/>
  <c r="Q318" i="29"/>
  <c r="P318" i="29"/>
  <c r="O318" i="29"/>
  <c r="N318" i="29"/>
  <c r="M318" i="29"/>
  <c r="L318" i="29"/>
  <c r="K318" i="29"/>
  <c r="R317" i="29"/>
  <c r="Q317" i="29"/>
  <c r="P317" i="29"/>
  <c r="O317" i="29"/>
  <c r="N317" i="29"/>
  <c r="M317" i="29"/>
  <c r="L317" i="29"/>
  <c r="K317" i="29"/>
  <c r="Y317" i="29" s="1"/>
  <c r="R316" i="29"/>
  <c r="Q316" i="29"/>
  <c r="P316" i="29"/>
  <c r="O316" i="29"/>
  <c r="N316" i="29"/>
  <c r="M316" i="29"/>
  <c r="L316" i="29"/>
  <c r="K316" i="29"/>
  <c r="R315" i="29"/>
  <c r="Q315" i="29"/>
  <c r="P315" i="29"/>
  <c r="O315" i="29"/>
  <c r="N315" i="29"/>
  <c r="M315" i="29"/>
  <c r="L315" i="29"/>
  <c r="K315" i="29"/>
  <c r="R314" i="29"/>
  <c r="Q314" i="29"/>
  <c r="P314" i="29"/>
  <c r="O314" i="29"/>
  <c r="N314" i="29"/>
  <c r="M314" i="29"/>
  <c r="L314" i="29"/>
  <c r="K314" i="29"/>
  <c r="X314" i="29" s="1"/>
  <c r="R313" i="29"/>
  <c r="Q313" i="29"/>
  <c r="P313" i="29"/>
  <c r="O313" i="29"/>
  <c r="N313" i="29"/>
  <c r="M313" i="29"/>
  <c r="L313" i="29"/>
  <c r="K313" i="29"/>
  <c r="R312" i="29"/>
  <c r="Q312" i="29"/>
  <c r="P312" i="29"/>
  <c r="O312" i="29"/>
  <c r="N312" i="29"/>
  <c r="M312" i="29"/>
  <c r="L312" i="29"/>
  <c r="K312" i="29"/>
  <c r="R311" i="29"/>
  <c r="Q311" i="29"/>
  <c r="P311" i="29"/>
  <c r="O311" i="29"/>
  <c r="N311" i="29"/>
  <c r="M311" i="29"/>
  <c r="L311" i="29"/>
  <c r="K311" i="29"/>
  <c r="R310" i="29"/>
  <c r="Q310" i="29"/>
  <c r="P310" i="29"/>
  <c r="O310" i="29"/>
  <c r="N310" i="29"/>
  <c r="M310" i="29"/>
  <c r="L310" i="29"/>
  <c r="K310" i="29"/>
  <c r="R309" i="29"/>
  <c r="Q309" i="29"/>
  <c r="P309" i="29"/>
  <c r="O309" i="29"/>
  <c r="N309" i="29"/>
  <c r="M309" i="29"/>
  <c r="L309" i="29"/>
  <c r="K309" i="29"/>
  <c r="R308" i="29"/>
  <c r="Q308" i="29"/>
  <c r="P308" i="29"/>
  <c r="O308" i="29"/>
  <c r="N308" i="29"/>
  <c r="M308" i="29"/>
  <c r="L308" i="29"/>
  <c r="K308" i="29"/>
  <c r="R307" i="29"/>
  <c r="Q307" i="29"/>
  <c r="P307" i="29"/>
  <c r="O307" i="29"/>
  <c r="N307" i="29"/>
  <c r="M307" i="29"/>
  <c r="L307" i="29"/>
  <c r="Y307" i="29" s="1"/>
  <c r="K307" i="29"/>
  <c r="R306" i="29"/>
  <c r="Q306" i="29"/>
  <c r="P306" i="29"/>
  <c r="O306" i="29"/>
  <c r="N306" i="29"/>
  <c r="M306" i="29"/>
  <c r="L306" i="29"/>
  <c r="K306" i="29"/>
  <c r="R305" i="29"/>
  <c r="Q305" i="29"/>
  <c r="P305" i="29"/>
  <c r="O305" i="29"/>
  <c r="N305" i="29"/>
  <c r="M305" i="29"/>
  <c r="L305" i="29"/>
  <c r="K305" i="29"/>
  <c r="R304" i="29"/>
  <c r="Q304" i="29"/>
  <c r="P304" i="29"/>
  <c r="O304" i="29"/>
  <c r="N304" i="29"/>
  <c r="M304" i="29"/>
  <c r="L304" i="29"/>
  <c r="K304" i="29"/>
  <c r="R303" i="29"/>
  <c r="Q303" i="29"/>
  <c r="P303" i="29"/>
  <c r="O303" i="29"/>
  <c r="N303" i="29"/>
  <c r="M303" i="29"/>
  <c r="L303" i="29"/>
  <c r="K303" i="29"/>
  <c r="R302" i="29"/>
  <c r="Q302" i="29"/>
  <c r="P302" i="29"/>
  <c r="O302" i="29"/>
  <c r="N302" i="29"/>
  <c r="M302" i="29"/>
  <c r="L302" i="29"/>
  <c r="K302" i="29"/>
  <c r="R301" i="29"/>
  <c r="Q301" i="29"/>
  <c r="P301" i="29"/>
  <c r="O301" i="29"/>
  <c r="N301" i="29"/>
  <c r="M301" i="29"/>
  <c r="L301" i="29"/>
  <c r="K301" i="29"/>
  <c r="R300" i="29"/>
  <c r="Q300" i="29"/>
  <c r="P300" i="29"/>
  <c r="O300" i="29"/>
  <c r="N300" i="29"/>
  <c r="M300" i="29"/>
  <c r="L300" i="29"/>
  <c r="K300" i="29"/>
  <c r="R299" i="29"/>
  <c r="Q299" i="29"/>
  <c r="P299" i="29"/>
  <c r="O299" i="29"/>
  <c r="N299" i="29"/>
  <c r="M299" i="29"/>
  <c r="L299" i="29"/>
  <c r="K299" i="29"/>
  <c r="R298" i="29"/>
  <c r="Q298" i="29"/>
  <c r="P298" i="29"/>
  <c r="O298" i="29"/>
  <c r="N298" i="29"/>
  <c r="M298" i="29"/>
  <c r="L298" i="29"/>
  <c r="K298" i="29"/>
  <c r="AA298" i="29" s="1"/>
  <c r="R297" i="29"/>
  <c r="Q297" i="29"/>
  <c r="P297" i="29"/>
  <c r="O297" i="29"/>
  <c r="N297" i="29"/>
  <c r="M297" i="29"/>
  <c r="L297" i="29"/>
  <c r="K297" i="29"/>
  <c r="R296" i="29"/>
  <c r="Q296" i="29"/>
  <c r="P296" i="29"/>
  <c r="O296" i="29"/>
  <c r="N296" i="29"/>
  <c r="M296" i="29"/>
  <c r="L296" i="29"/>
  <c r="K296" i="29"/>
  <c r="Z296" i="29" s="1"/>
  <c r="R295" i="29"/>
  <c r="Q295" i="29"/>
  <c r="P295" i="29"/>
  <c r="O295" i="29"/>
  <c r="N295" i="29"/>
  <c r="M295" i="29"/>
  <c r="L295" i="29"/>
  <c r="K295" i="29"/>
  <c r="R294" i="29"/>
  <c r="Q294" i="29"/>
  <c r="P294" i="29"/>
  <c r="O294" i="29"/>
  <c r="N294" i="29"/>
  <c r="M294" i="29"/>
  <c r="L294" i="29"/>
  <c r="K294" i="29"/>
  <c r="R293" i="29"/>
  <c r="Q293" i="29"/>
  <c r="P293" i="29"/>
  <c r="O293" i="29"/>
  <c r="N293" i="29"/>
  <c r="M293" i="29"/>
  <c r="L293" i="29"/>
  <c r="K293" i="29"/>
  <c r="R292" i="29"/>
  <c r="Q292" i="29"/>
  <c r="P292" i="29"/>
  <c r="O292" i="29"/>
  <c r="N292" i="29"/>
  <c r="M292" i="29"/>
  <c r="L292" i="29"/>
  <c r="K292" i="29"/>
  <c r="R291" i="29"/>
  <c r="Q291" i="29"/>
  <c r="P291" i="29"/>
  <c r="O291" i="29"/>
  <c r="N291" i="29"/>
  <c r="M291" i="29"/>
  <c r="L291" i="29"/>
  <c r="Y291" i="29" s="1"/>
  <c r="K291" i="29"/>
  <c r="R290" i="29"/>
  <c r="Q290" i="29"/>
  <c r="P290" i="29"/>
  <c r="O290" i="29"/>
  <c r="N290" i="29"/>
  <c r="M290" i="29"/>
  <c r="L290" i="29"/>
  <c r="W290" i="29" s="1"/>
  <c r="K290" i="29"/>
  <c r="R289" i="29"/>
  <c r="Q289" i="29"/>
  <c r="P289" i="29"/>
  <c r="O289" i="29"/>
  <c r="N289" i="29"/>
  <c r="M289" i="29"/>
  <c r="L289" i="29"/>
  <c r="K289" i="29"/>
  <c r="R288" i="29"/>
  <c r="Q288" i="29"/>
  <c r="P288" i="29"/>
  <c r="O288" i="29"/>
  <c r="N288" i="29"/>
  <c r="M288" i="29"/>
  <c r="L288" i="29"/>
  <c r="K288" i="29"/>
  <c r="R287" i="29"/>
  <c r="Q287" i="29"/>
  <c r="P287" i="29"/>
  <c r="O287" i="29"/>
  <c r="N287" i="29"/>
  <c r="M287" i="29"/>
  <c r="L287" i="29"/>
  <c r="K287" i="29"/>
  <c r="R286" i="29"/>
  <c r="Q286" i="29"/>
  <c r="P286" i="29"/>
  <c r="O286" i="29"/>
  <c r="N286" i="29"/>
  <c r="M286" i="29"/>
  <c r="L286" i="29"/>
  <c r="K286" i="29"/>
  <c r="R285" i="29"/>
  <c r="Q285" i="29"/>
  <c r="P285" i="29"/>
  <c r="O285" i="29"/>
  <c r="N285" i="29"/>
  <c r="M285" i="29"/>
  <c r="L285" i="29"/>
  <c r="K285" i="29"/>
  <c r="R284" i="29"/>
  <c r="Q284" i="29"/>
  <c r="P284" i="29"/>
  <c r="O284" i="29"/>
  <c r="N284" i="29"/>
  <c r="M284" i="29"/>
  <c r="L284" i="29"/>
  <c r="K284" i="29"/>
  <c r="R283" i="29"/>
  <c r="Q283" i="29"/>
  <c r="P283" i="29"/>
  <c r="O283" i="29"/>
  <c r="N283" i="29"/>
  <c r="M283" i="29"/>
  <c r="L283" i="29"/>
  <c r="V283" i="29" s="1"/>
  <c r="K283" i="29"/>
  <c r="R282" i="29"/>
  <c r="Q282" i="29"/>
  <c r="P282" i="29"/>
  <c r="O282" i="29"/>
  <c r="N282" i="29"/>
  <c r="M282" i="29"/>
  <c r="L282" i="29"/>
  <c r="K282" i="29"/>
  <c r="R281" i="29"/>
  <c r="Q281" i="29"/>
  <c r="P281" i="29"/>
  <c r="O281" i="29"/>
  <c r="N281" i="29"/>
  <c r="M281" i="29"/>
  <c r="L281" i="29"/>
  <c r="K281" i="29"/>
  <c r="R280" i="29"/>
  <c r="Q280" i="29"/>
  <c r="P280" i="29"/>
  <c r="O280" i="29"/>
  <c r="N280" i="29"/>
  <c r="M280" i="29"/>
  <c r="L280" i="29"/>
  <c r="K280" i="29"/>
  <c r="R279" i="29"/>
  <c r="Q279" i="29"/>
  <c r="P279" i="29"/>
  <c r="O279" i="29"/>
  <c r="N279" i="29"/>
  <c r="M279" i="29"/>
  <c r="L279" i="29"/>
  <c r="K279" i="29"/>
  <c r="R278" i="29"/>
  <c r="Q278" i="29"/>
  <c r="P278" i="29"/>
  <c r="O278" i="29"/>
  <c r="N278" i="29"/>
  <c r="M278" i="29"/>
  <c r="L278" i="29"/>
  <c r="K278" i="29"/>
  <c r="R277" i="29"/>
  <c r="Q277" i="29"/>
  <c r="P277" i="29"/>
  <c r="O277" i="29"/>
  <c r="N277" i="29"/>
  <c r="M277" i="29"/>
  <c r="L277" i="29"/>
  <c r="K277" i="29"/>
  <c r="R276" i="29"/>
  <c r="Q276" i="29"/>
  <c r="P276" i="29"/>
  <c r="O276" i="29"/>
  <c r="N276" i="29"/>
  <c r="M276" i="29"/>
  <c r="L276" i="29"/>
  <c r="Z276" i="29" s="1"/>
  <c r="K276" i="29"/>
  <c r="R275" i="29"/>
  <c r="Q275" i="29"/>
  <c r="P275" i="29"/>
  <c r="O275" i="29"/>
  <c r="N275" i="29"/>
  <c r="M275" i="29"/>
  <c r="L275" i="29"/>
  <c r="K275" i="29"/>
  <c r="R274" i="29"/>
  <c r="Q274" i="29"/>
  <c r="P274" i="29"/>
  <c r="O274" i="29"/>
  <c r="N274" i="29"/>
  <c r="M274" i="29"/>
  <c r="L274" i="29"/>
  <c r="K274" i="29"/>
  <c r="R273" i="29"/>
  <c r="Q273" i="29"/>
  <c r="P273" i="29"/>
  <c r="O273" i="29"/>
  <c r="N273" i="29"/>
  <c r="M273" i="29"/>
  <c r="L273" i="29"/>
  <c r="K273" i="29"/>
  <c r="R272" i="29"/>
  <c r="Q272" i="29"/>
  <c r="P272" i="29"/>
  <c r="O272" i="29"/>
  <c r="N272" i="29"/>
  <c r="M272" i="29"/>
  <c r="L272" i="29"/>
  <c r="K272" i="29"/>
  <c r="R271" i="29"/>
  <c r="Q271" i="29"/>
  <c r="P271" i="29"/>
  <c r="O271" i="29"/>
  <c r="N271" i="29"/>
  <c r="M271" i="29"/>
  <c r="L271" i="29"/>
  <c r="K271" i="29"/>
  <c r="R270" i="29"/>
  <c r="Q270" i="29"/>
  <c r="P270" i="29"/>
  <c r="O270" i="29"/>
  <c r="N270" i="29"/>
  <c r="M270" i="29"/>
  <c r="L270" i="29"/>
  <c r="K270" i="29"/>
  <c r="R269" i="29"/>
  <c r="Q269" i="29"/>
  <c r="P269" i="29"/>
  <c r="O269" i="29"/>
  <c r="N269" i="29"/>
  <c r="M269" i="29"/>
  <c r="L269" i="29"/>
  <c r="K269" i="29"/>
  <c r="R268" i="29"/>
  <c r="Q268" i="29"/>
  <c r="P268" i="29"/>
  <c r="O268" i="29"/>
  <c r="N268" i="29"/>
  <c r="M268" i="29"/>
  <c r="L268" i="29"/>
  <c r="K268" i="29"/>
  <c r="R267" i="29"/>
  <c r="Q267" i="29"/>
  <c r="P267" i="29"/>
  <c r="O267" i="29"/>
  <c r="N267" i="29"/>
  <c r="M267" i="29"/>
  <c r="L267" i="29"/>
  <c r="K267" i="29"/>
  <c r="Y267" i="29"/>
  <c r="R266" i="29"/>
  <c r="Q266" i="29"/>
  <c r="P266" i="29"/>
  <c r="O266" i="29"/>
  <c r="N266" i="29"/>
  <c r="M266" i="29"/>
  <c r="L266" i="29"/>
  <c r="K266" i="29"/>
  <c r="W266" i="29" s="1"/>
  <c r="R265" i="29"/>
  <c r="Q265" i="29"/>
  <c r="P265" i="29"/>
  <c r="O265" i="29"/>
  <c r="N265" i="29"/>
  <c r="M265" i="29"/>
  <c r="L265" i="29"/>
  <c r="K265" i="29"/>
  <c r="T265" i="29" s="1"/>
  <c r="R264" i="29"/>
  <c r="Q264" i="29"/>
  <c r="P264" i="29"/>
  <c r="O264" i="29"/>
  <c r="N264" i="29"/>
  <c r="M264" i="29"/>
  <c r="L264" i="29"/>
  <c r="K264" i="29"/>
  <c r="Z264" i="29" s="1"/>
  <c r="R263" i="29"/>
  <c r="Q263" i="29"/>
  <c r="P263" i="29"/>
  <c r="O263" i="29"/>
  <c r="N263" i="29"/>
  <c r="M263" i="29"/>
  <c r="L263" i="29"/>
  <c r="K263" i="29"/>
  <c r="R262" i="29"/>
  <c r="Q262" i="29"/>
  <c r="P262" i="29"/>
  <c r="O262" i="29"/>
  <c r="N262" i="29"/>
  <c r="M262" i="29"/>
  <c r="L262" i="29"/>
  <c r="K262" i="29"/>
  <c r="R261" i="29"/>
  <c r="Q261" i="29"/>
  <c r="P261" i="29"/>
  <c r="O261" i="29"/>
  <c r="N261" i="29"/>
  <c r="M261" i="29"/>
  <c r="L261" i="29"/>
  <c r="Y261" i="29" s="1"/>
  <c r="K261" i="29"/>
  <c r="X261" i="29"/>
  <c r="R260" i="29"/>
  <c r="Q260" i="29"/>
  <c r="P260" i="29"/>
  <c r="O260" i="29"/>
  <c r="N260" i="29"/>
  <c r="M260" i="29"/>
  <c r="L260" i="29"/>
  <c r="K260" i="29"/>
  <c r="R259" i="29"/>
  <c r="Q259" i="29"/>
  <c r="P259" i="29"/>
  <c r="O259" i="29"/>
  <c r="N259" i="29"/>
  <c r="M259" i="29"/>
  <c r="L259" i="29"/>
  <c r="K259" i="29"/>
  <c r="R258" i="29"/>
  <c r="Q258" i="29"/>
  <c r="P258" i="29"/>
  <c r="O258" i="29"/>
  <c r="N258" i="29"/>
  <c r="M258" i="29"/>
  <c r="L258" i="29"/>
  <c r="K258" i="29"/>
  <c r="X258" i="29" s="1"/>
  <c r="R257" i="29"/>
  <c r="Q257" i="29"/>
  <c r="P257" i="29"/>
  <c r="O257" i="29"/>
  <c r="N257" i="29"/>
  <c r="M257" i="29"/>
  <c r="L257" i="29"/>
  <c r="U257" i="29" s="1"/>
  <c r="K257" i="29"/>
  <c r="Y257" i="29"/>
  <c r="R256" i="29"/>
  <c r="Q256" i="29"/>
  <c r="P256" i="29"/>
  <c r="O256" i="29"/>
  <c r="N256" i="29"/>
  <c r="M256" i="29"/>
  <c r="L256" i="29"/>
  <c r="K256" i="29"/>
  <c r="T256" i="29" s="1"/>
  <c r="R255" i="29"/>
  <c r="Q255" i="29"/>
  <c r="P255" i="29"/>
  <c r="O255" i="29"/>
  <c r="N255" i="29"/>
  <c r="M255" i="29"/>
  <c r="L255" i="29"/>
  <c r="K255" i="29"/>
  <c r="W255" i="29" s="1"/>
  <c r="R254" i="29"/>
  <c r="Q254" i="29"/>
  <c r="P254" i="29"/>
  <c r="O254" i="29"/>
  <c r="N254" i="29"/>
  <c r="M254" i="29"/>
  <c r="L254" i="29"/>
  <c r="K254" i="29"/>
  <c r="R253" i="29"/>
  <c r="Q253" i="29"/>
  <c r="P253" i="29"/>
  <c r="O253" i="29"/>
  <c r="N253" i="29"/>
  <c r="M253" i="29"/>
  <c r="L253" i="29"/>
  <c r="K253" i="29"/>
  <c r="R252" i="29"/>
  <c r="Q252" i="29"/>
  <c r="P252" i="29"/>
  <c r="O252" i="29"/>
  <c r="N252" i="29"/>
  <c r="M252" i="29"/>
  <c r="L252" i="29"/>
  <c r="K252" i="29"/>
  <c r="X252" i="29" s="1"/>
  <c r="R251" i="29"/>
  <c r="Q251" i="29"/>
  <c r="P251" i="29"/>
  <c r="O251" i="29"/>
  <c r="N251" i="29"/>
  <c r="M251" i="29"/>
  <c r="L251" i="29"/>
  <c r="K251" i="29"/>
  <c r="R250" i="29"/>
  <c r="Q250" i="29"/>
  <c r="P250" i="29"/>
  <c r="O250" i="29"/>
  <c r="N250" i="29"/>
  <c r="M250" i="29"/>
  <c r="L250" i="29"/>
  <c r="K250" i="29"/>
  <c r="R249" i="29"/>
  <c r="Q249" i="29"/>
  <c r="P249" i="29"/>
  <c r="O249" i="29"/>
  <c r="N249" i="29"/>
  <c r="M249" i="29"/>
  <c r="L249" i="29"/>
  <c r="K249" i="29"/>
  <c r="R248" i="29"/>
  <c r="Q248" i="29"/>
  <c r="P248" i="29"/>
  <c r="O248" i="29"/>
  <c r="N248" i="29"/>
  <c r="M248" i="29"/>
  <c r="L248" i="29"/>
  <c r="Y248" i="29" s="1"/>
  <c r="K248" i="29"/>
  <c r="R247" i="29"/>
  <c r="Q247" i="29"/>
  <c r="P247" i="29"/>
  <c r="O247" i="29"/>
  <c r="N247" i="29"/>
  <c r="M247" i="29"/>
  <c r="L247" i="29"/>
  <c r="K247" i="29"/>
  <c r="R246" i="29"/>
  <c r="Q246" i="29"/>
  <c r="P246" i="29"/>
  <c r="O246" i="29"/>
  <c r="N246" i="29"/>
  <c r="M246" i="29"/>
  <c r="L246" i="29"/>
  <c r="K246" i="29"/>
  <c r="R245" i="29"/>
  <c r="Q245" i="29"/>
  <c r="P245" i="29"/>
  <c r="O245" i="29"/>
  <c r="N245" i="29"/>
  <c r="M245" i="29"/>
  <c r="L245" i="29"/>
  <c r="K245" i="29"/>
  <c r="X245" i="29" s="1"/>
  <c r="R244" i="29"/>
  <c r="Q244" i="29"/>
  <c r="P244" i="29"/>
  <c r="O244" i="29"/>
  <c r="N244" i="29"/>
  <c r="M244" i="29"/>
  <c r="L244" i="29"/>
  <c r="K244" i="29"/>
  <c r="R243" i="29"/>
  <c r="Q243" i="29"/>
  <c r="P243" i="29"/>
  <c r="O243" i="29"/>
  <c r="N243" i="29"/>
  <c r="M243" i="29"/>
  <c r="L243" i="29"/>
  <c r="K243" i="29"/>
  <c r="R242" i="29"/>
  <c r="Q242" i="29"/>
  <c r="P242" i="29"/>
  <c r="O242" i="29"/>
  <c r="N242" i="29"/>
  <c r="M242" i="29"/>
  <c r="L242" i="29"/>
  <c r="K242" i="29"/>
  <c r="X242" i="29" s="1"/>
  <c r="R241" i="29"/>
  <c r="Q241" i="29"/>
  <c r="P241" i="29"/>
  <c r="O241" i="29"/>
  <c r="N241" i="29"/>
  <c r="M241" i="29"/>
  <c r="L241" i="29"/>
  <c r="K241" i="29"/>
  <c r="R240" i="29"/>
  <c r="Q240" i="29"/>
  <c r="P240" i="29"/>
  <c r="O240" i="29"/>
  <c r="N240" i="29"/>
  <c r="M240" i="29"/>
  <c r="L240" i="29"/>
  <c r="K240" i="29"/>
  <c r="V240" i="29" s="1"/>
  <c r="R239" i="29"/>
  <c r="Q239" i="29"/>
  <c r="P239" i="29"/>
  <c r="O239" i="29"/>
  <c r="N239" i="29"/>
  <c r="M239" i="29"/>
  <c r="L239" i="29"/>
  <c r="K239" i="29"/>
  <c r="W239" i="29" s="1"/>
  <c r="R238" i="29"/>
  <c r="Q238" i="29"/>
  <c r="P238" i="29"/>
  <c r="O238" i="29"/>
  <c r="N238" i="29"/>
  <c r="M238" i="29"/>
  <c r="L238" i="29"/>
  <c r="K238" i="29"/>
  <c r="R237" i="29"/>
  <c r="Q237" i="29"/>
  <c r="P237" i="29"/>
  <c r="O237" i="29"/>
  <c r="N237" i="29"/>
  <c r="M237" i="29"/>
  <c r="L237" i="29"/>
  <c r="K237" i="29"/>
  <c r="R236" i="29"/>
  <c r="Q236" i="29"/>
  <c r="P236" i="29"/>
  <c r="O236" i="29"/>
  <c r="N236" i="29"/>
  <c r="M236" i="29"/>
  <c r="L236" i="29"/>
  <c r="K236" i="29"/>
  <c r="R235" i="29"/>
  <c r="Q235" i="29"/>
  <c r="P235" i="29"/>
  <c r="O235" i="29"/>
  <c r="N235" i="29"/>
  <c r="M235" i="29"/>
  <c r="L235" i="29"/>
  <c r="K235" i="29"/>
  <c r="R234" i="29"/>
  <c r="Q234" i="29"/>
  <c r="P234" i="29"/>
  <c r="O234" i="29"/>
  <c r="N234" i="29"/>
  <c r="M234" i="29"/>
  <c r="L234" i="29"/>
  <c r="K234" i="29"/>
  <c r="R233" i="29"/>
  <c r="Q233" i="29"/>
  <c r="P233" i="29"/>
  <c r="O233" i="29"/>
  <c r="N233" i="29"/>
  <c r="M233" i="29"/>
  <c r="L233" i="29"/>
  <c r="K233" i="29"/>
  <c r="R232" i="29"/>
  <c r="Q232" i="29"/>
  <c r="P232" i="29"/>
  <c r="O232" i="29"/>
  <c r="N232" i="29"/>
  <c r="M232" i="29"/>
  <c r="L232" i="29"/>
  <c r="K232" i="29"/>
  <c r="R231" i="29"/>
  <c r="Q231" i="29"/>
  <c r="P231" i="29"/>
  <c r="O231" i="29"/>
  <c r="N231" i="29"/>
  <c r="M231" i="29"/>
  <c r="L231" i="29"/>
  <c r="K231" i="29"/>
  <c r="R230" i="29"/>
  <c r="Q230" i="29"/>
  <c r="P230" i="29"/>
  <c r="O230" i="29"/>
  <c r="N230" i="29"/>
  <c r="M230" i="29"/>
  <c r="L230" i="29"/>
  <c r="K230" i="29"/>
  <c r="R229" i="29"/>
  <c r="Q229" i="29"/>
  <c r="P229" i="29"/>
  <c r="O229" i="29"/>
  <c r="N229" i="29"/>
  <c r="M229" i="29"/>
  <c r="L229" i="29"/>
  <c r="X229" i="29"/>
  <c r="K229" i="29"/>
  <c r="R228" i="29"/>
  <c r="Q228" i="29"/>
  <c r="P228" i="29"/>
  <c r="O228" i="29"/>
  <c r="N228" i="29"/>
  <c r="M228" i="29"/>
  <c r="L228" i="29"/>
  <c r="Y228" i="29" s="1"/>
  <c r="K228" i="29"/>
  <c r="R227" i="29"/>
  <c r="Q227" i="29"/>
  <c r="P227" i="29"/>
  <c r="O227" i="29"/>
  <c r="N227" i="29"/>
  <c r="M227" i="29"/>
  <c r="L227" i="29"/>
  <c r="Z227" i="29" s="1"/>
  <c r="K227" i="29"/>
  <c r="R226" i="29"/>
  <c r="Q226" i="29"/>
  <c r="P226" i="29"/>
  <c r="O226" i="29"/>
  <c r="N226" i="29"/>
  <c r="M226" i="29"/>
  <c r="L226" i="29"/>
  <c r="K226" i="29"/>
  <c r="R225" i="29"/>
  <c r="Q225" i="29"/>
  <c r="P225" i="29"/>
  <c r="O225" i="29"/>
  <c r="N225" i="29"/>
  <c r="M225" i="29"/>
  <c r="L225" i="29"/>
  <c r="K225" i="29"/>
  <c r="R224" i="29"/>
  <c r="Q224" i="29"/>
  <c r="P224" i="29"/>
  <c r="O224" i="29"/>
  <c r="N224" i="29"/>
  <c r="M224" i="29"/>
  <c r="L224" i="29"/>
  <c r="K224" i="29"/>
  <c r="R223" i="29"/>
  <c r="Q223" i="29"/>
  <c r="P223" i="29"/>
  <c r="O223" i="29"/>
  <c r="N223" i="29"/>
  <c r="M223" i="29"/>
  <c r="L223" i="29"/>
  <c r="K223" i="29"/>
  <c r="R222" i="29"/>
  <c r="Q222" i="29"/>
  <c r="P222" i="29"/>
  <c r="O222" i="29"/>
  <c r="N222" i="29"/>
  <c r="M222" i="29"/>
  <c r="L222" i="29"/>
  <c r="K222" i="29"/>
  <c r="W222" i="29"/>
  <c r="R221" i="29"/>
  <c r="Q221" i="29"/>
  <c r="P221" i="29"/>
  <c r="O221" i="29"/>
  <c r="N221" i="29"/>
  <c r="M221" i="29"/>
  <c r="L221" i="29"/>
  <c r="K221" i="29"/>
  <c r="T221" i="29" s="1"/>
  <c r="R220" i="29"/>
  <c r="Q220" i="29"/>
  <c r="P220" i="29"/>
  <c r="O220" i="29"/>
  <c r="N220" i="29"/>
  <c r="M220" i="29"/>
  <c r="L220" i="29"/>
  <c r="Y220" i="29"/>
  <c r="K220" i="29"/>
  <c r="R219" i="29"/>
  <c r="Q219" i="29"/>
  <c r="P219" i="29"/>
  <c r="O219" i="29"/>
  <c r="N219" i="29"/>
  <c r="M219" i="29"/>
  <c r="L219" i="29"/>
  <c r="W219" i="29" s="1"/>
  <c r="K219" i="29"/>
  <c r="R218" i="29"/>
  <c r="Q218" i="29"/>
  <c r="P218" i="29"/>
  <c r="O218" i="29"/>
  <c r="N218" i="29"/>
  <c r="M218" i="29"/>
  <c r="L218" i="29"/>
  <c r="Z218" i="29" s="1"/>
  <c r="K218" i="29"/>
  <c r="R217" i="29"/>
  <c r="Q217" i="29"/>
  <c r="P217" i="29"/>
  <c r="O217" i="29"/>
  <c r="N217" i="29"/>
  <c r="M217" i="29"/>
  <c r="L217" i="29"/>
  <c r="X217" i="29" s="1"/>
  <c r="K217" i="29"/>
  <c r="R216" i="29"/>
  <c r="Q216" i="29"/>
  <c r="P216" i="29"/>
  <c r="O216" i="29"/>
  <c r="N216" i="29"/>
  <c r="M216" i="29"/>
  <c r="L216" i="29"/>
  <c r="K216" i="29"/>
  <c r="R215" i="29"/>
  <c r="Q215" i="29"/>
  <c r="P215" i="29"/>
  <c r="O215" i="29"/>
  <c r="N215" i="29"/>
  <c r="M215" i="29"/>
  <c r="L215" i="29"/>
  <c r="K215" i="29"/>
  <c r="R214" i="29"/>
  <c r="Q214" i="29"/>
  <c r="P214" i="29"/>
  <c r="O214" i="29"/>
  <c r="N214" i="29"/>
  <c r="M214" i="29"/>
  <c r="L214" i="29"/>
  <c r="K214" i="29"/>
  <c r="R213" i="29"/>
  <c r="Q213" i="29"/>
  <c r="P213" i="29"/>
  <c r="O213" i="29"/>
  <c r="N213" i="29"/>
  <c r="M213" i="29"/>
  <c r="L213" i="29"/>
  <c r="K213" i="29"/>
  <c r="R212" i="29"/>
  <c r="Q212" i="29"/>
  <c r="P212" i="29"/>
  <c r="O212" i="29"/>
  <c r="N212" i="29"/>
  <c r="M212" i="29"/>
  <c r="L212" i="29"/>
  <c r="K212" i="29"/>
  <c r="R211" i="29"/>
  <c r="Q211" i="29"/>
  <c r="P211" i="29"/>
  <c r="O211" i="29"/>
  <c r="N211" i="29"/>
  <c r="M211" i="29"/>
  <c r="L211" i="29"/>
  <c r="K211" i="29"/>
  <c r="R210" i="29"/>
  <c r="Q210" i="29"/>
  <c r="P210" i="29"/>
  <c r="O210" i="29"/>
  <c r="N210" i="29"/>
  <c r="M210" i="29"/>
  <c r="L210" i="29"/>
  <c r="K210" i="29"/>
  <c r="R209" i="29"/>
  <c r="Q209" i="29"/>
  <c r="P209" i="29"/>
  <c r="O209" i="29"/>
  <c r="N209" i="29"/>
  <c r="M209" i="29"/>
  <c r="L209" i="29"/>
  <c r="K209" i="29"/>
  <c r="R208" i="29"/>
  <c r="Q208" i="29"/>
  <c r="P208" i="29"/>
  <c r="O208" i="29"/>
  <c r="N208" i="29"/>
  <c r="M208" i="29"/>
  <c r="L208" i="29"/>
  <c r="K208" i="29"/>
  <c r="R207" i="29"/>
  <c r="Q207" i="29"/>
  <c r="P207" i="29"/>
  <c r="O207" i="29"/>
  <c r="N207" i="29"/>
  <c r="M207" i="29"/>
  <c r="L207" i="29"/>
  <c r="Z207" i="29" s="1"/>
  <c r="K207" i="29"/>
  <c r="R206" i="29"/>
  <c r="Q206" i="29"/>
  <c r="P206" i="29"/>
  <c r="O206" i="29"/>
  <c r="N206" i="29"/>
  <c r="M206" i="29"/>
  <c r="L206" i="29"/>
  <c r="Z206" i="29" s="1"/>
  <c r="K206" i="29"/>
  <c r="R205" i="29"/>
  <c r="Q205" i="29"/>
  <c r="P205" i="29"/>
  <c r="O205" i="29"/>
  <c r="N205" i="29"/>
  <c r="M205" i="29"/>
  <c r="L205" i="29"/>
  <c r="U205" i="29" s="1"/>
  <c r="K205" i="29"/>
  <c r="R204" i="29"/>
  <c r="Q204" i="29"/>
  <c r="P204" i="29"/>
  <c r="O204" i="29"/>
  <c r="N204" i="29"/>
  <c r="M204" i="29"/>
  <c r="L204" i="29"/>
  <c r="K204" i="29"/>
  <c r="R203" i="29"/>
  <c r="Q203" i="29"/>
  <c r="P203" i="29"/>
  <c r="O203" i="29"/>
  <c r="N203" i="29"/>
  <c r="M203" i="29"/>
  <c r="L203" i="29"/>
  <c r="K203" i="29"/>
  <c r="R202" i="29"/>
  <c r="Q202" i="29"/>
  <c r="P202" i="29"/>
  <c r="O202" i="29"/>
  <c r="N202" i="29"/>
  <c r="M202" i="29"/>
  <c r="L202" i="29"/>
  <c r="K202" i="29"/>
  <c r="R201" i="29"/>
  <c r="Q201" i="29"/>
  <c r="P201" i="29"/>
  <c r="O201" i="29"/>
  <c r="N201" i="29"/>
  <c r="M201" i="29"/>
  <c r="L201" i="29"/>
  <c r="K201" i="29"/>
  <c r="X201" i="29"/>
  <c r="R200" i="29"/>
  <c r="Q200" i="29"/>
  <c r="P200" i="29"/>
  <c r="O200" i="29"/>
  <c r="N200" i="29"/>
  <c r="M200" i="29"/>
  <c r="L200" i="29"/>
  <c r="Z200" i="29"/>
  <c r="K200" i="29"/>
  <c r="R199" i="29"/>
  <c r="Q199" i="29"/>
  <c r="P199" i="29"/>
  <c r="O199" i="29"/>
  <c r="N199" i="29"/>
  <c r="M199" i="29"/>
  <c r="L199" i="29"/>
  <c r="X199" i="29" s="1"/>
  <c r="K199" i="29"/>
  <c r="R198" i="29"/>
  <c r="Q198" i="29"/>
  <c r="P198" i="29"/>
  <c r="O198" i="29"/>
  <c r="N198" i="29"/>
  <c r="M198" i="29"/>
  <c r="L198" i="29"/>
  <c r="K198" i="29"/>
  <c r="R197" i="29"/>
  <c r="Q197" i="29"/>
  <c r="P197" i="29"/>
  <c r="O197" i="29"/>
  <c r="N197" i="29"/>
  <c r="M197" i="29"/>
  <c r="L197" i="29"/>
  <c r="K197" i="29"/>
  <c r="R196" i="29"/>
  <c r="Q196" i="29"/>
  <c r="P196" i="29"/>
  <c r="O196" i="29"/>
  <c r="N196" i="29"/>
  <c r="M196" i="29"/>
  <c r="L196" i="29"/>
  <c r="K196" i="29"/>
  <c r="R195" i="29"/>
  <c r="Q195" i="29"/>
  <c r="P195" i="29"/>
  <c r="O195" i="29"/>
  <c r="N195" i="29"/>
  <c r="M195" i="29"/>
  <c r="L195" i="29"/>
  <c r="K195" i="29"/>
  <c r="R194" i="29"/>
  <c r="Q194" i="29"/>
  <c r="P194" i="29"/>
  <c r="O194" i="29"/>
  <c r="N194" i="29"/>
  <c r="M194" i="29"/>
  <c r="L194" i="29"/>
  <c r="K194" i="29"/>
  <c r="X194" i="29"/>
  <c r="R193" i="29"/>
  <c r="Q193" i="29"/>
  <c r="P193" i="29"/>
  <c r="O193" i="29"/>
  <c r="N193" i="29"/>
  <c r="M193" i="29"/>
  <c r="L193" i="29"/>
  <c r="K193" i="29"/>
  <c r="R192" i="29"/>
  <c r="Q192" i="29"/>
  <c r="P192" i="29"/>
  <c r="O192" i="29"/>
  <c r="N192" i="29"/>
  <c r="M192" i="29"/>
  <c r="L192" i="29"/>
  <c r="K192" i="29"/>
  <c r="Z192" i="29" s="1"/>
  <c r="R191" i="29"/>
  <c r="Q191" i="29"/>
  <c r="P191" i="29"/>
  <c r="O191" i="29"/>
  <c r="N191" i="29"/>
  <c r="M191" i="29"/>
  <c r="L191" i="29"/>
  <c r="K191" i="29"/>
  <c r="R190" i="29"/>
  <c r="Q190" i="29"/>
  <c r="P190" i="29"/>
  <c r="O190" i="29"/>
  <c r="N190" i="29"/>
  <c r="M190" i="29"/>
  <c r="L190" i="29"/>
  <c r="K190" i="29"/>
  <c r="R189" i="29"/>
  <c r="Q189" i="29"/>
  <c r="P189" i="29"/>
  <c r="O189" i="29"/>
  <c r="N189" i="29"/>
  <c r="M189" i="29"/>
  <c r="L189" i="29"/>
  <c r="K189" i="29"/>
  <c r="R188" i="29"/>
  <c r="Q188" i="29"/>
  <c r="P188" i="29"/>
  <c r="O188" i="29"/>
  <c r="N188" i="29"/>
  <c r="M188" i="29"/>
  <c r="L188" i="29"/>
  <c r="K188" i="29"/>
  <c r="R187" i="29"/>
  <c r="Q187" i="29"/>
  <c r="P187" i="29"/>
  <c r="O187" i="29"/>
  <c r="N187" i="29"/>
  <c r="M187" i="29"/>
  <c r="L187" i="29"/>
  <c r="K187" i="29"/>
  <c r="U187" i="29" s="1"/>
  <c r="R186" i="29"/>
  <c r="Q186" i="29"/>
  <c r="P186" i="29"/>
  <c r="O186" i="29"/>
  <c r="N186" i="29"/>
  <c r="M186" i="29"/>
  <c r="L186" i="29"/>
  <c r="K186" i="29"/>
  <c r="W186" i="29" s="1"/>
  <c r="R185" i="29"/>
  <c r="Q185" i="29"/>
  <c r="P185" i="29"/>
  <c r="O185" i="29"/>
  <c r="N185" i="29"/>
  <c r="M185" i="29"/>
  <c r="L185" i="29"/>
  <c r="K185" i="29"/>
  <c r="X185" i="29" s="1"/>
  <c r="R184" i="29"/>
  <c r="Q184" i="29"/>
  <c r="P184" i="29"/>
  <c r="O184" i="29"/>
  <c r="N184" i="29"/>
  <c r="M184" i="29"/>
  <c r="L184" i="29"/>
  <c r="K184" i="29"/>
  <c r="Z184" i="29" s="1"/>
  <c r="R183" i="29"/>
  <c r="Q183" i="29"/>
  <c r="P183" i="29"/>
  <c r="O183" i="29"/>
  <c r="N183" i="29"/>
  <c r="M183" i="29"/>
  <c r="L183" i="29"/>
  <c r="K183" i="29"/>
  <c r="R182" i="29"/>
  <c r="Q182" i="29"/>
  <c r="P182" i="29"/>
  <c r="O182" i="29"/>
  <c r="N182" i="29"/>
  <c r="M182" i="29"/>
  <c r="L182" i="29"/>
  <c r="K182" i="29"/>
  <c r="R181" i="29"/>
  <c r="Q181" i="29"/>
  <c r="P181" i="29"/>
  <c r="O181" i="29"/>
  <c r="N181" i="29"/>
  <c r="M181" i="29"/>
  <c r="L181" i="29"/>
  <c r="K181" i="29"/>
  <c r="R180" i="29"/>
  <c r="Q180" i="29"/>
  <c r="P180" i="29"/>
  <c r="O180" i="29"/>
  <c r="N180" i="29"/>
  <c r="M180" i="29"/>
  <c r="L180" i="29"/>
  <c r="K180" i="29"/>
  <c r="V180" i="29"/>
  <c r="R179" i="29"/>
  <c r="Q179" i="29"/>
  <c r="P179" i="29"/>
  <c r="O179" i="29"/>
  <c r="N179" i="29"/>
  <c r="M179" i="29"/>
  <c r="L179" i="29"/>
  <c r="K179" i="29"/>
  <c r="Z179" i="29" s="1"/>
  <c r="R178" i="29"/>
  <c r="Q178" i="29"/>
  <c r="P178" i="29"/>
  <c r="O178" i="29"/>
  <c r="N178" i="29"/>
  <c r="M178" i="29"/>
  <c r="L178" i="29"/>
  <c r="K178" i="29"/>
  <c r="R177" i="29"/>
  <c r="Q177" i="29"/>
  <c r="P177" i="29"/>
  <c r="O177" i="29"/>
  <c r="N177" i="29"/>
  <c r="M177" i="29"/>
  <c r="L177" i="29"/>
  <c r="K177" i="29"/>
  <c r="X177" i="29" s="1"/>
  <c r="R176" i="29"/>
  <c r="Q176" i="29"/>
  <c r="P176" i="29"/>
  <c r="O176" i="29"/>
  <c r="N176" i="29"/>
  <c r="M176" i="29"/>
  <c r="L176" i="29"/>
  <c r="K176" i="29"/>
  <c r="R175" i="29"/>
  <c r="Q175" i="29"/>
  <c r="P175" i="29"/>
  <c r="O175" i="29"/>
  <c r="N175" i="29"/>
  <c r="M175" i="29"/>
  <c r="L175" i="29"/>
  <c r="K175" i="29"/>
  <c r="R174" i="29"/>
  <c r="Q174" i="29"/>
  <c r="P174" i="29"/>
  <c r="O174" i="29"/>
  <c r="N174" i="29"/>
  <c r="M174" i="29"/>
  <c r="L174" i="29"/>
  <c r="K174" i="29"/>
  <c r="R173" i="29"/>
  <c r="Q173" i="29"/>
  <c r="P173" i="29"/>
  <c r="O173" i="29"/>
  <c r="N173" i="29"/>
  <c r="M173" i="29"/>
  <c r="L173" i="29"/>
  <c r="K173" i="29"/>
  <c r="R172" i="29"/>
  <c r="Q172" i="29"/>
  <c r="P172" i="29"/>
  <c r="O172" i="29"/>
  <c r="N172" i="29"/>
  <c r="M172" i="29"/>
  <c r="L172" i="29"/>
  <c r="K172" i="29"/>
  <c r="R171" i="29"/>
  <c r="Q171" i="29"/>
  <c r="P171" i="29"/>
  <c r="O171" i="29"/>
  <c r="N171" i="29"/>
  <c r="M171" i="29"/>
  <c r="L171" i="29"/>
  <c r="K171" i="29"/>
  <c r="R170" i="29"/>
  <c r="Q170" i="29"/>
  <c r="P170" i="29"/>
  <c r="O170" i="29"/>
  <c r="N170" i="29"/>
  <c r="M170" i="29"/>
  <c r="L170" i="29"/>
  <c r="K170" i="29"/>
  <c r="R169" i="29"/>
  <c r="Q169" i="29"/>
  <c r="P169" i="29"/>
  <c r="O169" i="29"/>
  <c r="N169" i="29"/>
  <c r="M169" i="29"/>
  <c r="L169" i="29"/>
  <c r="K169" i="29"/>
  <c r="R168" i="29"/>
  <c r="Q168" i="29"/>
  <c r="P168" i="29"/>
  <c r="O168" i="29"/>
  <c r="N168" i="29"/>
  <c r="M168" i="29"/>
  <c r="L168" i="29"/>
  <c r="K168" i="29"/>
  <c r="R167" i="29"/>
  <c r="Q167" i="29"/>
  <c r="P167" i="29"/>
  <c r="O167" i="29"/>
  <c r="N167" i="29"/>
  <c r="M167" i="29"/>
  <c r="L167" i="29"/>
  <c r="K167" i="29"/>
  <c r="R166" i="29"/>
  <c r="Q166" i="29"/>
  <c r="P166" i="29"/>
  <c r="O166" i="29"/>
  <c r="N166" i="29"/>
  <c r="M166" i="29"/>
  <c r="L166" i="29"/>
  <c r="K166" i="29"/>
  <c r="R165" i="29"/>
  <c r="Q165" i="29"/>
  <c r="P165" i="29"/>
  <c r="O165" i="29"/>
  <c r="N165" i="29"/>
  <c r="M165" i="29"/>
  <c r="L165" i="29"/>
  <c r="K165" i="29"/>
  <c r="R164" i="29"/>
  <c r="Q164" i="29"/>
  <c r="P164" i="29"/>
  <c r="O164" i="29"/>
  <c r="N164" i="29"/>
  <c r="M164" i="29"/>
  <c r="L164" i="29"/>
  <c r="K164" i="29"/>
  <c r="V164" i="29"/>
  <c r="R163" i="29"/>
  <c r="Q163" i="29"/>
  <c r="P163" i="29"/>
  <c r="O163" i="29"/>
  <c r="N163" i="29"/>
  <c r="M163" i="29"/>
  <c r="L163" i="29"/>
  <c r="K163" i="29"/>
  <c r="X163" i="29" s="1"/>
  <c r="R162" i="29"/>
  <c r="Q162" i="29"/>
  <c r="P162" i="29"/>
  <c r="O162" i="29"/>
  <c r="N162" i="29"/>
  <c r="M162" i="29"/>
  <c r="L162" i="29"/>
  <c r="K162" i="29"/>
  <c r="X162" i="29" s="1"/>
  <c r="R161" i="29"/>
  <c r="Q161" i="29"/>
  <c r="P161" i="29"/>
  <c r="O161" i="29"/>
  <c r="N161" i="29"/>
  <c r="M161" i="29"/>
  <c r="L161" i="29"/>
  <c r="K161" i="29"/>
  <c r="R160" i="29"/>
  <c r="Q160" i="29"/>
  <c r="P160" i="29"/>
  <c r="O160" i="29"/>
  <c r="N160" i="29"/>
  <c r="M160" i="29"/>
  <c r="L160" i="29"/>
  <c r="K160" i="29"/>
  <c r="R159" i="29"/>
  <c r="Q159" i="29"/>
  <c r="P159" i="29"/>
  <c r="O159" i="29"/>
  <c r="N159" i="29"/>
  <c r="M159" i="29"/>
  <c r="L159" i="29"/>
  <c r="K159" i="29"/>
  <c r="R158" i="29"/>
  <c r="Q158" i="29"/>
  <c r="P158" i="29"/>
  <c r="O158" i="29"/>
  <c r="N158" i="29"/>
  <c r="M158" i="29"/>
  <c r="L158" i="29"/>
  <c r="K158" i="29"/>
  <c r="R157" i="29"/>
  <c r="Q157" i="29"/>
  <c r="P157" i="29"/>
  <c r="O157" i="29"/>
  <c r="N157" i="29"/>
  <c r="M157" i="29"/>
  <c r="L157" i="29"/>
  <c r="K157" i="29"/>
  <c r="U157" i="29" s="1"/>
  <c r="R156" i="29"/>
  <c r="Q156" i="29"/>
  <c r="P156" i="29"/>
  <c r="O156" i="29"/>
  <c r="N156" i="29"/>
  <c r="M156" i="29"/>
  <c r="L156" i="29"/>
  <c r="K156" i="29"/>
  <c r="R155" i="29"/>
  <c r="Q155" i="29"/>
  <c r="P155" i="29"/>
  <c r="O155" i="29"/>
  <c r="N155" i="29"/>
  <c r="M155" i="29"/>
  <c r="L155" i="29"/>
  <c r="AA155" i="29" s="1"/>
  <c r="K155" i="29"/>
  <c r="R154" i="29"/>
  <c r="Q154" i="29"/>
  <c r="P154" i="29"/>
  <c r="O154" i="29"/>
  <c r="N154" i="29"/>
  <c r="M154" i="29"/>
  <c r="L154" i="29"/>
  <c r="K154" i="29"/>
  <c r="R153" i="29"/>
  <c r="Q153" i="29"/>
  <c r="P153" i="29"/>
  <c r="O153" i="29"/>
  <c r="N153" i="29"/>
  <c r="M153" i="29"/>
  <c r="L153" i="29"/>
  <c r="K153" i="29"/>
  <c r="R152" i="29"/>
  <c r="Q152" i="29"/>
  <c r="P152" i="29"/>
  <c r="O152" i="29"/>
  <c r="N152" i="29"/>
  <c r="M152" i="29"/>
  <c r="L152" i="29"/>
  <c r="K152" i="29"/>
  <c r="R151" i="29"/>
  <c r="Q151" i="29"/>
  <c r="P151" i="29"/>
  <c r="O151" i="29"/>
  <c r="N151" i="29"/>
  <c r="M151" i="29"/>
  <c r="L151" i="29"/>
  <c r="K151" i="29"/>
  <c r="R150" i="29"/>
  <c r="Q150" i="29"/>
  <c r="P150" i="29"/>
  <c r="O150" i="29"/>
  <c r="N150" i="29"/>
  <c r="M150" i="29"/>
  <c r="L150" i="29"/>
  <c r="K150" i="29"/>
  <c r="X150" i="29"/>
  <c r="R149" i="29"/>
  <c r="Q149" i="29"/>
  <c r="P149" i="29"/>
  <c r="O149" i="29"/>
  <c r="N149" i="29"/>
  <c r="M149" i="29"/>
  <c r="L149" i="29"/>
  <c r="K149" i="29"/>
  <c r="Y149" i="29" s="1"/>
  <c r="R148" i="29"/>
  <c r="Q148" i="29"/>
  <c r="P148" i="29"/>
  <c r="O148" i="29"/>
  <c r="N148" i="29"/>
  <c r="M148" i="29"/>
  <c r="L148" i="29"/>
  <c r="K148" i="29"/>
  <c r="V148" i="29" s="1"/>
  <c r="R147" i="29"/>
  <c r="Q147" i="29"/>
  <c r="P147" i="29"/>
  <c r="O147" i="29"/>
  <c r="N147" i="29"/>
  <c r="M147" i="29"/>
  <c r="L147" i="29"/>
  <c r="K147" i="29"/>
  <c r="R146" i="29"/>
  <c r="Q146" i="29"/>
  <c r="P146" i="29"/>
  <c r="O146" i="29"/>
  <c r="N146" i="29"/>
  <c r="M146" i="29"/>
  <c r="L146" i="29"/>
  <c r="K146" i="29"/>
  <c r="R145" i="29"/>
  <c r="Q145" i="29"/>
  <c r="P145" i="29"/>
  <c r="O145" i="29"/>
  <c r="N145" i="29"/>
  <c r="M145" i="29"/>
  <c r="L145" i="29"/>
  <c r="K145" i="29"/>
  <c r="R144" i="29"/>
  <c r="Q144" i="29"/>
  <c r="P144" i="29"/>
  <c r="O144" i="29"/>
  <c r="N144" i="29"/>
  <c r="M144" i="29"/>
  <c r="L144" i="29"/>
  <c r="K144" i="29"/>
  <c r="Y144" i="29" s="1"/>
  <c r="R143" i="29"/>
  <c r="Q143" i="29"/>
  <c r="P143" i="29"/>
  <c r="O143" i="29"/>
  <c r="N143" i="29"/>
  <c r="M143" i="29"/>
  <c r="L143" i="29"/>
  <c r="Z143" i="29"/>
  <c r="K143" i="29"/>
  <c r="R142" i="29"/>
  <c r="Q142" i="29"/>
  <c r="P142" i="29"/>
  <c r="O142" i="29"/>
  <c r="N142" i="29"/>
  <c r="M142" i="29"/>
  <c r="L142" i="29"/>
  <c r="K142" i="29"/>
  <c r="R141" i="29"/>
  <c r="Q141" i="29"/>
  <c r="P141" i="29"/>
  <c r="O141" i="29"/>
  <c r="N141" i="29"/>
  <c r="M141" i="29"/>
  <c r="L141" i="29"/>
  <c r="K141" i="29"/>
  <c r="R140" i="29"/>
  <c r="Q140" i="29"/>
  <c r="P140" i="29"/>
  <c r="O140" i="29"/>
  <c r="N140" i="29"/>
  <c r="M140" i="29"/>
  <c r="L140" i="29"/>
  <c r="K140" i="29"/>
  <c r="R139" i="29"/>
  <c r="Q139" i="29"/>
  <c r="P139" i="29"/>
  <c r="O139" i="29"/>
  <c r="N139" i="29"/>
  <c r="M139" i="29"/>
  <c r="L139" i="29"/>
  <c r="K139" i="29"/>
  <c r="R138" i="29"/>
  <c r="Q138" i="29"/>
  <c r="P138" i="29"/>
  <c r="O138" i="29"/>
  <c r="N138" i="29"/>
  <c r="M138" i="29"/>
  <c r="L138" i="29"/>
  <c r="K138" i="29"/>
  <c r="R137" i="29"/>
  <c r="Q137" i="29"/>
  <c r="P137" i="29"/>
  <c r="O137" i="29"/>
  <c r="N137" i="29"/>
  <c r="M137" i="29"/>
  <c r="L137" i="29"/>
  <c r="K137" i="29"/>
  <c r="R136" i="29"/>
  <c r="Q136" i="29"/>
  <c r="P136" i="29"/>
  <c r="O136" i="29"/>
  <c r="N136" i="29"/>
  <c r="M136" i="29"/>
  <c r="L136" i="29"/>
  <c r="K136" i="29"/>
  <c r="R135" i="29"/>
  <c r="Q135" i="29"/>
  <c r="P135" i="29"/>
  <c r="O135" i="29"/>
  <c r="N135" i="29"/>
  <c r="M135" i="29"/>
  <c r="L135" i="29"/>
  <c r="K135" i="29"/>
  <c r="R134" i="29"/>
  <c r="Q134" i="29"/>
  <c r="P134" i="29"/>
  <c r="O134" i="29"/>
  <c r="N134" i="29"/>
  <c r="M134" i="29"/>
  <c r="L134" i="29"/>
  <c r="K134" i="29"/>
  <c r="R133" i="29"/>
  <c r="Q133" i="29"/>
  <c r="P133" i="29"/>
  <c r="O133" i="29"/>
  <c r="N133" i="29"/>
  <c r="M133" i="29"/>
  <c r="L133" i="29"/>
  <c r="K133" i="29"/>
  <c r="R132" i="29"/>
  <c r="Q132" i="29"/>
  <c r="P132" i="29"/>
  <c r="O132" i="29"/>
  <c r="N132" i="29"/>
  <c r="M132" i="29"/>
  <c r="L132" i="29"/>
  <c r="K132" i="29"/>
  <c r="R131" i="29"/>
  <c r="Q131" i="29"/>
  <c r="P131" i="29"/>
  <c r="O131" i="29"/>
  <c r="N131" i="29"/>
  <c r="M131" i="29"/>
  <c r="L131" i="29"/>
  <c r="K131" i="29"/>
  <c r="R130" i="29"/>
  <c r="Q130" i="29"/>
  <c r="P130" i="29"/>
  <c r="O130" i="29"/>
  <c r="N130" i="29"/>
  <c r="M130" i="29"/>
  <c r="L130" i="29"/>
  <c r="K130" i="29"/>
  <c r="R129" i="29"/>
  <c r="Q129" i="29"/>
  <c r="P129" i="29"/>
  <c r="O129" i="29"/>
  <c r="N129" i="29"/>
  <c r="M129" i="29"/>
  <c r="L129" i="29"/>
  <c r="K129" i="29"/>
  <c r="R128" i="29"/>
  <c r="Q128" i="29"/>
  <c r="P128" i="29"/>
  <c r="O128" i="29"/>
  <c r="N128" i="29"/>
  <c r="M128" i="29"/>
  <c r="L128" i="29"/>
  <c r="K128" i="29"/>
  <c r="R127" i="29"/>
  <c r="Q127" i="29"/>
  <c r="P127" i="29"/>
  <c r="O127" i="29"/>
  <c r="N127" i="29"/>
  <c r="M127" i="29"/>
  <c r="L127" i="29"/>
  <c r="K127" i="29"/>
  <c r="R126" i="29"/>
  <c r="Q126" i="29"/>
  <c r="P126" i="29"/>
  <c r="O126" i="29"/>
  <c r="N126" i="29"/>
  <c r="M126" i="29"/>
  <c r="L126" i="29"/>
  <c r="K126" i="29"/>
  <c r="R125" i="29"/>
  <c r="Q125" i="29"/>
  <c r="P125" i="29"/>
  <c r="O125" i="29"/>
  <c r="N125" i="29"/>
  <c r="M125" i="29"/>
  <c r="L125" i="29"/>
  <c r="K125" i="29"/>
  <c r="U125" i="29" s="1"/>
  <c r="R124" i="29"/>
  <c r="Q124" i="29"/>
  <c r="P124" i="29"/>
  <c r="O124" i="29"/>
  <c r="N124" i="29"/>
  <c r="M124" i="29"/>
  <c r="L124" i="29"/>
  <c r="K124" i="29"/>
  <c r="AA124" i="29" s="1"/>
  <c r="R123" i="29"/>
  <c r="Q123" i="29"/>
  <c r="P123" i="29"/>
  <c r="O123" i="29"/>
  <c r="N123" i="29"/>
  <c r="M123" i="29"/>
  <c r="L123" i="29"/>
  <c r="K123" i="29"/>
  <c r="AA123" i="29" s="1"/>
  <c r="R122" i="29"/>
  <c r="Q122" i="29"/>
  <c r="P122" i="29"/>
  <c r="O122" i="29"/>
  <c r="N122" i="29"/>
  <c r="M122" i="29"/>
  <c r="L122" i="29"/>
  <c r="K122" i="29"/>
  <c r="R121" i="29"/>
  <c r="Q121" i="29"/>
  <c r="P121" i="29"/>
  <c r="O121" i="29"/>
  <c r="N121" i="29"/>
  <c r="M121" i="29"/>
  <c r="L121" i="29"/>
  <c r="K121" i="29"/>
  <c r="R120" i="29"/>
  <c r="Q120" i="29"/>
  <c r="P120" i="29"/>
  <c r="O120" i="29"/>
  <c r="N120" i="29"/>
  <c r="M120" i="29"/>
  <c r="L120" i="29"/>
  <c r="K120" i="29"/>
  <c r="R119" i="29"/>
  <c r="Q119" i="29"/>
  <c r="P119" i="29"/>
  <c r="O119" i="29"/>
  <c r="N119" i="29"/>
  <c r="M119" i="29"/>
  <c r="L119" i="29"/>
  <c r="K119" i="29"/>
  <c r="R118" i="29"/>
  <c r="Q118" i="29"/>
  <c r="P118" i="29"/>
  <c r="O118" i="29"/>
  <c r="N118" i="29"/>
  <c r="M118" i="29"/>
  <c r="L118" i="29"/>
  <c r="K118" i="29"/>
  <c r="R117" i="29"/>
  <c r="Q117" i="29"/>
  <c r="P117" i="29"/>
  <c r="O117" i="29"/>
  <c r="N117" i="29"/>
  <c r="M117" i="29"/>
  <c r="L117" i="29"/>
  <c r="K117" i="29"/>
  <c r="R116" i="29"/>
  <c r="Q116" i="29"/>
  <c r="P116" i="29"/>
  <c r="O116" i="29"/>
  <c r="N116" i="29"/>
  <c r="M116" i="29"/>
  <c r="L116" i="29"/>
  <c r="K116" i="29"/>
  <c r="R115" i="29"/>
  <c r="Q115" i="29"/>
  <c r="P115" i="29"/>
  <c r="O115" i="29"/>
  <c r="N115" i="29"/>
  <c r="M115" i="29"/>
  <c r="L115" i="29"/>
  <c r="K115" i="29"/>
  <c r="R114" i="29"/>
  <c r="Q114" i="29"/>
  <c r="P114" i="29"/>
  <c r="O114" i="29"/>
  <c r="N114" i="29"/>
  <c r="M114" i="29"/>
  <c r="L114" i="29"/>
  <c r="K114" i="29"/>
  <c r="R113" i="29"/>
  <c r="Q113" i="29"/>
  <c r="P113" i="29"/>
  <c r="O113" i="29"/>
  <c r="N113" i="29"/>
  <c r="M113" i="29"/>
  <c r="L113" i="29"/>
  <c r="K113" i="29"/>
  <c r="R112" i="29"/>
  <c r="Q112" i="29"/>
  <c r="P112" i="29"/>
  <c r="O112" i="29"/>
  <c r="N112" i="29"/>
  <c r="M112" i="29"/>
  <c r="L112" i="29"/>
  <c r="K112" i="29"/>
  <c r="R111" i="29"/>
  <c r="Q111" i="29"/>
  <c r="P111" i="29"/>
  <c r="O111" i="29"/>
  <c r="N111" i="29"/>
  <c r="M111" i="29"/>
  <c r="L111" i="29"/>
  <c r="K111" i="29"/>
  <c r="R110" i="29"/>
  <c r="Q110" i="29"/>
  <c r="P110" i="29"/>
  <c r="O110" i="29"/>
  <c r="N110" i="29"/>
  <c r="M110" i="29"/>
  <c r="L110" i="29"/>
  <c r="K110" i="29"/>
  <c r="R109" i="29"/>
  <c r="Q109" i="29"/>
  <c r="P109" i="29"/>
  <c r="O109" i="29"/>
  <c r="N109" i="29"/>
  <c r="M109" i="29"/>
  <c r="L109" i="29"/>
  <c r="U109" i="29"/>
  <c r="K109" i="29"/>
  <c r="R108" i="29"/>
  <c r="Q108" i="29"/>
  <c r="P108" i="29"/>
  <c r="O108" i="29"/>
  <c r="N108" i="29"/>
  <c r="M108" i="29"/>
  <c r="L108" i="29"/>
  <c r="AA108" i="29" s="1"/>
  <c r="K108" i="29"/>
  <c r="R107" i="29"/>
  <c r="Q107" i="29"/>
  <c r="P107" i="29"/>
  <c r="O107" i="29"/>
  <c r="N107" i="29"/>
  <c r="M107" i="29"/>
  <c r="L107" i="29"/>
  <c r="K107" i="29"/>
  <c r="Y107" i="29"/>
  <c r="R106" i="29"/>
  <c r="Q106" i="29"/>
  <c r="P106" i="29"/>
  <c r="O106" i="29"/>
  <c r="N106" i="29"/>
  <c r="M106" i="29"/>
  <c r="L106" i="29"/>
  <c r="K106" i="29"/>
  <c r="AA106" i="29" s="1"/>
  <c r="R105" i="29"/>
  <c r="Q105" i="29"/>
  <c r="P105" i="29"/>
  <c r="O105" i="29"/>
  <c r="N105" i="29"/>
  <c r="M105" i="29"/>
  <c r="L105" i="29"/>
  <c r="K105" i="29"/>
  <c r="R104" i="29"/>
  <c r="Q104" i="29"/>
  <c r="P104" i="29"/>
  <c r="O104" i="29"/>
  <c r="N104" i="29"/>
  <c r="M104" i="29"/>
  <c r="L104" i="29"/>
  <c r="K104" i="29"/>
  <c r="R103" i="29"/>
  <c r="Q103" i="29"/>
  <c r="P103" i="29"/>
  <c r="O103" i="29"/>
  <c r="N103" i="29"/>
  <c r="M103" i="29"/>
  <c r="L103" i="29"/>
  <c r="K103" i="29"/>
  <c r="R102" i="29"/>
  <c r="Q102" i="29"/>
  <c r="P102" i="29"/>
  <c r="O102" i="29"/>
  <c r="N102" i="29"/>
  <c r="M102" i="29"/>
  <c r="L102" i="29"/>
  <c r="K102" i="29"/>
  <c r="R101" i="29"/>
  <c r="Q101" i="29"/>
  <c r="P101" i="29"/>
  <c r="O101" i="29"/>
  <c r="N101" i="29"/>
  <c r="M101" i="29"/>
  <c r="L101" i="29"/>
  <c r="K101" i="29"/>
  <c r="W101" i="29" s="1"/>
  <c r="R100" i="29"/>
  <c r="Q100" i="29"/>
  <c r="P100" i="29"/>
  <c r="O100" i="29"/>
  <c r="N100" i="29"/>
  <c r="M100" i="29"/>
  <c r="L100" i="29"/>
  <c r="K100" i="29"/>
  <c r="R99" i="29"/>
  <c r="Q99" i="29"/>
  <c r="P99" i="29"/>
  <c r="O99" i="29"/>
  <c r="N99" i="29"/>
  <c r="M99" i="29"/>
  <c r="L99" i="29"/>
  <c r="Z99" i="29" s="1"/>
  <c r="K99" i="29"/>
  <c r="R98" i="29"/>
  <c r="Q98" i="29"/>
  <c r="P98" i="29"/>
  <c r="O98" i="29"/>
  <c r="N98" i="29"/>
  <c r="M98" i="29"/>
  <c r="L98" i="29"/>
  <c r="AA98" i="29" s="1"/>
  <c r="K98" i="29"/>
  <c r="R97" i="29"/>
  <c r="Q97" i="29"/>
  <c r="P97" i="29"/>
  <c r="O97" i="29"/>
  <c r="N97" i="29"/>
  <c r="M97" i="29"/>
  <c r="L97" i="29"/>
  <c r="Y97" i="29" s="1"/>
  <c r="K97" i="29"/>
  <c r="R96" i="29"/>
  <c r="Q96" i="29"/>
  <c r="P96" i="29"/>
  <c r="O96" i="29"/>
  <c r="N96" i="29"/>
  <c r="M96" i="29"/>
  <c r="L96" i="29"/>
  <c r="K96" i="29"/>
  <c r="R95" i="29"/>
  <c r="Q95" i="29"/>
  <c r="P95" i="29"/>
  <c r="O95" i="29"/>
  <c r="N95" i="29"/>
  <c r="M95" i="29"/>
  <c r="L95" i="29"/>
  <c r="K95" i="29"/>
  <c r="R94" i="29"/>
  <c r="Q94" i="29"/>
  <c r="P94" i="29"/>
  <c r="O94" i="29"/>
  <c r="N94" i="29"/>
  <c r="M94" i="29"/>
  <c r="L94" i="29"/>
  <c r="K94" i="29"/>
  <c r="R93" i="29"/>
  <c r="Q93" i="29"/>
  <c r="P93" i="29"/>
  <c r="O93" i="29"/>
  <c r="N93" i="29"/>
  <c r="M93" i="29"/>
  <c r="L93" i="29"/>
  <c r="K93" i="29"/>
  <c r="R92" i="29"/>
  <c r="Q92" i="29"/>
  <c r="P92" i="29"/>
  <c r="O92" i="29"/>
  <c r="N92" i="29"/>
  <c r="M92" i="29"/>
  <c r="L92" i="29"/>
  <c r="V92" i="29" s="1"/>
  <c r="K92" i="29"/>
  <c r="R91" i="29"/>
  <c r="Q91" i="29"/>
  <c r="P91" i="29"/>
  <c r="O91" i="29"/>
  <c r="N91" i="29"/>
  <c r="M91" i="29"/>
  <c r="L91" i="29"/>
  <c r="AA91" i="29" s="1"/>
  <c r="K91" i="29"/>
  <c r="R90" i="29"/>
  <c r="Q90" i="29"/>
  <c r="P90" i="29"/>
  <c r="O90" i="29"/>
  <c r="N90" i="29"/>
  <c r="M90" i="29"/>
  <c r="L90" i="29"/>
  <c r="W90" i="29" s="1"/>
  <c r="K90" i="29"/>
  <c r="R89" i="29"/>
  <c r="Q89" i="29"/>
  <c r="P89" i="29"/>
  <c r="O89" i="29"/>
  <c r="N89" i="29"/>
  <c r="M89" i="29"/>
  <c r="L89" i="29"/>
  <c r="T89" i="29" s="1"/>
  <c r="K89" i="29"/>
  <c r="R88" i="29"/>
  <c r="Q88" i="29"/>
  <c r="P88" i="29"/>
  <c r="O88" i="29"/>
  <c r="N88" i="29"/>
  <c r="M88" i="29"/>
  <c r="L88" i="29"/>
  <c r="T88" i="29" s="1"/>
  <c r="K88" i="29"/>
  <c r="R87" i="29"/>
  <c r="Q87" i="29"/>
  <c r="P87" i="29"/>
  <c r="O87" i="29"/>
  <c r="N87" i="29"/>
  <c r="M87" i="29"/>
  <c r="L87" i="29"/>
  <c r="X87" i="29" s="1"/>
  <c r="K87" i="29"/>
  <c r="R86" i="29"/>
  <c r="Q86" i="29"/>
  <c r="P86" i="29"/>
  <c r="O86" i="29"/>
  <c r="N86" i="29"/>
  <c r="M86" i="29"/>
  <c r="L86" i="29"/>
  <c r="K86" i="29"/>
  <c r="U86" i="29" s="1"/>
  <c r="R85" i="29"/>
  <c r="Q85" i="29"/>
  <c r="P85" i="29"/>
  <c r="O85" i="29"/>
  <c r="N85" i="29"/>
  <c r="M85" i="29"/>
  <c r="L85" i="29"/>
  <c r="K85" i="29"/>
  <c r="Y85" i="29" s="1"/>
  <c r="R84" i="29"/>
  <c r="Q84" i="29"/>
  <c r="P84" i="29"/>
  <c r="O84" i="29"/>
  <c r="N84" i="29"/>
  <c r="M84" i="29"/>
  <c r="L84" i="29"/>
  <c r="AA84" i="29" s="1"/>
  <c r="K84" i="29"/>
  <c r="R83" i="29"/>
  <c r="Q83" i="29"/>
  <c r="P83" i="29"/>
  <c r="O83" i="29"/>
  <c r="N83" i="29"/>
  <c r="M83" i="29"/>
  <c r="L83" i="29"/>
  <c r="K83" i="29"/>
  <c r="X83" i="29"/>
  <c r="R82" i="29"/>
  <c r="Q82" i="29"/>
  <c r="P82" i="29"/>
  <c r="O82" i="29"/>
  <c r="N82" i="29"/>
  <c r="M82" i="29"/>
  <c r="L82" i="29"/>
  <c r="K82" i="29"/>
  <c r="X82" i="29" s="1"/>
  <c r="R81" i="29"/>
  <c r="Q81" i="29"/>
  <c r="P81" i="29"/>
  <c r="O81" i="29"/>
  <c r="N81" i="29"/>
  <c r="M81" i="29"/>
  <c r="L81" i="29"/>
  <c r="K81" i="29"/>
  <c r="R80" i="29"/>
  <c r="Q80" i="29"/>
  <c r="P80" i="29"/>
  <c r="O80" i="29"/>
  <c r="N80" i="29"/>
  <c r="M80" i="29"/>
  <c r="L80" i="29"/>
  <c r="K80" i="29"/>
  <c r="R79" i="29"/>
  <c r="Q79" i="29"/>
  <c r="P79" i="29"/>
  <c r="O79" i="29"/>
  <c r="N79" i="29"/>
  <c r="M79" i="29"/>
  <c r="L79" i="29"/>
  <c r="K79" i="29"/>
  <c r="R78" i="29"/>
  <c r="Q78" i="29"/>
  <c r="P78" i="29"/>
  <c r="O78" i="29"/>
  <c r="N78" i="29"/>
  <c r="M78" i="29"/>
  <c r="L78" i="29"/>
  <c r="K78" i="29"/>
  <c r="W78" i="29" s="1"/>
  <c r="R77" i="29"/>
  <c r="Q77" i="29"/>
  <c r="P77" i="29"/>
  <c r="O77" i="29"/>
  <c r="N77" i="29"/>
  <c r="M77" i="29"/>
  <c r="L77" i="29"/>
  <c r="AA77" i="29" s="1"/>
  <c r="K77" i="29"/>
  <c r="R76" i="29"/>
  <c r="Q76" i="29"/>
  <c r="P76" i="29"/>
  <c r="O76" i="29"/>
  <c r="N76" i="29"/>
  <c r="M76" i="29"/>
  <c r="L76" i="29"/>
  <c r="K76" i="29"/>
  <c r="R75" i="29"/>
  <c r="Q75" i="29"/>
  <c r="P75" i="29"/>
  <c r="O75" i="29"/>
  <c r="N75" i="29"/>
  <c r="M75" i="29"/>
  <c r="L75" i="29"/>
  <c r="K75" i="29"/>
  <c r="R74" i="29"/>
  <c r="Q74" i="29"/>
  <c r="P74" i="29"/>
  <c r="O74" i="29"/>
  <c r="N74" i="29"/>
  <c r="M74" i="29"/>
  <c r="L74" i="29"/>
  <c r="K74" i="29"/>
  <c r="R73" i="29"/>
  <c r="Q73" i="29"/>
  <c r="P73" i="29"/>
  <c r="O73" i="29"/>
  <c r="N73" i="29"/>
  <c r="M73" i="29"/>
  <c r="L73" i="29"/>
  <c r="K73" i="29"/>
  <c r="R72" i="29"/>
  <c r="Q72" i="29"/>
  <c r="P72" i="29"/>
  <c r="O72" i="29"/>
  <c r="N72" i="29"/>
  <c r="M72" i="29"/>
  <c r="L72" i="29"/>
  <c r="K72" i="29"/>
  <c r="R71" i="29"/>
  <c r="Q71" i="29"/>
  <c r="P71" i="29"/>
  <c r="O71" i="29"/>
  <c r="N71" i="29"/>
  <c r="M71" i="29"/>
  <c r="L71" i="29"/>
  <c r="K71" i="29"/>
  <c r="R70" i="29"/>
  <c r="Q70" i="29"/>
  <c r="P70" i="29"/>
  <c r="O70" i="29"/>
  <c r="N70" i="29"/>
  <c r="M70" i="29"/>
  <c r="L70" i="29"/>
  <c r="K70" i="29"/>
  <c r="R69" i="29"/>
  <c r="Q69" i="29"/>
  <c r="P69" i="29"/>
  <c r="O69" i="29"/>
  <c r="N69" i="29"/>
  <c r="M69" i="29"/>
  <c r="L69" i="29"/>
  <c r="K69" i="29"/>
  <c r="Z69" i="29" s="1"/>
  <c r="R68" i="29"/>
  <c r="Q68" i="29"/>
  <c r="P68" i="29"/>
  <c r="O68" i="29"/>
  <c r="N68" i="29"/>
  <c r="M68" i="29"/>
  <c r="L68" i="29"/>
  <c r="K68" i="29"/>
  <c r="R67" i="29"/>
  <c r="Q67" i="29"/>
  <c r="P67" i="29"/>
  <c r="O67" i="29"/>
  <c r="N67" i="29"/>
  <c r="M67" i="29"/>
  <c r="L67" i="29"/>
  <c r="K67" i="29"/>
  <c r="T67" i="29" s="1"/>
  <c r="R66" i="29"/>
  <c r="Q66" i="29"/>
  <c r="P66" i="29"/>
  <c r="O66" i="29"/>
  <c r="N66" i="29"/>
  <c r="M66" i="29"/>
  <c r="L66" i="29"/>
  <c r="K66" i="29"/>
  <c r="R65" i="29"/>
  <c r="Q65" i="29"/>
  <c r="P65" i="29"/>
  <c r="O65" i="29"/>
  <c r="N65" i="29"/>
  <c r="M65" i="29"/>
  <c r="L65" i="29"/>
  <c r="K65" i="29"/>
  <c r="R64" i="29"/>
  <c r="Q64" i="29"/>
  <c r="P64" i="29"/>
  <c r="O64" i="29"/>
  <c r="N64" i="29"/>
  <c r="M64" i="29"/>
  <c r="L64" i="29"/>
  <c r="K64" i="29"/>
  <c r="R63" i="29"/>
  <c r="Q63" i="29"/>
  <c r="P63" i="29"/>
  <c r="O63" i="29"/>
  <c r="N63" i="29"/>
  <c r="M63" i="29"/>
  <c r="L63" i="29"/>
  <c r="K63" i="29"/>
  <c r="R62" i="29"/>
  <c r="Q62" i="29"/>
  <c r="P62" i="29"/>
  <c r="O62" i="29"/>
  <c r="N62" i="29"/>
  <c r="M62" i="29"/>
  <c r="L62" i="29"/>
  <c r="K62" i="29"/>
  <c r="R61" i="29"/>
  <c r="Q61" i="29"/>
  <c r="P61" i="29"/>
  <c r="O61" i="29"/>
  <c r="N61" i="29"/>
  <c r="M61" i="29"/>
  <c r="L61" i="29"/>
  <c r="K61" i="29"/>
  <c r="R60" i="29"/>
  <c r="Q60" i="29"/>
  <c r="P60" i="29"/>
  <c r="O60" i="29"/>
  <c r="N60" i="29"/>
  <c r="M60" i="29"/>
  <c r="L60" i="29"/>
  <c r="K60" i="29"/>
  <c r="R59" i="29"/>
  <c r="Q59" i="29"/>
  <c r="P59" i="29"/>
  <c r="O59" i="29"/>
  <c r="N59" i="29"/>
  <c r="M59" i="29"/>
  <c r="L59" i="29"/>
  <c r="K59" i="29"/>
  <c r="R58" i="29"/>
  <c r="Q58" i="29"/>
  <c r="P58" i="29"/>
  <c r="O58" i="29"/>
  <c r="N58" i="29"/>
  <c r="M58" i="29"/>
  <c r="L58" i="29"/>
  <c r="K58" i="29"/>
  <c r="R57" i="29"/>
  <c r="Q57" i="29"/>
  <c r="P57" i="29"/>
  <c r="O57" i="29"/>
  <c r="N57" i="29"/>
  <c r="M57" i="29"/>
  <c r="L57" i="29"/>
  <c r="K57" i="29"/>
  <c r="R56" i="29"/>
  <c r="Q56" i="29"/>
  <c r="P56" i="29"/>
  <c r="O56" i="29"/>
  <c r="N56" i="29"/>
  <c r="M56" i="29"/>
  <c r="L56" i="29"/>
  <c r="K56" i="29"/>
  <c r="Z56" i="29" s="1"/>
  <c r="R55" i="29"/>
  <c r="Q55" i="29"/>
  <c r="P55" i="29"/>
  <c r="O55" i="29"/>
  <c r="N55" i="29"/>
  <c r="M55" i="29"/>
  <c r="L55" i="29"/>
  <c r="K55" i="29"/>
  <c r="R54" i="29"/>
  <c r="Q54" i="29"/>
  <c r="P54" i="29"/>
  <c r="O54" i="29"/>
  <c r="N54" i="29"/>
  <c r="M54" i="29"/>
  <c r="L54" i="29"/>
  <c r="K54" i="29"/>
  <c r="R53" i="29"/>
  <c r="Q53" i="29"/>
  <c r="P53" i="29"/>
  <c r="O53" i="29"/>
  <c r="N53" i="29"/>
  <c r="M53" i="29"/>
  <c r="L53" i="29"/>
  <c r="K53" i="29"/>
  <c r="Y53" i="29" s="1"/>
  <c r="B53" i="29" s="1"/>
  <c r="R52" i="29"/>
  <c r="Q52" i="29"/>
  <c r="P52" i="29"/>
  <c r="O52" i="29"/>
  <c r="N52" i="29"/>
  <c r="M52" i="29"/>
  <c r="L52" i="29"/>
  <c r="K52" i="29"/>
  <c r="R51" i="29"/>
  <c r="Q51" i="29"/>
  <c r="P51" i="29"/>
  <c r="O51" i="29"/>
  <c r="N51" i="29"/>
  <c r="M51" i="29"/>
  <c r="L51" i="29"/>
  <c r="K51" i="29"/>
  <c r="X51" i="29" s="1"/>
  <c r="R50" i="29"/>
  <c r="Q50" i="29"/>
  <c r="P50" i="29"/>
  <c r="O50" i="29"/>
  <c r="N50" i="29"/>
  <c r="M50" i="29"/>
  <c r="L50" i="29"/>
  <c r="K50" i="29"/>
  <c r="U50" i="29" s="1"/>
  <c r="R49" i="29"/>
  <c r="Q49" i="29"/>
  <c r="P49" i="29"/>
  <c r="O49" i="29"/>
  <c r="N49" i="29"/>
  <c r="M49" i="29"/>
  <c r="L49" i="29"/>
  <c r="K49" i="29"/>
  <c r="R48" i="29"/>
  <c r="Q48" i="29"/>
  <c r="P48" i="29"/>
  <c r="O48" i="29"/>
  <c r="N48" i="29"/>
  <c r="M48" i="29"/>
  <c r="L48" i="29"/>
  <c r="U48" i="29" s="1"/>
  <c r="K48" i="29"/>
  <c r="R47" i="29"/>
  <c r="Q47" i="29"/>
  <c r="P47" i="29"/>
  <c r="O47" i="29"/>
  <c r="N47" i="29"/>
  <c r="M47" i="29"/>
  <c r="L47" i="29"/>
  <c r="K47" i="29"/>
  <c r="R46" i="29"/>
  <c r="Q46" i="29"/>
  <c r="P46" i="29"/>
  <c r="O46" i="29"/>
  <c r="N46" i="29"/>
  <c r="M46" i="29"/>
  <c r="L46" i="29"/>
  <c r="K46" i="29"/>
  <c r="R45" i="29"/>
  <c r="Q45" i="29"/>
  <c r="P45" i="29"/>
  <c r="O45" i="29"/>
  <c r="N45" i="29"/>
  <c r="M45" i="29"/>
  <c r="L45" i="29"/>
  <c r="K45" i="29"/>
  <c r="R44" i="29"/>
  <c r="Q44" i="29"/>
  <c r="P44" i="29"/>
  <c r="O44" i="29"/>
  <c r="N44" i="29"/>
  <c r="M44" i="29"/>
  <c r="L44" i="29"/>
  <c r="K44" i="29"/>
  <c r="Z44" i="29"/>
  <c r="R43" i="29"/>
  <c r="Q43" i="29"/>
  <c r="P43" i="29"/>
  <c r="O43" i="29"/>
  <c r="N43" i="29"/>
  <c r="M43" i="29"/>
  <c r="L43" i="29"/>
  <c r="K43" i="29"/>
  <c r="X43" i="29" s="1"/>
  <c r="R42" i="29"/>
  <c r="Q42" i="29"/>
  <c r="P42" i="29"/>
  <c r="O42" i="29"/>
  <c r="N42" i="29"/>
  <c r="M42" i="29"/>
  <c r="L42" i="29"/>
  <c r="K42" i="29"/>
  <c r="U42" i="29" s="1"/>
  <c r="R41" i="29"/>
  <c r="Q41" i="29"/>
  <c r="P41" i="29"/>
  <c r="O41" i="29"/>
  <c r="N41" i="29"/>
  <c r="M41" i="29"/>
  <c r="L41" i="29"/>
  <c r="K41" i="29"/>
  <c r="R40" i="29"/>
  <c r="Q40" i="29"/>
  <c r="P40" i="29"/>
  <c r="O40" i="29"/>
  <c r="N40" i="29"/>
  <c r="M40" i="29"/>
  <c r="L40" i="29"/>
  <c r="K40" i="29"/>
  <c r="R39" i="29"/>
  <c r="Q39" i="29"/>
  <c r="P39" i="29"/>
  <c r="O39" i="29"/>
  <c r="N39" i="29"/>
  <c r="M39" i="29"/>
  <c r="L39" i="29"/>
  <c r="AA39" i="29" s="1"/>
  <c r="K39" i="29"/>
  <c r="R38" i="29"/>
  <c r="Q38" i="29"/>
  <c r="P38" i="29"/>
  <c r="O38" i="29"/>
  <c r="N38" i="29"/>
  <c r="M38" i="29"/>
  <c r="L38" i="29"/>
  <c r="K38" i="29"/>
  <c r="R37" i="29"/>
  <c r="Q37" i="29"/>
  <c r="P37" i="29"/>
  <c r="O37" i="29"/>
  <c r="N37" i="29"/>
  <c r="M37" i="29"/>
  <c r="L37" i="29"/>
  <c r="K37" i="29"/>
  <c r="R36" i="29"/>
  <c r="Q36" i="29"/>
  <c r="P36" i="29"/>
  <c r="O36" i="29"/>
  <c r="N36" i="29"/>
  <c r="M36" i="29"/>
  <c r="L36" i="29"/>
  <c r="K36" i="29"/>
  <c r="R35" i="29"/>
  <c r="Q35" i="29"/>
  <c r="P35" i="29"/>
  <c r="O35" i="29"/>
  <c r="N35" i="29"/>
  <c r="M35" i="29"/>
  <c r="L35" i="29"/>
  <c r="K35" i="29"/>
  <c r="R34" i="29"/>
  <c r="Q34" i="29"/>
  <c r="P34" i="29"/>
  <c r="O34" i="29"/>
  <c r="N34" i="29"/>
  <c r="M34" i="29"/>
  <c r="L34" i="29"/>
  <c r="K34" i="29"/>
  <c r="X34" i="29"/>
  <c r="R33" i="29"/>
  <c r="Q33" i="29"/>
  <c r="P33" i="29"/>
  <c r="O33" i="29"/>
  <c r="N33" i="29"/>
  <c r="M33" i="29"/>
  <c r="L33" i="29"/>
  <c r="K33" i="29"/>
  <c r="Z33" i="29" s="1"/>
  <c r="R32" i="29"/>
  <c r="Q32" i="29"/>
  <c r="P32" i="29"/>
  <c r="O32" i="29"/>
  <c r="N32" i="29"/>
  <c r="M32" i="29"/>
  <c r="L32" i="29"/>
  <c r="K32" i="29"/>
  <c r="R31" i="29"/>
  <c r="Q31" i="29"/>
  <c r="P31" i="29"/>
  <c r="O31" i="29"/>
  <c r="N31" i="29"/>
  <c r="M31" i="29"/>
  <c r="L31" i="29"/>
  <c r="K31" i="29"/>
  <c r="X31" i="29" s="1"/>
  <c r="R30" i="29"/>
  <c r="Q30" i="29"/>
  <c r="P30" i="29"/>
  <c r="O30" i="29"/>
  <c r="N30" i="29"/>
  <c r="M30" i="29"/>
  <c r="L30" i="29"/>
  <c r="K30" i="29"/>
  <c r="R29" i="29"/>
  <c r="Q29" i="29"/>
  <c r="P29" i="29"/>
  <c r="O29" i="29"/>
  <c r="N29" i="29"/>
  <c r="M29" i="29"/>
  <c r="L29" i="29"/>
  <c r="K29" i="29"/>
  <c r="R28" i="29"/>
  <c r="Q28" i="29"/>
  <c r="P28" i="29"/>
  <c r="O28" i="29"/>
  <c r="N28" i="29"/>
  <c r="M28" i="29"/>
  <c r="L28" i="29"/>
  <c r="K28" i="29"/>
  <c r="R27" i="29"/>
  <c r="Q27" i="29"/>
  <c r="P27" i="29"/>
  <c r="O27" i="29"/>
  <c r="N27" i="29"/>
  <c r="M27" i="29"/>
  <c r="L27" i="29"/>
  <c r="K27" i="29"/>
  <c r="R26" i="29"/>
  <c r="Q26" i="29"/>
  <c r="P26" i="29"/>
  <c r="O26" i="29"/>
  <c r="N26" i="29"/>
  <c r="M26" i="29"/>
  <c r="L26" i="29"/>
  <c r="U26" i="29" s="1"/>
  <c r="K26" i="29"/>
  <c r="R25" i="29"/>
  <c r="Q25" i="29"/>
  <c r="P25" i="29"/>
  <c r="O25" i="29"/>
  <c r="N25" i="29"/>
  <c r="M25" i="29"/>
  <c r="L25" i="29"/>
  <c r="K25" i="29"/>
  <c r="R24" i="29"/>
  <c r="Q24" i="29"/>
  <c r="P24" i="29"/>
  <c r="O24" i="29"/>
  <c r="N24" i="29"/>
  <c r="M24" i="29"/>
  <c r="L24" i="29"/>
  <c r="K24" i="29"/>
  <c r="R23" i="29"/>
  <c r="Q23" i="29"/>
  <c r="P23" i="29"/>
  <c r="O23" i="29"/>
  <c r="N23" i="29"/>
  <c r="M23" i="29"/>
  <c r="L23" i="29"/>
  <c r="K23" i="29"/>
  <c r="X23" i="29"/>
  <c r="R22" i="29"/>
  <c r="Q22" i="29"/>
  <c r="P22" i="29"/>
  <c r="O22" i="29"/>
  <c r="N22" i="29"/>
  <c r="M22" i="29"/>
  <c r="L22" i="29"/>
  <c r="K22" i="29"/>
  <c r="R21" i="29"/>
  <c r="Q21" i="29"/>
  <c r="P21" i="29"/>
  <c r="O21" i="29"/>
  <c r="N21" i="29"/>
  <c r="M21" i="29"/>
  <c r="L21" i="29"/>
  <c r="K21" i="29"/>
  <c r="R20" i="29"/>
  <c r="Q20" i="29"/>
  <c r="P20" i="29"/>
  <c r="O20" i="29"/>
  <c r="N20" i="29"/>
  <c r="M20" i="29"/>
  <c r="L20" i="29"/>
  <c r="K20" i="29"/>
  <c r="AA20" i="29" s="1"/>
  <c r="R19" i="29"/>
  <c r="Q19" i="29"/>
  <c r="P19" i="29"/>
  <c r="O19" i="29"/>
  <c r="N19" i="29"/>
  <c r="M19" i="29"/>
  <c r="L19" i="29"/>
  <c r="K19" i="29"/>
  <c r="R18" i="29"/>
  <c r="Q18" i="29"/>
  <c r="P18" i="29"/>
  <c r="O18" i="29"/>
  <c r="N18" i="29"/>
  <c r="M18" i="29"/>
  <c r="L18" i="29"/>
  <c r="K18" i="29"/>
  <c r="X18" i="29" s="1"/>
  <c r="R17" i="29"/>
  <c r="Q17" i="29"/>
  <c r="P17" i="29"/>
  <c r="O17" i="29"/>
  <c r="N17" i="29"/>
  <c r="M17" i="29"/>
  <c r="L17" i="29"/>
  <c r="K17" i="29"/>
  <c r="R16" i="29"/>
  <c r="Q16" i="29"/>
  <c r="P16" i="29"/>
  <c r="O16" i="29"/>
  <c r="N16" i="29"/>
  <c r="M16" i="29"/>
  <c r="L16" i="29"/>
  <c r="V16" i="29" s="1"/>
  <c r="K16" i="29"/>
  <c r="R15" i="29"/>
  <c r="Q15" i="29"/>
  <c r="P15" i="29"/>
  <c r="O15" i="29"/>
  <c r="N15" i="29"/>
  <c r="M15" i="29"/>
  <c r="L15" i="29"/>
  <c r="AA15" i="29" s="1"/>
  <c r="K15" i="29"/>
  <c r="R14" i="29"/>
  <c r="Q14" i="29"/>
  <c r="P14" i="29"/>
  <c r="O14" i="29"/>
  <c r="N14" i="29"/>
  <c r="M14" i="29"/>
  <c r="L14" i="29"/>
  <c r="AA14" i="29" s="1"/>
  <c r="K14" i="29"/>
  <c r="R13" i="29"/>
  <c r="Q13" i="29"/>
  <c r="P13" i="29"/>
  <c r="O13" i="29"/>
  <c r="N13" i="29"/>
  <c r="M13" i="29"/>
  <c r="L13" i="29"/>
  <c r="Y13" i="29" s="1"/>
  <c r="K13" i="29"/>
  <c r="R12" i="29"/>
  <c r="Q12" i="29"/>
  <c r="P12" i="29"/>
  <c r="O12" i="29"/>
  <c r="N12" i="29"/>
  <c r="M12" i="29"/>
  <c r="L12" i="29"/>
  <c r="Y12" i="29" s="1"/>
  <c r="K12" i="29"/>
  <c r="R11" i="29"/>
  <c r="Q11" i="29"/>
  <c r="P11" i="29"/>
  <c r="O11" i="29"/>
  <c r="N11" i="29"/>
  <c r="M11" i="29"/>
  <c r="L11" i="29"/>
  <c r="Z11" i="29" s="1"/>
  <c r="K11" i="29"/>
  <c r="R10" i="29"/>
  <c r="Q10" i="29"/>
  <c r="P10" i="29"/>
  <c r="O10" i="29"/>
  <c r="N10" i="29"/>
  <c r="M10" i="29"/>
  <c r="L10" i="29"/>
  <c r="W10" i="29" s="1"/>
  <c r="K10" i="29"/>
  <c r="R9" i="29"/>
  <c r="Q9" i="29"/>
  <c r="P9" i="29"/>
  <c r="O9" i="29"/>
  <c r="N9" i="29"/>
  <c r="M9" i="29"/>
  <c r="L9" i="29"/>
  <c r="AA9" i="29" s="1"/>
  <c r="K9" i="29"/>
  <c r="R8" i="29"/>
  <c r="Q8" i="29"/>
  <c r="P8" i="29"/>
  <c r="O8" i="29"/>
  <c r="N8" i="29"/>
  <c r="M8" i="29"/>
  <c r="L8" i="29"/>
  <c r="Y8" i="29" s="1"/>
  <c r="K8" i="29"/>
  <c r="R7" i="29"/>
  <c r="Q7" i="29"/>
  <c r="P7" i="29"/>
  <c r="O7" i="29"/>
  <c r="N7" i="29"/>
  <c r="M7" i="29"/>
  <c r="L7" i="29"/>
  <c r="AA7" i="29" s="1"/>
  <c r="K7" i="29"/>
  <c r="R6" i="29"/>
  <c r="Q6" i="29"/>
  <c r="P6" i="29"/>
  <c r="O6" i="29"/>
  <c r="N6" i="29"/>
  <c r="M6" i="29"/>
  <c r="L6" i="29"/>
  <c r="Z6" i="29" s="1"/>
  <c r="K6" i="29"/>
  <c r="R5" i="29"/>
  <c r="Q5" i="29"/>
  <c r="P5" i="29"/>
  <c r="O5" i="29"/>
  <c r="N5" i="29"/>
  <c r="M5" i="29"/>
  <c r="L5" i="29"/>
  <c r="W5" i="29" s="1"/>
  <c r="K5" i="29"/>
  <c r="R4" i="29"/>
  <c r="Q4" i="29"/>
  <c r="P4" i="29"/>
  <c r="O4" i="29"/>
  <c r="N4" i="29"/>
  <c r="M4" i="29"/>
  <c r="L4" i="29"/>
  <c r="K4" i="29"/>
  <c r="R3" i="29"/>
  <c r="Q3" i="29"/>
  <c r="P3" i="29"/>
  <c r="O3" i="29"/>
  <c r="N3" i="29"/>
  <c r="M3" i="29"/>
  <c r="L3" i="29"/>
  <c r="K3" i="29"/>
  <c r="R2" i="29"/>
  <c r="Q2" i="29"/>
  <c r="P2" i="29"/>
  <c r="O2" i="29"/>
  <c r="N2" i="29"/>
  <c r="M2" i="29"/>
  <c r="L2" i="29"/>
  <c r="K2" i="29"/>
  <c r="L114" i="30"/>
  <c r="K114" i="30"/>
  <c r="B114" i="30"/>
  <c r="L112" i="30"/>
  <c r="K112" i="30"/>
  <c r="J112" i="30" s="1"/>
  <c r="B112" i="30"/>
  <c r="L110" i="30"/>
  <c r="K110" i="30"/>
  <c r="B110" i="30"/>
  <c r="L109" i="30"/>
  <c r="K109" i="30"/>
  <c r="B109" i="30"/>
  <c r="L107" i="30"/>
  <c r="K107" i="30"/>
  <c r="B107" i="30"/>
  <c r="L106" i="30"/>
  <c r="K106" i="30"/>
  <c r="J106" i="30" s="1"/>
  <c r="B106" i="30"/>
  <c r="L105" i="30"/>
  <c r="K105" i="30"/>
  <c r="B105" i="30"/>
  <c r="L104" i="30"/>
  <c r="K104" i="30"/>
  <c r="B104" i="30"/>
  <c r="L102" i="30"/>
  <c r="K102" i="30"/>
  <c r="B102" i="30"/>
  <c r="L101" i="30"/>
  <c r="K101" i="30"/>
  <c r="J101" i="30" s="1"/>
  <c r="B101" i="30"/>
  <c r="L100" i="30"/>
  <c r="K100" i="30"/>
  <c r="B100" i="30"/>
  <c r="L99" i="30"/>
  <c r="K99" i="30"/>
  <c r="B99" i="30"/>
  <c r="L98" i="30"/>
  <c r="K98" i="30"/>
  <c r="B98" i="30"/>
  <c r="L97" i="30"/>
  <c r="K97" i="30"/>
  <c r="J97" i="30" s="1"/>
  <c r="B97" i="30"/>
  <c r="L96" i="30"/>
  <c r="K96" i="30"/>
  <c r="B96" i="30"/>
  <c r="L95" i="30"/>
  <c r="J95" i="30" s="1"/>
  <c r="K95" i="30"/>
  <c r="B95" i="30"/>
  <c r="B82" i="2" s="1"/>
  <c r="B82" i="4" s="1"/>
  <c r="J93" i="30"/>
  <c r="B93" i="30"/>
  <c r="B76" i="2" s="1"/>
  <c r="B76" i="4" s="1"/>
  <c r="J92" i="30"/>
  <c r="B92" i="30"/>
  <c r="B78" i="2" s="1"/>
  <c r="B78" i="4" s="1"/>
  <c r="J91" i="30"/>
  <c r="B91" i="30"/>
  <c r="B77" i="2" s="1"/>
  <c r="B77" i="4" s="1"/>
  <c r="J90" i="30"/>
  <c r="B90" i="30"/>
  <c r="B75" i="2" s="1"/>
  <c r="B75" i="4" s="1"/>
  <c r="J89" i="30"/>
  <c r="B89" i="30"/>
  <c r="B73" i="2" s="1"/>
  <c r="B73" i="4" s="1"/>
  <c r="J88" i="30"/>
  <c r="B88" i="30"/>
  <c r="B74" i="2" s="1"/>
  <c r="B74" i="4" s="1"/>
  <c r="J87" i="30"/>
  <c r="B87" i="30"/>
  <c r="B71" i="2" s="1"/>
  <c r="B71" i="4" s="1"/>
  <c r="J86" i="30"/>
  <c r="B86" i="30"/>
  <c r="B72" i="2" s="1"/>
  <c r="B72" i="4" s="1"/>
  <c r="J85" i="30"/>
  <c r="B85" i="30"/>
  <c r="B70" i="2" s="1"/>
  <c r="B70" i="4" s="1"/>
  <c r="J84" i="30"/>
  <c r="B84" i="30"/>
  <c r="B69" i="2" s="1"/>
  <c r="B69" i="4" s="1"/>
  <c r="J83" i="30"/>
  <c r="B83" i="30"/>
  <c r="B67" i="2" s="1"/>
  <c r="B67" i="4" s="1"/>
  <c r="J82" i="30"/>
  <c r="B82" i="30"/>
  <c r="B68" i="2" s="1"/>
  <c r="B68" i="4" s="1"/>
  <c r="J81" i="30"/>
  <c r="B81" i="30"/>
  <c r="B64" i="2" s="1"/>
  <c r="B64" i="4" s="1"/>
  <c r="J80" i="30"/>
  <c r="B80" i="30"/>
  <c r="B66" i="2" s="1"/>
  <c r="B66" i="4" s="1"/>
  <c r="J79" i="30"/>
  <c r="B79" i="30"/>
  <c r="B65" i="2" s="1"/>
  <c r="B65" i="4" s="1"/>
  <c r="J78" i="30"/>
  <c r="B78" i="30"/>
  <c r="B63" i="2" s="1"/>
  <c r="B63" i="4" s="1"/>
  <c r="J76" i="30"/>
  <c r="B76" i="30"/>
  <c r="BB47" i="2" s="1"/>
  <c r="BB47" i="4" s="1"/>
  <c r="J75" i="30"/>
  <c r="B75" i="30"/>
  <c r="BB48" i="2" s="1"/>
  <c r="BB48" i="4" s="1"/>
  <c r="J74" i="30"/>
  <c r="B74" i="30"/>
  <c r="BB37" i="2" s="1"/>
  <c r="BB37" i="4" s="1"/>
  <c r="J73" i="30"/>
  <c r="B73" i="30"/>
  <c r="K72" i="30"/>
  <c r="J72" i="30"/>
  <c r="B72" i="30"/>
  <c r="BB57" i="2" s="1"/>
  <c r="BB57" i="4" s="1"/>
  <c r="K71" i="30"/>
  <c r="J71" i="30"/>
  <c r="B71" i="30"/>
  <c r="BB58" i="2" s="1"/>
  <c r="BB58" i="4" s="1"/>
  <c r="K70" i="30"/>
  <c r="J70" i="30"/>
  <c r="B70" i="30"/>
  <c r="B47" i="2" s="1"/>
  <c r="B47" i="4" s="1"/>
  <c r="K69" i="30"/>
  <c r="J69" i="30"/>
  <c r="B69" i="30"/>
  <c r="B48" i="2" s="1"/>
  <c r="B48" i="4" s="1"/>
  <c r="J68" i="30"/>
  <c r="B68" i="30"/>
  <c r="B37" i="2" s="1"/>
  <c r="B37" i="4" s="1"/>
  <c r="J67" i="30"/>
  <c r="B67" i="30"/>
  <c r="B38" i="2" s="1"/>
  <c r="B38" i="4" s="1"/>
  <c r="K66" i="30"/>
  <c r="J66" i="30"/>
  <c r="B66" i="30"/>
  <c r="B58" i="2" s="1"/>
  <c r="B58" i="4" s="1"/>
  <c r="K65" i="30"/>
  <c r="J65" i="30"/>
  <c r="B65" i="30"/>
  <c r="B57" i="2" s="1"/>
  <c r="B57" i="4" s="1"/>
  <c r="K64" i="30"/>
  <c r="J64" i="30"/>
  <c r="B64" i="30"/>
  <c r="BB8" i="2" s="1"/>
  <c r="BB8" i="4" s="1"/>
  <c r="K63" i="30"/>
  <c r="J63" i="30"/>
  <c r="B63" i="30"/>
  <c r="BB7" i="2" s="1"/>
  <c r="BB7" i="4" s="1"/>
  <c r="J62" i="30"/>
  <c r="B62" i="30"/>
  <c r="BB18" i="2" s="1"/>
  <c r="BB18" i="4" s="1"/>
  <c r="J61" i="30"/>
  <c r="B61" i="30"/>
  <c r="BB17" i="2" s="1"/>
  <c r="BB17" i="4" s="1"/>
  <c r="K60" i="30"/>
  <c r="J60" i="30"/>
  <c r="B60" i="30"/>
  <c r="BB27" i="2" s="1"/>
  <c r="BB27" i="4" s="1"/>
  <c r="K59" i="30"/>
  <c r="J59" i="30"/>
  <c r="B59" i="30"/>
  <c r="BB28" i="2" s="1"/>
  <c r="BB28" i="4" s="1"/>
  <c r="K58" i="30"/>
  <c r="J58" i="30"/>
  <c r="B58" i="30"/>
  <c r="B7" i="2" s="1"/>
  <c r="B7" i="4" s="1"/>
  <c r="K57" i="30"/>
  <c r="J57" i="30"/>
  <c r="B57" i="30"/>
  <c r="B8" i="2" s="1"/>
  <c r="B8" i="4" s="1"/>
  <c r="J56" i="30"/>
  <c r="B56" i="30"/>
  <c r="B18" i="2" s="1"/>
  <c r="B18" i="4" s="1"/>
  <c r="J55" i="30"/>
  <c r="B55" i="30"/>
  <c r="B17" i="2" s="1"/>
  <c r="B17" i="4" s="1"/>
  <c r="K54" i="30"/>
  <c r="J54" i="30"/>
  <c r="B54" i="30"/>
  <c r="B28" i="2" s="1"/>
  <c r="B28" i="4" s="1"/>
  <c r="K53" i="30"/>
  <c r="J53" i="30"/>
  <c r="B53" i="30"/>
  <c r="B27" i="2" s="1"/>
  <c r="B27" i="4" s="1"/>
  <c r="K52" i="30"/>
  <c r="K51" i="30"/>
  <c r="J51" i="30"/>
  <c r="B51" i="30"/>
  <c r="BB46" i="2" s="1"/>
  <c r="BB46" i="4" s="1"/>
  <c r="J50" i="30"/>
  <c r="B50" i="30"/>
  <c r="BB45" i="2" s="1"/>
  <c r="BB45" i="4" s="1"/>
  <c r="J49" i="30"/>
  <c r="B49" i="30"/>
  <c r="BB36" i="2" s="1"/>
  <c r="BB36" i="4" s="1"/>
  <c r="K48" i="30"/>
  <c r="J48" i="30"/>
  <c r="B48" i="30"/>
  <c r="BB35" i="2" s="1"/>
  <c r="BB35" i="4" s="1"/>
  <c r="K47" i="30"/>
  <c r="J47" i="30"/>
  <c r="B47" i="30"/>
  <c r="BB56" i="2" s="1"/>
  <c r="BB56" i="4" s="1"/>
  <c r="K46" i="30"/>
  <c r="J46" i="30"/>
  <c r="B46" i="30"/>
  <c r="BB55" i="2" s="1"/>
  <c r="BB55" i="4" s="1"/>
  <c r="K45" i="30"/>
  <c r="J45" i="30"/>
  <c r="B45" i="30"/>
  <c r="B36" i="2" s="1"/>
  <c r="B36" i="4" s="1"/>
  <c r="J44" i="30"/>
  <c r="B44" i="30"/>
  <c r="B35" i="2" s="1"/>
  <c r="B35" i="4" s="1"/>
  <c r="J43" i="30"/>
  <c r="B43" i="30"/>
  <c r="B55" i="2" s="1"/>
  <c r="B55" i="4" s="1"/>
  <c r="K42" i="30"/>
  <c r="J42" i="30"/>
  <c r="B42" i="30"/>
  <c r="B56" i="2" s="1"/>
  <c r="B56" i="4" s="1"/>
  <c r="K41" i="30"/>
  <c r="J41" i="30"/>
  <c r="B41" i="30"/>
  <c r="BB26" i="2" s="1"/>
  <c r="BB26" i="4" s="1"/>
  <c r="K40" i="30"/>
  <c r="J40" i="30"/>
  <c r="B40" i="30"/>
  <c r="BB25" i="2" s="1"/>
  <c r="BB25" i="4" s="1"/>
  <c r="K39" i="30"/>
  <c r="J39" i="30"/>
  <c r="B39" i="30"/>
  <c r="B45" i="2" s="1"/>
  <c r="B45" i="4" s="1"/>
  <c r="J38" i="30"/>
  <c r="B38" i="30"/>
  <c r="B46" i="2" s="1"/>
  <c r="B46" i="4" s="1"/>
  <c r="J37" i="30"/>
  <c r="B37" i="30"/>
  <c r="BB6" i="2" s="1"/>
  <c r="BB6" i="4" s="1"/>
  <c r="K36" i="30"/>
  <c r="J36" i="30"/>
  <c r="B36" i="30"/>
  <c r="BB16" i="2" s="1"/>
  <c r="BB16" i="4" s="1"/>
  <c r="K35" i="30"/>
  <c r="J35" i="30"/>
  <c r="B35" i="30"/>
  <c r="BB15" i="2" s="1"/>
  <c r="BB15" i="4" s="1"/>
  <c r="K34" i="30"/>
  <c r="J34" i="30"/>
  <c r="B34" i="30"/>
  <c r="BB5" i="2" s="1"/>
  <c r="BB5" i="4" s="1"/>
  <c r="K33" i="30"/>
  <c r="J33" i="30"/>
  <c r="B33" i="30"/>
  <c r="B25" i="2" s="1"/>
  <c r="B25" i="4" s="1"/>
  <c r="J32" i="30"/>
  <c r="B32" i="30"/>
  <c r="B5" i="2" s="1"/>
  <c r="B5" i="4" s="1"/>
  <c r="J31" i="30"/>
  <c r="B31" i="30"/>
  <c r="B26" i="2" s="1"/>
  <c r="B26" i="4" s="1"/>
  <c r="K30" i="30"/>
  <c r="J30" i="30"/>
  <c r="B30" i="30"/>
  <c r="B16" i="2" s="1"/>
  <c r="B16" i="4" s="1"/>
  <c r="K29" i="30"/>
  <c r="J29" i="30"/>
  <c r="B29" i="30"/>
  <c r="B6" i="2" s="1"/>
  <c r="B6" i="4" s="1"/>
  <c r="K28" i="30"/>
  <c r="J28" i="30"/>
  <c r="B28" i="30"/>
  <c r="B15" i="2" s="1"/>
  <c r="B15" i="4" s="1"/>
  <c r="K27" i="30"/>
  <c r="J26" i="30"/>
  <c r="B26" i="30"/>
  <c r="BB53" i="2" s="1"/>
  <c r="BB53" i="4" s="1"/>
  <c r="J25" i="30"/>
  <c r="B25" i="30"/>
  <c r="BB44" i="2" s="1"/>
  <c r="BB44" i="4" s="1"/>
  <c r="K24" i="30"/>
  <c r="J24" i="30"/>
  <c r="B24" i="30"/>
  <c r="BB43" i="2" s="1"/>
  <c r="BB43" i="4" s="1"/>
  <c r="K23" i="30"/>
  <c r="J23" i="30"/>
  <c r="B23" i="30"/>
  <c r="K22" i="30"/>
  <c r="J22" i="30"/>
  <c r="B22" i="30"/>
  <c r="K21" i="30"/>
  <c r="J21" i="30"/>
  <c r="B21" i="30"/>
  <c r="BB54" i="2" s="1"/>
  <c r="BB54" i="4" s="1"/>
  <c r="J20" i="30"/>
  <c r="B20" i="30"/>
  <c r="J19" i="30"/>
  <c r="B19" i="30"/>
  <c r="K18" i="30"/>
  <c r="J18" i="30"/>
  <c r="B18" i="30"/>
  <c r="B33" i="2" s="1"/>
  <c r="B33" i="4" s="1"/>
  <c r="K17" i="30"/>
  <c r="J17" i="30"/>
  <c r="B17" i="30"/>
  <c r="B44" i="2" s="1"/>
  <c r="B44" i="4" s="1"/>
  <c r="K16" i="30"/>
  <c r="J16" i="30"/>
  <c r="B16" i="30"/>
  <c r="B34" i="2" s="1"/>
  <c r="B34" i="4" s="1"/>
  <c r="K15" i="30"/>
  <c r="J15" i="30"/>
  <c r="B15" i="30"/>
  <c r="B43" i="2" s="1"/>
  <c r="B43" i="4" s="1"/>
  <c r="J14" i="30"/>
  <c r="B14" i="30"/>
  <c r="BB23" i="2" s="1"/>
  <c r="BB23" i="4" s="1"/>
  <c r="J13" i="30"/>
  <c r="B13" i="30"/>
  <c r="BB13" i="2" s="1"/>
  <c r="BB13" i="4" s="1"/>
  <c r="K12" i="30"/>
  <c r="J12" i="30"/>
  <c r="B12" i="30"/>
  <c r="BB24" i="2" s="1"/>
  <c r="BB24" i="4" s="1"/>
  <c r="K11" i="30"/>
  <c r="J11" i="30"/>
  <c r="B11" i="30"/>
  <c r="B14" i="2" s="1"/>
  <c r="B14" i="4" s="1"/>
  <c r="K10" i="30"/>
  <c r="J10" i="30"/>
  <c r="B10" i="30"/>
  <c r="B23" i="2" s="1"/>
  <c r="B23" i="4" s="1"/>
  <c r="K9" i="30"/>
  <c r="J9" i="30"/>
  <c r="B9" i="30"/>
  <c r="BB4" i="2" s="1"/>
  <c r="BB4" i="4" s="1"/>
  <c r="J8" i="30"/>
  <c r="B8" i="30"/>
  <c r="BB14" i="2" s="1"/>
  <c r="BB14" i="4" s="1"/>
  <c r="J7" i="30"/>
  <c r="B7" i="30"/>
  <c r="B24" i="2" s="1"/>
  <c r="B24" i="4" s="1"/>
  <c r="K6" i="30"/>
  <c r="J6" i="30"/>
  <c r="B6" i="30"/>
  <c r="B13" i="2" s="1"/>
  <c r="B13" i="4" s="1"/>
  <c r="K5" i="30"/>
  <c r="J5" i="30"/>
  <c r="B5" i="30"/>
  <c r="BB3" i="2" s="1"/>
  <c r="BB3" i="4" s="1"/>
  <c r="K4" i="30"/>
  <c r="J4" i="30"/>
  <c r="B4" i="30"/>
  <c r="B4" i="2" s="1"/>
  <c r="B4" i="4" s="1"/>
  <c r="K3" i="30"/>
  <c r="J3" i="30"/>
  <c r="B3" i="30"/>
  <c r="B3" i="2" s="1"/>
  <c r="B3" i="4" s="1"/>
  <c r="F25" i="36"/>
  <c r="F24" i="36"/>
  <c r="F23" i="36"/>
  <c r="F36" i="25"/>
  <c r="D5" i="36"/>
  <c r="D4" i="36"/>
  <c r="F34" i="25"/>
  <c r="F3" i="36"/>
  <c r="A32" i="26"/>
  <c r="A31" i="26"/>
  <c r="A66" i="26" s="1"/>
  <c r="A101" i="26" s="1"/>
  <c r="A136" i="26" s="1"/>
  <c r="A171" i="26" s="1"/>
  <c r="A206" i="26" s="1"/>
  <c r="A30" i="26"/>
  <c r="A29" i="26"/>
  <c r="I59" i="25"/>
  <c r="G59" i="25"/>
  <c r="E59" i="25"/>
  <c r="I58" i="25"/>
  <c r="G58" i="25"/>
  <c r="E58" i="25"/>
  <c r="A58" i="25"/>
  <c r="I57" i="25"/>
  <c r="G57" i="25"/>
  <c r="E57" i="25"/>
  <c r="I56" i="25"/>
  <c r="G56" i="25"/>
  <c r="E56" i="25"/>
  <c r="A56" i="25"/>
  <c r="I55" i="25"/>
  <c r="G55" i="25"/>
  <c r="E55" i="25"/>
  <c r="A55" i="25"/>
  <c r="I54" i="25"/>
  <c r="G54" i="25"/>
  <c r="E54" i="25"/>
  <c r="A54" i="25"/>
  <c r="G53" i="25"/>
  <c r="C53" i="25"/>
  <c r="B53" i="25"/>
  <c r="G52" i="25"/>
  <c r="C52" i="25"/>
  <c r="B52" i="25"/>
  <c r="I49" i="25"/>
  <c r="G49" i="25"/>
  <c r="E49" i="25"/>
  <c r="I48" i="25"/>
  <c r="G48" i="25"/>
  <c r="E48" i="25"/>
  <c r="I47" i="25"/>
  <c r="G47" i="25"/>
  <c r="E47" i="25"/>
  <c r="I46" i="25"/>
  <c r="G46" i="25"/>
  <c r="E46" i="25"/>
  <c r="I45" i="25"/>
  <c r="G45" i="25"/>
  <c r="E45" i="25"/>
  <c r="A45" i="25"/>
  <c r="I44" i="25"/>
  <c r="G44" i="25"/>
  <c r="E44" i="25"/>
  <c r="A44" i="25"/>
  <c r="G43" i="25"/>
  <c r="C43" i="25"/>
  <c r="B43" i="25"/>
  <c r="G42" i="25"/>
  <c r="C42" i="25"/>
  <c r="B42" i="25"/>
  <c r="I39" i="25"/>
  <c r="G39" i="25"/>
  <c r="E39" i="25"/>
  <c r="I38" i="25"/>
  <c r="G38" i="25"/>
  <c r="E38" i="25"/>
  <c r="C38" i="25"/>
  <c r="A38" i="25"/>
  <c r="I37" i="25"/>
  <c r="G37" i="25"/>
  <c r="E37" i="25"/>
  <c r="I36" i="25"/>
  <c r="G36" i="25"/>
  <c r="E36" i="25"/>
  <c r="A36" i="25"/>
  <c r="I35" i="25"/>
  <c r="G35" i="25"/>
  <c r="E35" i="25"/>
  <c r="A35" i="25"/>
  <c r="I34" i="25"/>
  <c r="G34" i="25"/>
  <c r="E34" i="25"/>
  <c r="A34" i="25"/>
  <c r="G33" i="25"/>
  <c r="C33" i="25"/>
  <c r="B33" i="25"/>
  <c r="G32" i="25"/>
  <c r="C32" i="25"/>
  <c r="B32" i="25"/>
  <c r="I29" i="25"/>
  <c r="G29" i="25"/>
  <c r="E29" i="25"/>
  <c r="I28" i="25"/>
  <c r="G28" i="25"/>
  <c r="E28" i="25"/>
  <c r="I27" i="25"/>
  <c r="G27" i="25"/>
  <c r="E27" i="25"/>
  <c r="I26" i="25"/>
  <c r="G26" i="25"/>
  <c r="E26" i="25"/>
  <c r="A26" i="25"/>
  <c r="I25" i="25"/>
  <c r="G25" i="25"/>
  <c r="E25" i="25"/>
  <c r="A25" i="25"/>
  <c r="I24" i="25"/>
  <c r="G24" i="25"/>
  <c r="E24" i="25"/>
  <c r="A24" i="25"/>
  <c r="G23" i="25"/>
  <c r="C23" i="25"/>
  <c r="B23" i="25"/>
  <c r="G22" i="25"/>
  <c r="C22" i="25"/>
  <c r="B22" i="25"/>
  <c r="I19" i="25"/>
  <c r="G19" i="25"/>
  <c r="E19" i="25"/>
  <c r="I18" i="25"/>
  <c r="G18" i="25"/>
  <c r="E18" i="25"/>
  <c r="I17" i="25"/>
  <c r="G17" i="25"/>
  <c r="E17" i="25"/>
  <c r="A17" i="25"/>
  <c r="I16" i="25"/>
  <c r="G16" i="25"/>
  <c r="E16" i="25"/>
  <c r="A16" i="25"/>
  <c r="I15" i="25"/>
  <c r="G15" i="25"/>
  <c r="E15" i="25"/>
  <c r="A15" i="25"/>
  <c r="I14" i="25"/>
  <c r="G14" i="25"/>
  <c r="E14" i="25"/>
  <c r="A14" i="25"/>
  <c r="G13" i="25"/>
  <c r="C13" i="25"/>
  <c r="B13" i="25"/>
  <c r="G12" i="25"/>
  <c r="C12" i="25"/>
  <c r="B12" i="25"/>
  <c r="I9" i="25"/>
  <c r="G9" i="25"/>
  <c r="E9" i="25"/>
  <c r="I8" i="25"/>
  <c r="G8" i="25"/>
  <c r="E8" i="25"/>
  <c r="I7" i="25"/>
  <c r="G7" i="25"/>
  <c r="E7" i="25"/>
  <c r="I6" i="25"/>
  <c r="G6" i="25"/>
  <c r="E6" i="25"/>
  <c r="A6" i="25"/>
  <c r="I5" i="25"/>
  <c r="G5" i="25"/>
  <c r="E5" i="25"/>
  <c r="I4" i="25"/>
  <c r="G4" i="25"/>
  <c r="E4" i="25"/>
  <c r="A4" i="25"/>
  <c r="G3" i="25"/>
  <c r="C3" i="25"/>
  <c r="B3" i="25"/>
  <c r="G2" i="25"/>
  <c r="C2" i="25"/>
  <c r="B2" i="25"/>
  <c r="A8" i="25"/>
  <c r="A33" i="26"/>
  <c r="A68" i="26"/>
  <c r="A103" i="26" s="1"/>
  <c r="A138" i="26" s="1"/>
  <c r="A173" i="26" s="1"/>
  <c r="A208" i="26" s="1"/>
  <c r="A28" i="26"/>
  <c r="A27" i="26"/>
  <c r="A62" i="26" s="1"/>
  <c r="A97" i="26" s="1"/>
  <c r="A132" i="26" s="1"/>
  <c r="A167" i="26" s="1"/>
  <c r="A202" i="26" s="1"/>
  <c r="A26" i="26"/>
  <c r="A25" i="26"/>
  <c r="A60" i="26" s="1"/>
  <c r="A95" i="26" s="1"/>
  <c r="A130" i="26" s="1"/>
  <c r="A165" i="26" s="1"/>
  <c r="A200" i="26" s="1"/>
  <c r="A24" i="26"/>
  <c r="A23" i="26"/>
  <c r="A22" i="26"/>
  <c r="A57" i="26" s="1"/>
  <c r="A92" i="26" s="1"/>
  <c r="A127" i="26" s="1"/>
  <c r="A162" i="26" s="1"/>
  <c r="A197" i="26" s="1"/>
  <c r="A21" i="26"/>
  <c r="A56" i="26" s="1"/>
  <c r="A91" i="26" s="1"/>
  <c r="A126" i="26" s="1"/>
  <c r="A161" i="26" s="1"/>
  <c r="A196" i="26" s="1"/>
  <c r="A20" i="26"/>
  <c r="A19" i="26"/>
  <c r="A54" i="26" s="1"/>
  <c r="A89" i="26" s="1"/>
  <c r="A124" i="26" s="1"/>
  <c r="A159" i="26" s="1"/>
  <c r="A194" i="26" s="1"/>
  <c r="A18" i="26"/>
  <c r="A17" i="26"/>
  <c r="A16" i="26"/>
  <c r="A15" i="26"/>
  <c r="A14" i="26"/>
  <c r="A13" i="26"/>
  <c r="A48" i="26" s="1"/>
  <c r="A83" i="26" s="1"/>
  <c r="A118" i="26" s="1"/>
  <c r="A153" i="26" s="1"/>
  <c r="A188" i="26" s="1"/>
  <c r="A12" i="26"/>
  <c r="A11" i="26"/>
  <c r="A46" i="26" s="1"/>
  <c r="A81" i="26" s="1"/>
  <c r="A116" i="26" s="1"/>
  <c r="A151" i="26" s="1"/>
  <c r="A186" i="26" s="1"/>
  <c r="A10" i="26"/>
  <c r="A9" i="26"/>
  <c r="A8" i="26"/>
  <c r="A7" i="26"/>
  <c r="A6" i="26"/>
  <c r="A5" i="26"/>
  <c r="A40" i="26" s="1"/>
  <c r="A75" i="26" s="1"/>
  <c r="A110" i="26" s="1"/>
  <c r="A145" i="26" s="1"/>
  <c r="A180" i="26" s="1"/>
  <c r="A4" i="26"/>
  <c r="A3" i="26"/>
  <c r="A38" i="26" s="1"/>
  <c r="A73" i="26" s="1"/>
  <c r="A108" i="26" s="1"/>
  <c r="A143" i="26" s="1"/>
  <c r="A178" i="26" s="1"/>
  <c r="A2" i="26"/>
  <c r="F58" i="25"/>
  <c r="F57" i="25"/>
  <c r="D56" i="25"/>
  <c r="D55" i="25"/>
  <c r="F54" i="25"/>
  <c r="D54" i="25"/>
  <c r="F46" i="25"/>
  <c r="D45" i="25"/>
  <c r="F44" i="25"/>
  <c r="D44" i="25"/>
  <c r="D39" i="25"/>
  <c r="F37" i="25"/>
  <c r="F27" i="25"/>
  <c r="F26" i="25"/>
  <c r="A27" i="25"/>
  <c r="A29" i="25"/>
  <c r="A28" i="25"/>
  <c r="A46" i="25"/>
  <c r="U3" i="6"/>
  <c r="U4" i="6" s="1"/>
  <c r="U5" i="6" s="1"/>
  <c r="U6" i="6" s="1"/>
  <c r="U7" i="6" s="1"/>
  <c r="U8" i="6" s="1"/>
  <c r="U9" i="6" s="1"/>
  <c r="U10" i="6" s="1"/>
  <c r="U11" i="6" s="1"/>
  <c r="U12" i="6" s="1"/>
  <c r="U13" i="6" s="1"/>
  <c r="U14" i="6" s="1"/>
  <c r="U15" i="6" s="1"/>
  <c r="U16" i="6" s="1"/>
  <c r="U17" i="6" s="1"/>
  <c r="U18" i="6" s="1"/>
  <c r="U19" i="6" s="1"/>
  <c r="U20" i="6" s="1"/>
  <c r="U21" i="6" s="1"/>
  <c r="U22" i="6" s="1"/>
  <c r="U23" i="6" s="1"/>
  <c r="U24" i="6" s="1"/>
  <c r="U25" i="6" s="1"/>
  <c r="U26" i="6" s="1"/>
  <c r="U27" i="6" s="1"/>
  <c r="U28" i="6" s="1"/>
  <c r="U29" i="6" s="1"/>
  <c r="U30" i="6" s="1"/>
  <c r="U31" i="6" s="1"/>
  <c r="U32" i="6" s="1"/>
  <c r="U33" i="6" s="1"/>
  <c r="R3" i="6"/>
  <c r="R4" i="6" s="1"/>
  <c r="R5" i="6" s="1"/>
  <c r="R6" i="6" s="1"/>
  <c r="R7" i="6" s="1"/>
  <c r="R8" i="6" s="1"/>
  <c r="R9" i="6" s="1"/>
  <c r="R10" i="6" s="1"/>
  <c r="R11" i="6" s="1"/>
  <c r="R12" i="6" s="1"/>
  <c r="R13" i="6" s="1"/>
  <c r="R14" i="6" s="1"/>
  <c r="R15" i="6" s="1"/>
  <c r="R16" i="6" s="1"/>
  <c r="R17" i="6" s="1"/>
  <c r="R18" i="6" s="1"/>
  <c r="R19" i="6" s="1"/>
  <c r="R20" i="6" s="1"/>
  <c r="R21" i="6" s="1"/>
  <c r="R22" i="6" s="1"/>
  <c r="R23" i="6" s="1"/>
  <c r="R24" i="6" s="1"/>
  <c r="R25" i="6" s="1"/>
  <c r="R26" i="6" s="1"/>
  <c r="R27" i="6" s="1"/>
  <c r="R28" i="6" s="1"/>
  <c r="R29" i="6" s="1"/>
  <c r="R30" i="6" s="1"/>
  <c r="R31" i="6" s="1"/>
  <c r="R32" i="6" s="1"/>
  <c r="R33" i="6" s="1"/>
  <c r="Y35" i="6"/>
  <c r="D35" i="6" s="1"/>
  <c r="AN3" i="6"/>
  <c r="AN4" i="6" s="1"/>
  <c r="B34" i="6"/>
  <c r="AO33" i="6"/>
  <c r="A18" i="25"/>
  <c r="A19" i="25"/>
  <c r="F47" i="25"/>
  <c r="D58" i="25"/>
  <c r="D48" i="25"/>
  <c r="F55" i="25"/>
  <c r="F45" i="25"/>
  <c r="F25" i="25"/>
  <c r="D29" i="25"/>
  <c r="D26" i="25"/>
  <c r="D49" i="25"/>
  <c r="F17" i="25"/>
  <c r="F48" i="25"/>
  <c r="F39" i="25"/>
  <c r="A48" i="25"/>
  <c r="A59" i="25"/>
  <c r="A57" i="25"/>
  <c r="F16" i="25"/>
  <c r="A49" i="25"/>
  <c r="A47" i="25"/>
  <c r="A5" i="25"/>
  <c r="A37" i="25"/>
  <c r="A39" i="25"/>
  <c r="D59" i="25"/>
  <c r="F5" i="25"/>
  <c r="A7" i="25"/>
  <c r="A9" i="25"/>
  <c r="A47" i="26"/>
  <c r="A82" i="26" s="1"/>
  <c r="A117" i="26" s="1"/>
  <c r="A152" i="26" s="1"/>
  <c r="A187" i="26" s="1"/>
  <c r="A53" i="26"/>
  <c r="A88" i="26" s="1"/>
  <c r="A123" i="26" s="1"/>
  <c r="A158" i="26" s="1"/>
  <c r="A193" i="26" s="1"/>
  <c r="A37" i="26"/>
  <c r="A72" i="26" s="1"/>
  <c r="A107" i="26" s="1"/>
  <c r="A142" i="26" s="1"/>
  <c r="A177" i="26" s="1"/>
  <c r="W11" i="29"/>
  <c r="U11" i="29"/>
  <c r="T27" i="29"/>
  <c r="T43" i="29"/>
  <c r="AA59" i="29"/>
  <c r="W59" i="29"/>
  <c r="Z59" i="29"/>
  <c r="V59" i="29"/>
  <c r="Y59" i="29"/>
  <c r="U59" i="29"/>
  <c r="AA62" i="29"/>
  <c r="W62" i="29"/>
  <c r="Y62" i="29"/>
  <c r="AA75" i="29"/>
  <c r="W75" i="29"/>
  <c r="Y75" i="29"/>
  <c r="U75" i="29"/>
  <c r="V91" i="29"/>
  <c r="W2" i="29"/>
  <c r="W4" i="29"/>
  <c r="X11" i="29"/>
  <c r="W18" i="29"/>
  <c r="X20" i="29"/>
  <c r="W20" i="29"/>
  <c r="U31" i="29"/>
  <c r="Y34" i="29"/>
  <c r="X36" i="29"/>
  <c r="W36" i="29"/>
  <c r="Y45" i="29"/>
  <c r="V45" i="29"/>
  <c r="AA47" i="29"/>
  <c r="W47" i="29"/>
  <c r="Z47" i="29"/>
  <c r="V47" i="29"/>
  <c r="Y47" i="29"/>
  <c r="U47" i="29"/>
  <c r="T47" i="29"/>
  <c r="AA50" i="29"/>
  <c r="W50" i="29"/>
  <c r="Y50" i="29"/>
  <c r="X52" i="29"/>
  <c r="W52" i="29"/>
  <c r="X59" i="29"/>
  <c r="B59" i="29" s="1"/>
  <c r="V61" i="29"/>
  <c r="Z63" i="29"/>
  <c r="V63" i="29"/>
  <c r="T63" i="29"/>
  <c r="Y66" i="29"/>
  <c r="V77" i="29"/>
  <c r="V79" i="29"/>
  <c r="AA82" i="29"/>
  <c r="W82" i="29"/>
  <c r="Y82" i="29"/>
  <c r="X84" i="29"/>
  <c r="W84" i="29"/>
  <c r="B84" i="29" s="1"/>
  <c r="Y93" i="29"/>
  <c r="V93" i="29"/>
  <c r="Z95" i="29"/>
  <c r="V95" i="29"/>
  <c r="T95" i="29"/>
  <c r="Z96" i="29"/>
  <c r="X100" i="29"/>
  <c r="AA78" i="29"/>
  <c r="AA94" i="29"/>
  <c r="W94" i="29"/>
  <c r="AA3" i="29"/>
  <c r="W3" i="29"/>
  <c r="Z3" i="29"/>
  <c r="V3" i="29"/>
  <c r="Y3" i="29"/>
  <c r="U3" i="29"/>
  <c r="T3" i="29"/>
  <c r="V17" i="29"/>
  <c r="AA19" i="29"/>
  <c r="W19" i="29"/>
  <c r="Z19" i="29"/>
  <c r="V19" i="29"/>
  <c r="Y19" i="29"/>
  <c r="U19" i="29"/>
  <c r="T19" i="29"/>
  <c r="Z20" i="29"/>
  <c r="X26" i="29"/>
  <c r="AA35" i="29"/>
  <c r="Y35" i="29"/>
  <c r="Z36" i="29"/>
  <c r="AA38" i="29"/>
  <c r="X42" i="29"/>
  <c r="Y49" i="29"/>
  <c r="V49" i="29"/>
  <c r="Z51" i="29"/>
  <c r="V51" i="29"/>
  <c r="T51" i="29"/>
  <c r="Z52" i="29"/>
  <c r="Y54" i="29"/>
  <c r="X58" i="29"/>
  <c r="W70" i="29"/>
  <c r="V81" i="29"/>
  <c r="AA83" i="29"/>
  <c r="W83" i="29"/>
  <c r="Z83" i="29"/>
  <c r="V83" i="29"/>
  <c r="Y83" i="29"/>
  <c r="U83" i="29"/>
  <c r="T83" i="29"/>
  <c r="Z84" i="29"/>
  <c r="AA86" i="29"/>
  <c r="Y86" i="29"/>
  <c r="X90" i="29"/>
  <c r="W99" i="29"/>
  <c r="U99" i="29"/>
  <c r="AA27" i="29"/>
  <c r="W27" i="29"/>
  <c r="Z27" i="29"/>
  <c r="V27" i="29"/>
  <c r="Y27" i="29"/>
  <c r="U27" i="29"/>
  <c r="W30" i="29"/>
  <c r="Y30" i="29"/>
  <c r="AA43" i="29"/>
  <c r="W43" i="29"/>
  <c r="Z43" i="29"/>
  <c r="V43" i="29"/>
  <c r="Y43" i="29"/>
  <c r="U43" i="29"/>
  <c r="AA46" i="29"/>
  <c r="W46" i="29"/>
  <c r="Y46" i="29"/>
  <c r="T59" i="29"/>
  <c r="T75" i="29"/>
  <c r="V7" i="29"/>
  <c r="AA10" i="29"/>
  <c r="U14" i="29"/>
  <c r="AA23" i="29"/>
  <c r="W23" i="29"/>
  <c r="Z23" i="29"/>
  <c r="V23" i="29"/>
  <c r="Y23" i="29"/>
  <c r="U23" i="29"/>
  <c r="T23" i="29"/>
  <c r="B23" i="29" s="1"/>
  <c r="AA26" i="29"/>
  <c r="W26" i="29"/>
  <c r="Y26" i="29"/>
  <c r="X30" i="29"/>
  <c r="U30" i="29"/>
  <c r="V39" i="29"/>
  <c r="AA42" i="29"/>
  <c r="W42" i="29"/>
  <c r="Y42" i="29"/>
  <c r="X46" i="29"/>
  <c r="U46" i="29"/>
  <c r="AA55" i="29"/>
  <c r="Z55" i="29"/>
  <c r="V55" i="29"/>
  <c r="Y55" i="29"/>
  <c r="T55" i="29"/>
  <c r="AA58" i="29"/>
  <c r="W58" i="29"/>
  <c r="Y58" i="29"/>
  <c r="X62" i="29"/>
  <c r="U62" i="29"/>
  <c r="AA71" i="29"/>
  <c r="W71" i="29"/>
  <c r="Z71" i="29"/>
  <c r="V71" i="29"/>
  <c r="Y71" i="29"/>
  <c r="U71" i="29"/>
  <c r="T71" i="29"/>
  <c r="AA74" i="29"/>
  <c r="W74" i="29"/>
  <c r="U78" i="29"/>
  <c r="V87" i="29"/>
  <c r="AA90" i="29"/>
  <c r="X94" i="29"/>
  <c r="U94" i="29"/>
  <c r="Y112" i="29"/>
  <c r="U112" i="29"/>
  <c r="AA112" i="29"/>
  <c r="W112" i="29"/>
  <c r="AA178" i="29"/>
  <c r="W178" i="29"/>
  <c r="Z178" i="29"/>
  <c r="V178" i="29"/>
  <c r="Y178" i="29"/>
  <c r="U178" i="29"/>
  <c r="T178" i="29"/>
  <c r="AA181" i="29"/>
  <c r="W181" i="29"/>
  <c r="Y181" i="29"/>
  <c r="Z215" i="29"/>
  <c r="AA215" i="29"/>
  <c r="U232" i="29"/>
  <c r="Z232" i="29"/>
  <c r="Y232" i="29"/>
  <c r="AA263" i="29"/>
  <c r="W263" i="29"/>
  <c r="Y356" i="29"/>
  <c r="U356" i="29"/>
  <c r="AA356" i="29"/>
  <c r="W356" i="29"/>
  <c r="Z356" i="29"/>
  <c r="X356" i="29"/>
  <c r="V356" i="29"/>
  <c r="Z2" i="29"/>
  <c r="W9" i="29"/>
  <c r="T12" i="29"/>
  <c r="W17" i="29"/>
  <c r="T20" i="29"/>
  <c r="W21" i="29"/>
  <c r="AA21" i="29"/>
  <c r="W25" i="29"/>
  <c r="AA25" i="29"/>
  <c r="V26" i="29"/>
  <c r="Z26" i="29"/>
  <c r="T28" i="29"/>
  <c r="AA29" i="29"/>
  <c r="Z30" i="29"/>
  <c r="Z34" i="29"/>
  <c r="T36" i="29"/>
  <c r="W37" i="29"/>
  <c r="AA37" i="29"/>
  <c r="Z38" i="29"/>
  <c r="V42" i="29"/>
  <c r="Z42" i="29"/>
  <c r="T44" i="29"/>
  <c r="W45" i="29"/>
  <c r="AA45" i="29"/>
  <c r="V46" i="29"/>
  <c r="Z46" i="29"/>
  <c r="T48" i="29"/>
  <c r="W49" i="29"/>
  <c r="AA49" i="29"/>
  <c r="V50" i="29"/>
  <c r="Z50" i="29"/>
  <c r="W53" i="29"/>
  <c r="AA53" i="29"/>
  <c r="V54" i="29"/>
  <c r="Z54" i="29"/>
  <c r="T56" i="29"/>
  <c r="W57" i="29"/>
  <c r="AA57" i="29"/>
  <c r="V58" i="29"/>
  <c r="Z58" i="29"/>
  <c r="T60" i="29"/>
  <c r="V62" i="29"/>
  <c r="Z62" i="29"/>
  <c r="W69" i="29"/>
  <c r="T72" i="29"/>
  <c r="V74" i="29"/>
  <c r="Z74" i="29"/>
  <c r="W77" i="29"/>
  <c r="Z78" i="29"/>
  <c r="V82" i="29"/>
  <c r="Z82" i="29"/>
  <c r="T84" i="29"/>
  <c r="W85" i="29"/>
  <c r="AA85" i="29"/>
  <c r="V86" i="29"/>
  <c r="Z86" i="29"/>
  <c r="AA89" i="29"/>
  <c r="W93" i="29"/>
  <c r="AA93" i="29"/>
  <c r="V94" i="29"/>
  <c r="Z94" i="29"/>
  <c r="T96" i="29"/>
  <c r="Z98" i="29"/>
  <c r="X103" i="29"/>
  <c r="U103" i="29"/>
  <c r="Z103" i="29"/>
  <c r="Z106" i="29"/>
  <c r="Z111" i="29"/>
  <c r="V111" i="29"/>
  <c r="W111" i="29"/>
  <c r="V112" i="29"/>
  <c r="U113" i="29"/>
  <c r="U114" i="29"/>
  <c r="AA121" i="29"/>
  <c r="W123" i="29"/>
  <c r="W134" i="29"/>
  <c r="Y134" i="29"/>
  <c r="AA137" i="29"/>
  <c r="X139" i="29"/>
  <c r="W139" i="29"/>
  <c r="W150" i="29"/>
  <c r="U150" i="29"/>
  <c r="W155" i="29"/>
  <c r="AA166" i="29"/>
  <c r="W166" i="29"/>
  <c r="Z166" i="29"/>
  <c r="V166" i="29"/>
  <c r="Y166" i="29"/>
  <c r="U166" i="29"/>
  <c r="T166" i="29"/>
  <c r="W169" i="29"/>
  <c r="X173" i="29"/>
  <c r="X178" i="29"/>
  <c r="Y180" i="29"/>
  <c r="AA182" i="29"/>
  <c r="W182" i="29"/>
  <c r="Z182" i="29"/>
  <c r="V182" i="29"/>
  <c r="Y182" i="29"/>
  <c r="U182" i="29"/>
  <c r="T182" i="29"/>
  <c r="W185" i="29"/>
  <c r="X189" i="29"/>
  <c r="Z198" i="29"/>
  <c r="T198" i="29"/>
  <c r="Z199" i="29"/>
  <c r="AA201" i="29"/>
  <c r="W201" i="29"/>
  <c r="Y201" i="29"/>
  <c r="X203" i="29"/>
  <c r="W203" i="29"/>
  <c r="W210" i="29"/>
  <c r="Y241" i="29"/>
  <c r="AA247" i="29"/>
  <c r="W247" i="29"/>
  <c r="W254" i="29"/>
  <c r="U254" i="29"/>
  <c r="Z260" i="29"/>
  <c r="V260" i="29"/>
  <c r="AA338" i="29"/>
  <c r="W338" i="29"/>
  <c r="Z338" i="29"/>
  <c r="V338" i="29"/>
  <c r="Y338" i="29"/>
  <c r="U338" i="29"/>
  <c r="X338" i="29"/>
  <c r="T338" i="29"/>
  <c r="U341" i="29"/>
  <c r="Y341" i="29"/>
  <c r="Z104" i="29"/>
  <c r="T112" i="29"/>
  <c r="W117" i="29"/>
  <c r="V130" i="29"/>
  <c r="AA133" i="29"/>
  <c r="W146" i="29"/>
  <c r="U146" i="29"/>
  <c r="AA194" i="29"/>
  <c r="Y194" i="29"/>
  <c r="U219" i="29"/>
  <c r="Z226" i="29"/>
  <c r="V226" i="29"/>
  <c r="Y226" i="29"/>
  <c r="U226" i="29"/>
  <c r="AA226" i="29"/>
  <c r="X226" i="29"/>
  <c r="W226" i="29"/>
  <c r="T226" i="29"/>
  <c r="AA270" i="29"/>
  <c r="W270" i="29"/>
  <c r="Z270" i="29"/>
  <c r="V270" i="29"/>
  <c r="Y270" i="29"/>
  <c r="U270" i="29"/>
  <c r="X270" i="29"/>
  <c r="T270" i="29"/>
  <c r="U4" i="29"/>
  <c r="Y4" i="29"/>
  <c r="U8" i="29"/>
  <c r="U12" i="29"/>
  <c r="T17" i="29"/>
  <c r="U20" i="29"/>
  <c r="Y20" i="29"/>
  <c r="T21" i="29"/>
  <c r="X21" i="29"/>
  <c r="T25" i="29"/>
  <c r="X25" i="29"/>
  <c r="U28" i="29"/>
  <c r="Y28" i="29"/>
  <c r="T33" i="29"/>
  <c r="U36" i="29"/>
  <c r="Y36" i="29"/>
  <c r="T37" i="29"/>
  <c r="X37" i="29"/>
  <c r="U44" i="29"/>
  <c r="Y44" i="29"/>
  <c r="T45" i="29"/>
  <c r="X45" i="29"/>
  <c r="Y48" i="29"/>
  <c r="T49" i="29"/>
  <c r="X49" i="29"/>
  <c r="U52" i="29"/>
  <c r="Y52" i="29"/>
  <c r="T53" i="29"/>
  <c r="X53" i="29"/>
  <c r="U56" i="29"/>
  <c r="Y56" i="29"/>
  <c r="T57" i="29"/>
  <c r="X57" i="29"/>
  <c r="Y60" i="29"/>
  <c r="Y64" i="29"/>
  <c r="U72" i="29"/>
  <c r="Y72" i="29"/>
  <c r="X77" i="29"/>
  <c r="U84" i="29"/>
  <c r="Y84" i="29"/>
  <c r="T85" i="29"/>
  <c r="X85" i="29"/>
  <c r="Y88" i="29"/>
  <c r="Y92" i="29"/>
  <c r="T93" i="29"/>
  <c r="X93" i="29"/>
  <c r="Y96" i="29"/>
  <c r="Y100" i="29"/>
  <c r="Y102" i="29"/>
  <c r="U102" i="29"/>
  <c r="T102" i="29"/>
  <c r="Z102" i="29"/>
  <c r="V103" i="29"/>
  <c r="AA103" i="29"/>
  <c r="V105" i="29"/>
  <c r="W107" i="29"/>
  <c r="AA109" i="29"/>
  <c r="X112" i="29"/>
  <c r="U116" i="29"/>
  <c r="AA117" i="29"/>
  <c r="W122" i="29"/>
  <c r="U122" i="29"/>
  <c r="W125" i="29"/>
  <c r="AA138" i="29"/>
  <c r="W138" i="29"/>
  <c r="Z138" i="29"/>
  <c r="V138" i="29"/>
  <c r="Y138" i="29"/>
  <c r="U138" i="29"/>
  <c r="T138" i="29"/>
  <c r="Z139" i="29"/>
  <c r="W141" i="29"/>
  <c r="AA154" i="29"/>
  <c r="Y154" i="29"/>
  <c r="AA157" i="29"/>
  <c r="W170" i="29"/>
  <c r="U170" i="29"/>
  <c r="AA173" i="29"/>
  <c r="W173" i="29"/>
  <c r="Y173" i="29"/>
  <c r="Y184" i="29"/>
  <c r="V184" i="29"/>
  <c r="AA186" i="29"/>
  <c r="Y186" i="29"/>
  <c r="AA189" i="29"/>
  <c r="Y200" i="29"/>
  <c r="V200" i="29"/>
  <c r="AA202" i="29"/>
  <c r="W202" i="29"/>
  <c r="Z202" i="29"/>
  <c r="V202" i="29"/>
  <c r="Y202" i="29"/>
  <c r="U202" i="29"/>
  <c r="T202" i="29"/>
  <c r="Z203" i="29"/>
  <c r="AA210" i="29"/>
  <c r="V210" i="29"/>
  <c r="V217" i="29"/>
  <c r="U217" i="29"/>
  <c r="W223" i="29"/>
  <c r="AA238" i="29"/>
  <c r="W238" i="29"/>
  <c r="Z238" i="29"/>
  <c r="V238" i="29"/>
  <c r="Y238" i="29"/>
  <c r="U238" i="29"/>
  <c r="X238" i="29"/>
  <c r="T238" i="29"/>
  <c r="B238" i="29" s="1"/>
  <c r="AA162" i="29"/>
  <c r="Y162" i="29"/>
  <c r="AA165" i="29"/>
  <c r="Z208" i="29"/>
  <c r="Z344" i="29"/>
  <c r="V344" i="29"/>
  <c r="AA347" i="29"/>
  <c r="W347" i="29"/>
  <c r="T356" i="29"/>
  <c r="T2" i="29"/>
  <c r="V4" i="29"/>
  <c r="U9" i="29"/>
  <c r="V20" i="29"/>
  <c r="U21" i="29"/>
  <c r="U25" i="29"/>
  <c r="T26" i="29"/>
  <c r="B26" i="29" s="1"/>
  <c r="V28" i="29"/>
  <c r="T30" i="29"/>
  <c r="T34" i="29"/>
  <c r="V36" i="29"/>
  <c r="U37" i="29"/>
  <c r="T38" i="29"/>
  <c r="V40" i="29"/>
  <c r="T42" i="29"/>
  <c r="V44" i="29"/>
  <c r="U45" i="29"/>
  <c r="T46" i="29"/>
  <c r="V48" i="29"/>
  <c r="U49" i="29"/>
  <c r="T50" i="29"/>
  <c r="V52" i="29"/>
  <c r="U53" i="29"/>
  <c r="T54" i="29"/>
  <c r="V56" i="29"/>
  <c r="T58" i="29"/>
  <c r="T62" i="29"/>
  <c r="B62" i="29" s="1"/>
  <c r="T70" i="29"/>
  <c r="V72" i="29"/>
  <c r="T74" i="29"/>
  <c r="U77" i="29"/>
  <c r="T82" i="29"/>
  <c r="V84" i="29"/>
  <c r="U85" i="29"/>
  <c r="T86" i="29"/>
  <c r="U89" i="29"/>
  <c r="U93" i="29"/>
  <c r="T94" i="29"/>
  <c r="T98" i="29"/>
  <c r="V102" i="29"/>
  <c r="AA102" i="29"/>
  <c r="T104" i="29"/>
  <c r="X109" i="29"/>
  <c r="AA110" i="29"/>
  <c r="W110" i="29"/>
  <c r="Y110" i="29"/>
  <c r="U110" i="29"/>
  <c r="T110" i="29"/>
  <c r="Z112" i="29"/>
  <c r="V115" i="29"/>
  <c r="AA118" i="29"/>
  <c r="T118" i="29"/>
  <c r="Z126" i="29"/>
  <c r="T126" i="29"/>
  <c r="X131" i="29"/>
  <c r="X138" i="29"/>
  <c r="AA142" i="29"/>
  <c r="Y142" i="29"/>
  <c r="AA145" i="29"/>
  <c r="W145" i="29"/>
  <c r="Y145" i="29"/>
  <c r="U149" i="29"/>
  <c r="Z158" i="29"/>
  <c r="T158" i="29"/>
  <c r="Y161" i="29"/>
  <c r="X170" i="29"/>
  <c r="AA174" i="29"/>
  <c r="W174" i="29"/>
  <c r="Z174" i="29"/>
  <c r="V174" i="29"/>
  <c r="Y174" i="29"/>
  <c r="U174" i="29"/>
  <c r="T174" i="29"/>
  <c r="AA177" i="29"/>
  <c r="X179" i="29"/>
  <c r="X181" i="29"/>
  <c r="U181" i="29"/>
  <c r="W190" i="29"/>
  <c r="U190" i="29"/>
  <c r="Y193" i="29"/>
  <c r="X202" i="29"/>
  <c r="W206" i="29"/>
  <c r="U206" i="29"/>
  <c r="V208" i="29"/>
  <c r="U208" i="29"/>
  <c r="X210" i="29"/>
  <c r="AA220" i="29"/>
  <c r="Z220" i="29"/>
  <c r="X225" i="29"/>
  <c r="U225" i="29"/>
  <c r="V232" i="29"/>
  <c r="Y273" i="29"/>
  <c r="T103" i="29"/>
  <c r="T111" i="29"/>
  <c r="V117" i="29"/>
  <c r="AA120" i="29"/>
  <c r="W124" i="29"/>
  <c r="T127" i="29"/>
  <c r="Z129" i="29"/>
  <c r="T131" i="29"/>
  <c r="V133" i="29"/>
  <c r="Z137" i="29"/>
  <c r="T139" i="29"/>
  <c r="W140" i="29"/>
  <c r="AA140" i="29"/>
  <c r="V141" i="29"/>
  <c r="T143" i="29"/>
  <c r="W144" i="29"/>
  <c r="AA144" i="29"/>
  <c r="V145" i="29"/>
  <c r="Z145" i="29"/>
  <c r="W148" i="29"/>
  <c r="T151" i="29"/>
  <c r="W156" i="29"/>
  <c r="T159" i="29"/>
  <c r="W160" i="29"/>
  <c r="AA160" i="29"/>
  <c r="Z161" i="29"/>
  <c r="V165" i="29"/>
  <c r="Z169" i="29"/>
  <c r="V173" i="29"/>
  <c r="Z173" i="29"/>
  <c r="T175" i="29"/>
  <c r="AA176" i="29"/>
  <c r="T179" i="29"/>
  <c r="W180" i="29"/>
  <c r="AA180" i="29"/>
  <c r="V181" i="29"/>
  <c r="Z181" i="29"/>
  <c r="W184" i="29"/>
  <c r="AA184" i="29"/>
  <c r="T187" i="29"/>
  <c r="Z189" i="29"/>
  <c r="Z193" i="29"/>
  <c r="T199" i="29"/>
  <c r="W200" i="29"/>
  <c r="AA200" i="29"/>
  <c r="V201" i="29"/>
  <c r="Z201" i="29"/>
  <c r="T203" i="29"/>
  <c r="W204" i="29"/>
  <c r="AA204" i="29"/>
  <c r="V205" i="29"/>
  <c r="U207" i="29"/>
  <c r="Y210" i="29"/>
  <c r="U210" i="29"/>
  <c r="T210" i="29"/>
  <c r="Z210" i="29"/>
  <c r="V213" i="29"/>
  <c r="W216" i="29"/>
  <c r="X223" i="29"/>
  <c r="U223" i="29"/>
  <c r="Z223" i="29"/>
  <c r="X227" i="29"/>
  <c r="V227" i="29"/>
  <c r="W229" i="29"/>
  <c r="Y236" i="29"/>
  <c r="W242" i="29"/>
  <c r="U242" i="29"/>
  <c r="X247" i="29"/>
  <c r="X249" i="29"/>
  <c r="U249" i="29"/>
  <c r="X256" i="29"/>
  <c r="AA258" i="29"/>
  <c r="W258" i="29"/>
  <c r="Z258" i="29"/>
  <c r="V258" i="29"/>
  <c r="Y258" i="29"/>
  <c r="U258" i="29"/>
  <c r="T258" i="29"/>
  <c r="Y259" i="29"/>
  <c r="X263" i="29"/>
  <c r="Y268" i="29"/>
  <c r="Z271" i="29"/>
  <c r="X272" i="29"/>
  <c r="AA274" i="29"/>
  <c r="W274" i="29"/>
  <c r="Z274" i="29"/>
  <c r="V274" i="29"/>
  <c r="Y274" i="29"/>
  <c r="U274" i="29"/>
  <c r="T274" i="29"/>
  <c r="AA275" i="29"/>
  <c r="X276" i="29"/>
  <c r="U276" i="29"/>
  <c r="AA287" i="29"/>
  <c r="AA288" i="29"/>
  <c r="W288" i="29"/>
  <c r="X288" i="29"/>
  <c r="V288" i="29"/>
  <c r="Z288" i="29"/>
  <c r="U288" i="29"/>
  <c r="T288" i="29"/>
  <c r="X290" i="29"/>
  <c r="W291" i="29"/>
  <c r="AA301" i="29"/>
  <c r="W301" i="29"/>
  <c r="Z301" i="29"/>
  <c r="V301" i="29"/>
  <c r="Y301" i="29"/>
  <c r="X301" i="29"/>
  <c r="U301" i="29"/>
  <c r="T301" i="29"/>
  <c r="B301" i="29" s="1"/>
  <c r="AA322" i="29"/>
  <c r="W322" i="29"/>
  <c r="Z322" i="29"/>
  <c r="V322" i="29"/>
  <c r="Y322" i="29"/>
  <c r="U322" i="29"/>
  <c r="X322" i="29"/>
  <c r="T322" i="29"/>
  <c r="Z328" i="29"/>
  <c r="V328" i="29"/>
  <c r="AA331" i="29"/>
  <c r="Y119" i="29"/>
  <c r="Y123" i="29"/>
  <c r="U127" i="29"/>
  <c r="Y127" i="29"/>
  <c r="U131" i="29"/>
  <c r="Y131" i="29"/>
  <c r="Y135" i="29"/>
  <c r="U139" i="29"/>
  <c r="Y139" i="29"/>
  <c r="T140" i="29"/>
  <c r="X140" i="29"/>
  <c r="U143" i="29"/>
  <c r="Y143" i="29"/>
  <c r="T144" i="29"/>
  <c r="X144" i="29"/>
  <c r="X148" i="29"/>
  <c r="X152" i="29"/>
  <c r="X156" i="29"/>
  <c r="T160" i="29"/>
  <c r="X160" i="29"/>
  <c r="X164" i="29"/>
  <c r="Y171" i="29"/>
  <c r="U175" i="29"/>
  <c r="Y175" i="29"/>
  <c r="U179" i="29"/>
  <c r="Y179" i="29"/>
  <c r="T180" i="29"/>
  <c r="X180" i="29"/>
  <c r="T184" i="29"/>
  <c r="X184" i="29"/>
  <c r="X188" i="29"/>
  <c r="Y195" i="29"/>
  <c r="U199" i="29"/>
  <c r="Y199" i="29"/>
  <c r="T200" i="29"/>
  <c r="X200" i="29"/>
  <c r="U203" i="29"/>
  <c r="Y203" i="29"/>
  <c r="T204" i="29"/>
  <c r="X204" i="29"/>
  <c r="AA207" i="29"/>
  <c r="Z209" i="29"/>
  <c r="V209" i="29"/>
  <c r="T209" i="29"/>
  <c r="Y209" i="29"/>
  <c r="T212" i="29"/>
  <c r="U216" i="29"/>
  <c r="U222" i="29"/>
  <c r="V223" i="29"/>
  <c r="AA223" i="29"/>
  <c r="Y227" i="29"/>
  <c r="Z230" i="29"/>
  <c r="T230" i="29"/>
  <c r="AA231" i="29"/>
  <c r="AA246" i="29"/>
  <c r="W246" i="29"/>
  <c r="Z246" i="29"/>
  <c r="V246" i="29"/>
  <c r="Y246" i="29"/>
  <c r="U246" i="29"/>
  <c r="T246" i="29"/>
  <c r="Y247" i="29"/>
  <c r="X260" i="29"/>
  <c r="AA262" i="29"/>
  <c r="W262" i="29"/>
  <c r="Z262" i="29"/>
  <c r="V262" i="29"/>
  <c r="Y262" i="29"/>
  <c r="U262" i="29"/>
  <c r="T262" i="29"/>
  <c r="Y263" i="29"/>
  <c r="Z283" i="29"/>
  <c r="U283" i="29"/>
  <c r="Y283" i="29"/>
  <c r="W283" i="29"/>
  <c r="AA283" i="29"/>
  <c r="X302" i="29"/>
  <c r="W302" i="29"/>
  <c r="W303" i="29"/>
  <c r="V303" i="29"/>
  <c r="AA303" i="29"/>
  <c r="AA306" i="29"/>
  <c r="W306" i="29"/>
  <c r="Z306" i="29"/>
  <c r="V306" i="29"/>
  <c r="Y306" i="29"/>
  <c r="U306" i="29"/>
  <c r="X306" i="29"/>
  <c r="T306" i="29"/>
  <c r="Z312" i="29"/>
  <c r="V312" i="29"/>
  <c r="AA315" i="29"/>
  <c r="W315" i="29"/>
  <c r="T113" i="29"/>
  <c r="T121" i="29"/>
  <c r="V127" i="29"/>
  <c r="V131" i="29"/>
  <c r="U132" i="29"/>
  <c r="T137" i="29"/>
  <c r="V139" i="29"/>
  <c r="U140" i="29"/>
  <c r="V143" i="29"/>
  <c r="U144" i="29"/>
  <c r="T145" i="29"/>
  <c r="U148" i="29"/>
  <c r="U152" i="29"/>
  <c r="V159" i="29"/>
  <c r="U160" i="29"/>
  <c r="U164" i="29"/>
  <c r="V171" i="29"/>
  <c r="T173" i="29"/>
  <c r="V175" i="29"/>
  <c r="U176" i="29"/>
  <c r="V179" i="29"/>
  <c r="U180" i="29"/>
  <c r="T181" i="29"/>
  <c r="U184" i="29"/>
  <c r="V187" i="29"/>
  <c r="T193" i="29"/>
  <c r="V199" i="29"/>
  <c r="U200" i="29"/>
  <c r="B200" i="29" s="1"/>
  <c r="T201" i="29"/>
  <c r="V203" i="29"/>
  <c r="U204" i="29"/>
  <c r="T205" i="29"/>
  <c r="AA208" i="29"/>
  <c r="W208" i="29"/>
  <c r="T208" i="29"/>
  <c r="Y208" i="29"/>
  <c r="U209" i="29"/>
  <c r="AA209" i="29"/>
  <c r="Z212" i="29"/>
  <c r="T218" i="29"/>
  <c r="V221" i="29"/>
  <c r="AA222" i="29"/>
  <c r="AA225" i="29"/>
  <c r="W225" i="29"/>
  <c r="Z225" i="29"/>
  <c r="V225" i="29"/>
  <c r="T225" i="29"/>
  <c r="X231" i="29"/>
  <c r="X232" i="29"/>
  <c r="AA233" i="29"/>
  <c r="W233" i="29"/>
  <c r="Z233" i="29"/>
  <c r="V233" i="29"/>
  <c r="T233" i="29"/>
  <c r="AA234" i="29"/>
  <c r="W234" i="29"/>
  <c r="Z234" i="29"/>
  <c r="V234" i="29"/>
  <c r="Y234" i="29"/>
  <c r="U234" i="29"/>
  <c r="T234" i="29"/>
  <c r="X246" i="29"/>
  <c r="B246" i="29" s="1"/>
  <c r="Z247" i="29"/>
  <c r="W250" i="29"/>
  <c r="U250" i="29"/>
  <c r="Y260" i="29"/>
  <c r="X262" i="29"/>
  <c r="Z263" i="29"/>
  <c r="AA266" i="29"/>
  <c r="Y266" i="29"/>
  <c r="X271" i="29"/>
  <c r="X273" i="29"/>
  <c r="W278" i="29"/>
  <c r="Y282" i="29"/>
  <c r="U282" i="29"/>
  <c r="X282" i="29"/>
  <c r="W282" i="29"/>
  <c r="AA282" i="29"/>
  <c r="V282" i="29"/>
  <c r="T282" i="29"/>
  <c r="B282" i="29" s="1"/>
  <c r="AA290" i="29"/>
  <c r="V290" i="29"/>
  <c r="AA302" i="29"/>
  <c r="T223" i="29"/>
  <c r="T227" i="29"/>
  <c r="W228" i="29"/>
  <c r="T231" i="29"/>
  <c r="W232" i="29"/>
  <c r="AA232" i="29"/>
  <c r="T235" i="29"/>
  <c r="W236" i="29"/>
  <c r="AA236" i="29"/>
  <c r="V237" i="29"/>
  <c r="Z237" i="29"/>
  <c r="AA240" i="29"/>
  <c r="AA244" i="29"/>
  <c r="V245" i="29"/>
  <c r="Z245" i="29"/>
  <c r="T247" i="29"/>
  <c r="W248" i="29"/>
  <c r="AA248" i="29"/>
  <c r="V249" i="29"/>
  <c r="Z249" i="29"/>
  <c r="T251" i="29"/>
  <c r="Z253" i="29"/>
  <c r="V257" i="29"/>
  <c r="T259" i="29"/>
  <c r="W260" i="29"/>
  <c r="AA260" i="29"/>
  <c r="V261" i="29"/>
  <c r="Z261" i="29"/>
  <c r="T263" i="29"/>
  <c r="W264" i="29"/>
  <c r="T267" i="29"/>
  <c r="W268" i="29"/>
  <c r="AA268" i="29"/>
  <c r="V269" i="29"/>
  <c r="Z269" i="29"/>
  <c r="T271" i="29"/>
  <c r="W272" i="29"/>
  <c r="AA272" i="29"/>
  <c r="V273" i="29"/>
  <c r="Z273" i="29"/>
  <c r="X275" i="29"/>
  <c r="T275" i="29"/>
  <c r="U275" i="29"/>
  <c r="Z275" i="29"/>
  <c r="V276" i="29"/>
  <c r="Y278" i="29"/>
  <c r="U278" i="29"/>
  <c r="T278" i="29"/>
  <c r="Z278" i="29"/>
  <c r="V279" i="29"/>
  <c r="Y281" i="29"/>
  <c r="Y284" i="29"/>
  <c r="W286" i="29"/>
  <c r="Y287" i="29"/>
  <c r="X291" i="29"/>
  <c r="U291" i="29"/>
  <c r="Z291" i="29"/>
  <c r="V292" i="29"/>
  <c r="Y294" i="29"/>
  <c r="U294" i="29"/>
  <c r="T294" i="29"/>
  <c r="Z294" i="29"/>
  <c r="V295" i="29"/>
  <c r="B295" i="29" s="1"/>
  <c r="X298" i="29"/>
  <c r="Y299" i="29"/>
  <c r="W299" i="29"/>
  <c r="Z302" i="29"/>
  <c r="V302" i="29"/>
  <c r="Y302" i="29"/>
  <c r="U302" i="29"/>
  <c r="T302" i="29"/>
  <c r="B302" i="29" s="1"/>
  <c r="Z304" i="29"/>
  <c r="Z307" i="29"/>
  <c r="V308" i="29"/>
  <c r="V310" i="29"/>
  <c r="Y311" i="29"/>
  <c r="X315" i="29"/>
  <c r="X317" i="29"/>
  <c r="U317" i="29"/>
  <c r="Y320" i="29"/>
  <c r="X324" i="29"/>
  <c r="V324" i="29"/>
  <c r="AA326" i="29"/>
  <c r="W326" i="29"/>
  <c r="Z326" i="29"/>
  <c r="V326" i="29"/>
  <c r="Y326" i="29"/>
  <c r="U326" i="29"/>
  <c r="T326" i="29"/>
  <c r="X331" i="29"/>
  <c r="X333" i="29"/>
  <c r="U333" i="29"/>
  <c r="Y336" i="29"/>
  <c r="Z339" i="29"/>
  <c r="X340" i="29"/>
  <c r="V340" i="29"/>
  <c r="AA342" i="29"/>
  <c r="W342" i="29"/>
  <c r="Z342" i="29"/>
  <c r="V342" i="29"/>
  <c r="Y342" i="29"/>
  <c r="U342" i="29"/>
  <c r="T342" i="29"/>
  <c r="Y343" i="29"/>
  <c r="X347" i="29"/>
  <c r="X349" i="29"/>
  <c r="U349" i="29"/>
  <c r="AA350" i="29"/>
  <c r="V350" i="29"/>
  <c r="Z360" i="29"/>
  <c r="AA398" i="29"/>
  <c r="W398" i="29"/>
  <c r="Z398" i="29"/>
  <c r="V398" i="29"/>
  <c r="Y398" i="29"/>
  <c r="U398" i="29"/>
  <c r="X398" i="29"/>
  <c r="T398" i="29"/>
  <c r="AA401" i="29"/>
  <c r="W401" i="29"/>
  <c r="U401" i="29"/>
  <c r="V408" i="29"/>
  <c r="X408" i="29"/>
  <c r="U227" i="29"/>
  <c r="U231" i="29"/>
  <c r="T232" i="29"/>
  <c r="U235" i="29"/>
  <c r="T236" i="29"/>
  <c r="W237" i="29"/>
  <c r="AA237" i="29"/>
  <c r="AA241" i="29"/>
  <c r="W245" i="29"/>
  <c r="AA245" i="29"/>
  <c r="U247" i="29"/>
  <c r="T248" i="29"/>
  <c r="W249" i="29"/>
  <c r="AA249" i="29"/>
  <c r="U251" i="29"/>
  <c r="U255" i="29"/>
  <c r="U259" i="29"/>
  <c r="T260" i="29"/>
  <c r="W261" i="29"/>
  <c r="AA261" i="29"/>
  <c r="U263" i="29"/>
  <c r="U267" i="29"/>
  <c r="T268" i="29"/>
  <c r="W269" i="29"/>
  <c r="AA269" i="29"/>
  <c r="U271" i="29"/>
  <c r="T272" i="29"/>
  <c r="W273" i="29"/>
  <c r="AA273" i="29"/>
  <c r="V275" i="29"/>
  <c r="Z277" i="29"/>
  <c r="V277" i="29"/>
  <c r="T277" i="29"/>
  <c r="Y277" i="29"/>
  <c r="V278" i="29"/>
  <c r="AA278" i="29"/>
  <c r="W280" i="29"/>
  <c r="U284" i="29"/>
  <c r="X287" i="29"/>
  <c r="U287" i="29"/>
  <c r="Z287" i="29"/>
  <c r="Y290" i="29"/>
  <c r="U290" i="29"/>
  <c r="T290" i="29"/>
  <c r="Z290" i="29"/>
  <c r="V291" i="29"/>
  <c r="Z293" i="29"/>
  <c r="V293" i="29"/>
  <c r="T293" i="29"/>
  <c r="Y293" i="29"/>
  <c r="V294" i="29"/>
  <c r="AA294" i="29"/>
  <c r="X296" i="29"/>
  <c r="T296" i="29"/>
  <c r="AA296" i="29"/>
  <c r="W296" i="29"/>
  <c r="U296" i="29"/>
  <c r="V297" i="29"/>
  <c r="X303" i="29"/>
  <c r="X304" i="29"/>
  <c r="U304" i="29"/>
  <c r="X305" i="29"/>
  <c r="T305" i="29"/>
  <c r="AA305" i="29"/>
  <c r="W305" i="29"/>
  <c r="Z305" i="29"/>
  <c r="V305" i="29"/>
  <c r="U305" i="29"/>
  <c r="Y308" i="29"/>
  <c r="Z311" i="29"/>
  <c r="X312" i="29"/>
  <c r="AA314" i="29"/>
  <c r="W314" i="29"/>
  <c r="Z314" i="29"/>
  <c r="V314" i="29"/>
  <c r="Y314" i="29"/>
  <c r="U314" i="29"/>
  <c r="T314" i="29"/>
  <c r="Y315" i="29"/>
  <c r="X321" i="29"/>
  <c r="U321" i="29"/>
  <c r="Y324" i="29"/>
  <c r="X328" i="29"/>
  <c r="AA330" i="29"/>
  <c r="Y330" i="29"/>
  <c r="X337" i="29"/>
  <c r="U337" i="29"/>
  <c r="Y340" i="29"/>
  <c r="Z343" i="29"/>
  <c r="X344" i="29"/>
  <c r="AA346" i="29"/>
  <c r="W346" i="29"/>
  <c r="Z346" i="29"/>
  <c r="V346" i="29"/>
  <c r="Y346" i="29"/>
  <c r="U346" i="29"/>
  <c r="T346" i="29"/>
  <c r="Y347" i="29"/>
  <c r="AA351" i="29"/>
  <c r="X352" i="29"/>
  <c r="U352" i="29"/>
  <c r="AA382" i="29"/>
  <c r="W382" i="29"/>
  <c r="Z382" i="29"/>
  <c r="V382" i="29"/>
  <c r="Y382" i="29"/>
  <c r="U382" i="29"/>
  <c r="X382" i="29"/>
  <c r="B382" i="29" s="1"/>
  <c r="T382" i="29"/>
  <c r="AA385" i="29"/>
  <c r="U385" i="29"/>
  <c r="Z388" i="29"/>
  <c r="AA391" i="29"/>
  <c r="W391" i="29"/>
  <c r="W413" i="29"/>
  <c r="AA413" i="29"/>
  <c r="V235" i="29"/>
  <c r="U236" i="29"/>
  <c r="T237" i="29"/>
  <c r="T241" i="29"/>
  <c r="T245" i="29"/>
  <c r="V247" i="29"/>
  <c r="U248" i="29"/>
  <c r="T249" i="29"/>
  <c r="T253" i="29"/>
  <c r="V259" i="29"/>
  <c r="U260" i="29"/>
  <c r="T261" i="29"/>
  <c r="V263" i="29"/>
  <c r="U264" i="29"/>
  <c r="V267" i="29"/>
  <c r="U268" i="29"/>
  <c r="T269" i="29"/>
  <c r="V271" i="29"/>
  <c r="U272" i="29"/>
  <c r="T273" i="29"/>
  <c r="AA276" i="29"/>
  <c r="W276" i="29"/>
  <c r="T276" i="29"/>
  <c r="Y276" i="29"/>
  <c r="U277" i="29"/>
  <c r="X283" i="29"/>
  <c r="Y286" i="29"/>
  <c r="U286" i="29"/>
  <c r="T286" i="29"/>
  <c r="Z286" i="29"/>
  <c r="V287" i="29"/>
  <c r="Z289" i="29"/>
  <c r="AA292" i="29"/>
  <c r="W292" i="29"/>
  <c r="T292" i="29"/>
  <c r="Y292" i="29"/>
  <c r="U293" i="29"/>
  <c r="Z298" i="29"/>
  <c r="V298" i="29"/>
  <c r="Y298" i="29"/>
  <c r="U298" i="29"/>
  <c r="B298" i="29" s="1"/>
  <c r="T298" i="29"/>
  <c r="Y303" i="29"/>
  <c r="Y312" i="29"/>
  <c r="Z315" i="29"/>
  <c r="AA318" i="29"/>
  <c r="W318" i="29"/>
  <c r="Z318" i="29"/>
  <c r="V318" i="29"/>
  <c r="Y318" i="29"/>
  <c r="U318" i="29"/>
  <c r="T318" i="29"/>
  <c r="X325" i="29"/>
  <c r="Y328" i="29"/>
  <c r="Z331" i="29"/>
  <c r="AA334" i="29"/>
  <c r="W334" i="29"/>
  <c r="Z334" i="29"/>
  <c r="V334" i="29"/>
  <c r="Y334" i="29"/>
  <c r="U334" i="29"/>
  <c r="T334" i="29"/>
  <c r="X341" i="29"/>
  <c r="Y344" i="29"/>
  <c r="Z347" i="29"/>
  <c r="W351" i="29"/>
  <c r="U361" i="29"/>
  <c r="AA361" i="29"/>
  <c r="Y361" i="29"/>
  <c r="W366" i="29"/>
  <c r="Z366" i="29"/>
  <c r="V366" i="29"/>
  <c r="U366" i="29"/>
  <c r="X366" i="29"/>
  <c r="T366" i="29"/>
  <c r="AA369" i="29"/>
  <c r="W369" i="29"/>
  <c r="U369" i="29"/>
  <c r="Z372" i="29"/>
  <c r="AA375" i="29"/>
  <c r="W375" i="29"/>
  <c r="Z422" i="29"/>
  <c r="V422" i="29"/>
  <c r="T279" i="29"/>
  <c r="T283" i="29"/>
  <c r="B283" i="29" s="1"/>
  <c r="T287" i="29"/>
  <c r="T291" i="29"/>
  <c r="T295" i="29"/>
  <c r="T299" i="29"/>
  <c r="W300" i="29"/>
  <c r="AA300" i="29"/>
  <c r="T303" i="29"/>
  <c r="W304" i="29"/>
  <c r="AA304" i="29"/>
  <c r="T307" i="29"/>
  <c r="W308" i="29"/>
  <c r="Z309" i="29"/>
  <c r="T311" i="29"/>
  <c r="W312" i="29"/>
  <c r="AA312" i="29"/>
  <c r="V313" i="29"/>
  <c r="Z313" i="29"/>
  <c r="T315" i="29"/>
  <c r="W316" i="29"/>
  <c r="AA316" i="29"/>
  <c r="V317" i="29"/>
  <c r="Z317" i="29"/>
  <c r="T319" i="29"/>
  <c r="W320" i="29"/>
  <c r="AA320" i="29"/>
  <c r="V321" i="29"/>
  <c r="Z321" i="29"/>
  <c r="T323" i="29"/>
  <c r="W324" i="29"/>
  <c r="AA324" i="29"/>
  <c r="V325" i="29"/>
  <c r="Z325" i="29"/>
  <c r="W328" i="29"/>
  <c r="AA328" i="29"/>
  <c r="V329" i="29"/>
  <c r="Z329" i="29"/>
  <c r="W332" i="29"/>
  <c r="AA332" i="29"/>
  <c r="V333" i="29"/>
  <c r="Z333" i="29"/>
  <c r="T335" i="29"/>
  <c r="W336" i="29"/>
  <c r="AA336" i="29"/>
  <c r="V337" i="29"/>
  <c r="Z337" i="29"/>
  <c r="T339" i="29"/>
  <c r="W340" i="29"/>
  <c r="AA340" i="29"/>
  <c r="V341" i="29"/>
  <c r="Z341" i="29"/>
  <c r="T343" i="29"/>
  <c r="W344" i="29"/>
  <c r="AA344" i="29"/>
  <c r="V345" i="29"/>
  <c r="Z345" i="29"/>
  <c r="T347" i="29"/>
  <c r="W348" i="29"/>
  <c r="AA348" i="29"/>
  <c r="W349" i="29"/>
  <c r="X351" i="29"/>
  <c r="U351" i="29"/>
  <c r="Z351" i="29"/>
  <c r="V352" i="29"/>
  <c r="Y354" i="29"/>
  <c r="U354" i="29"/>
  <c r="T354" i="29"/>
  <c r="B354" i="29" s="1"/>
  <c r="Z354" i="29"/>
  <c r="Z355" i="29"/>
  <c r="V355" i="29"/>
  <c r="W355" i="29"/>
  <c r="X357" i="29"/>
  <c r="U357" i="29"/>
  <c r="AA358" i="29"/>
  <c r="W358" i="29"/>
  <c r="Y358" i="29"/>
  <c r="U358" i="29"/>
  <c r="T358" i="29"/>
  <c r="AA359" i="29"/>
  <c r="Y368" i="29"/>
  <c r="V368" i="29"/>
  <c r="AA370" i="29"/>
  <c r="W370" i="29"/>
  <c r="Z370" i="29"/>
  <c r="Y370" i="29"/>
  <c r="U370" i="29"/>
  <c r="T370" i="29"/>
  <c r="AA373" i="29"/>
  <c r="W373" i="29"/>
  <c r="Y373" i="29"/>
  <c r="X375" i="29"/>
  <c r="X377" i="29"/>
  <c r="Y384" i="29"/>
  <c r="V384" i="29"/>
  <c r="W386" i="29"/>
  <c r="Z386" i="29"/>
  <c r="V386" i="29"/>
  <c r="U386" i="29"/>
  <c r="T386" i="29"/>
  <c r="Z387" i="29"/>
  <c r="W389" i="29"/>
  <c r="Y389" i="29"/>
  <c r="X391" i="29"/>
  <c r="X393" i="29"/>
  <c r="Y400" i="29"/>
  <c r="V400" i="29"/>
  <c r="AA402" i="29"/>
  <c r="W402" i="29"/>
  <c r="Z402" i="29"/>
  <c r="V402" i="29"/>
  <c r="Y402" i="29"/>
  <c r="U402" i="29"/>
  <c r="T402" i="29"/>
  <c r="Z403" i="29"/>
  <c r="W405" i="29"/>
  <c r="Z442" i="29"/>
  <c r="V442" i="29"/>
  <c r="U442" i="29"/>
  <c r="AA442" i="29"/>
  <c r="Y442" i="29"/>
  <c r="W442" i="29"/>
  <c r="U299" i="29"/>
  <c r="T300" i="29"/>
  <c r="U303" i="29"/>
  <c r="T304" i="29"/>
  <c r="U307" i="29"/>
  <c r="AA309" i="29"/>
  <c r="U311" i="29"/>
  <c r="T312" i="29"/>
  <c r="W313" i="29"/>
  <c r="AA313" i="29"/>
  <c r="U315" i="29"/>
  <c r="T316" i="29"/>
  <c r="W317" i="29"/>
  <c r="AA317" i="29"/>
  <c r="U319" i="29"/>
  <c r="T320" i="29"/>
  <c r="W321" i="29"/>
  <c r="AA321" i="29"/>
  <c r="U323" i="29"/>
  <c r="T324" i="29"/>
  <c r="W325" i="29"/>
  <c r="AA325" i="29"/>
  <c r="U327" i="29"/>
  <c r="T328" i="29"/>
  <c r="B328" i="29" s="1"/>
  <c r="W329" i="29"/>
  <c r="AA329" i="29"/>
  <c r="U331" i="29"/>
  <c r="T332" i="29"/>
  <c r="W333" i="29"/>
  <c r="AA333" i="29"/>
  <c r="U335" i="29"/>
  <c r="T336" i="29"/>
  <c r="W337" i="29"/>
  <c r="AA337" i="29"/>
  <c r="U339" i="29"/>
  <c r="T340" i="29"/>
  <c r="W341" i="29"/>
  <c r="AA341" i="29"/>
  <c r="U343" i="29"/>
  <c r="T344" i="29"/>
  <c r="B344" i="29" s="1"/>
  <c r="W345" i="29"/>
  <c r="AA345" i="29"/>
  <c r="U347" i="29"/>
  <c r="T348" i="29"/>
  <c r="Y350" i="29"/>
  <c r="U350" i="29"/>
  <c r="T350" i="29"/>
  <c r="Z350" i="29"/>
  <c r="V351" i="29"/>
  <c r="Z353" i="29"/>
  <c r="V353" i="29"/>
  <c r="T353" i="29"/>
  <c r="Y353" i="29"/>
  <c r="V354" i="29"/>
  <c r="AA354" i="29"/>
  <c r="Y355" i="29"/>
  <c r="V358" i="29"/>
  <c r="X359" i="29"/>
  <c r="Y360" i="29"/>
  <c r="U360" i="29"/>
  <c r="W360" i="29"/>
  <c r="T360" i="29"/>
  <c r="Y372" i="29"/>
  <c r="AA374" i="29"/>
  <c r="W374" i="29"/>
  <c r="V374" i="29"/>
  <c r="Y374" i="29"/>
  <c r="U374" i="29"/>
  <c r="Z375" i="29"/>
  <c r="AA377" i="29"/>
  <c r="W377" i="29"/>
  <c r="Y377" i="29"/>
  <c r="X381" i="29"/>
  <c r="Y388" i="29"/>
  <c r="AA390" i="29"/>
  <c r="W390" i="29"/>
  <c r="Z390" i="29"/>
  <c r="V390" i="29"/>
  <c r="Y390" i="29"/>
  <c r="U390" i="29"/>
  <c r="T390" i="29"/>
  <c r="Z391" i="29"/>
  <c r="AA393" i="29"/>
  <c r="W393" i="29"/>
  <c r="Y393" i="29"/>
  <c r="X397" i="29"/>
  <c r="Z435" i="29"/>
  <c r="V307" i="29"/>
  <c r="U308" i="29"/>
  <c r="T309" i="29"/>
  <c r="V311" i="29"/>
  <c r="U312" i="29"/>
  <c r="T313" i="29"/>
  <c r="V315" i="29"/>
  <c r="U316" i="29"/>
  <c r="T317" i="29"/>
  <c r="B317" i="29" s="1"/>
  <c r="V319" i="29"/>
  <c r="U320" i="29"/>
  <c r="T321" i="29"/>
  <c r="V323" i="29"/>
  <c r="U324" i="29"/>
  <c r="T325" i="29"/>
  <c r="U328" i="29"/>
  <c r="T329" i="29"/>
  <c r="V331" i="29"/>
  <c r="T333" i="29"/>
  <c r="V335" i="29"/>
  <c r="U336" i="29"/>
  <c r="T337" i="29"/>
  <c r="V339" i="29"/>
  <c r="U340" i="29"/>
  <c r="T341" i="29"/>
  <c r="V343" i="29"/>
  <c r="U344" i="29"/>
  <c r="T345" i="29"/>
  <c r="V347" i="29"/>
  <c r="Z349" i="29"/>
  <c r="V349" i="29"/>
  <c r="T349" i="29"/>
  <c r="Y349" i="29"/>
  <c r="AA352" i="29"/>
  <c r="W352" i="29"/>
  <c r="B352" i="29" s="1"/>
  <c r="T352" i="29"/>
  <c r="Y352" i="29"/>
  <c r="U353" i="29"/>
  <c r="Z359" i="29"/>
  <c r="V359" i="29"/>
  <c r="W359" i="29"/>
  <c r="X361" i="29"/>
  <c r="AA362" i="29"/>
  <c r="W362" i="29"/>
  <c r="V362" i="29"/>
  <c r="Y362" i="29"/>
  <c r="U362" i="29"/>
  <c r="AA365" i="29"/>
  <c r="W365" i="29"/>
  <c r="Y365" i="29"/>
  <c r="X369" i="29"/>
  <c r="AA378" i="29"/>
  <c r="W378" i="29"/>
  <c r="Z378" i="29"/>
  <c r="V378" i="29"/>
  <c r="Y378" i="29"/>
  <c r="U378" i="29"/>
  <c r="T378" i="29"/>
  <c r="AA381" i="29"/>
  <c r="W381" i="29"/>
  <c r="Y381" i="29"/>
  <c r="X385" i="29"/>
  <c r="AA394" i="29"/>
  <c r="W394" i="29"/>
  <c r="Z394" i="29"/>
  <c r="V394" i="29"/>
  <c r="Y394" i="29"/>
  <c r="U394" i="29"/>
  <c r="T394" i="29"/>
  <c r="AA397" i="29"/>
  <c r="W397" i="29"/>
  <c r="Y397" i="29"/>
  <c r="X401" i="29"/>
  <c r="W408" i="29"/>
  <c r="Z412" i="29"/>
  <c r="V412" i="29"/>
  <c r="Y412" i="29"/>
  <c r="U412" i="29"/>
  <c r="AA412" i="29"/>
  <c r="X412" i="29"/>
  <c r="W412" i="29"/>
  <c r="B412" i="29" s="1"/>
  <c r="T412" i="29"/>
  <c r="Z413" i="29"/>
  <c r="U418" i="29"/>
  <c r="Z418" i="29"/>
  <c r="Y418" i="29"/>
  <c r="AA425" i="29"/>
  <c r="W425" i="29"/>
  <c r="AA432" i="29"/>
  <c r="W432" i="29"/>
  <c r="Z432" i="29"/>
  <c r="V432" i="29"/>
  <c r="Y432" i="29"/>
  <c r="U432" i="29"/>
  <c r="X432" i="29"/>
  <c r="B432" i="29" s="1"/>
  <c r="T432" i="29"/>
  <c r="T351" i="29"/>
  <c r="T355" i="29"/>
  <c r="V357" i="29"/>
  <c r="Z357" i="29"/>
  <c r="T359" i="29"/>
  <c r="V361" i="29"/>
  <c r="Z361" i="29"/>
  <c r="T363" i="29"/>
  <c r="W364" i="29"/>
  <c r="AA364" i="29"/>
  <c r="V365" i="29"/>
  <c r="Z365" i="29"/>
  <c r="T367" i="29"/>
  <c r="W368" i="29"/>
  <c r="AA368" i="29"/>
  <c r="V369" i="29"/>
  <c r="Z369" i="29"/>
  <c r="T371" i="29"/>
  <c r="W372" i="29"/>
  <c r="AA372" i="29"/>
  <c r="V373" i="29"/>
  <c r="Z373" i="29"/>
  <c r="T375" i="29"/>
  <c r="W376" i="29"/>
  <c r="AA376" i="29"/>
  <c r="V377" i="29"/>
  <c r="Z377" i="29"/>
  <c r="T379" i="29"/>
  <c r="W380" i="29"/>
  <c r="AA380" i="29"/>
  <c r="V381" i="29"/>
  <c r="Z381" i="29"/>
  <c r="T383" i="29"/>
  <c r="W384" i="29"/>
  <c r="AA384" i="29"/>
  <c r="V385" i="29"/>
  <c r="Z385" i="29"/>
  <c r="T387" i="29"/>
  <c r="W388" i="29"/>
  <c r="AA388" i="29"/>
  <c r="V389" i="29"/>
  <c r="Z389" i="29"/>
  <c r="T391" i="29"/>
  <c r="W392" i="29"/>
  <c r="AA392" i="29"/>
  <c r="V393" i="29"/>
  <c r="Z393" i="29"/>
  <c r="T395" i="29"/>
  <c r="W396" i="29"/>
  <c r="AA396" i="29"/>
  <c r="V397" i="29"/>
  <c r="Z397" i="29"/>
  <c r="T399" i="29"/>
  <c r="W400" i="29"/>
  <c r="AA400" i="29"/>
  <c r="V401" i="29"/>
  <c r="Z401" i="29"/>
  <c r="T403" i="29"/>
  <c r="X405" i="29"/>
  <c r="U405" i="29"/>
  <c r="Z405" i="29"/>
  <c r="Y408" i="29"/>
  <c r="U408" i="29"/>
  <c r="T408" i="29"/>
  <c r="Z408" i="29"/>
  <c r="V409" i="29"/>
  <c r="Z411" i="29"/>
  <c r="V411" i="29"/>
  <c r="T411" i="29"/>
  <c r="Y411" i="29"/>
  <c r="X413" i="29"/>
  <c r="V413" i="29"/>
  <c r="X414" i="29"/>
  <c r="U414" i="29"/>
  <c r="AA415" i="29"/>
  <c r="W415" i="29"/>
  <c r="Z415" i="29"/>
  <c r="V415" i="29"/>
  <c r="T415" i="29"/>
  <c r="B415" i="29" s="1"/>
  <c r="AA420" i="29"/>
  <c r="W420" i="29"/>
  <c r="Z420" i="29"/>
  <c r="V420" i="29"/>
  <c r="Y420" i="29"/>
  <c r="U420" i="29"/>
  <c r="T420" i="29"/>
  <c r="Y421" i="29"/>
  <c r="X425" i="29"/>
  <c r="X427" i="29"/>
  <c r="U427" i="29"/>
  <c r="Y430" i="29"/>
  <c r="Z433" i="29"/>
  <c r="X434" i="29"/>
  <c r="W437" i="29"/>
  <c r="AA440" i="29"/>
  <c r="Y441" i="29"/>
  <c r="U441" i="29"/>
  <c r="X441" i="29"/>
  <c r="W441" i="29"/>
  <c r="AA441" i="29"/>
  <c r="V441" i="29"/>
  <c r="T441" i="29"/>
  <c r="U446" i="29"/>
  <c r="Z450" i="29"/>
  <c r="V450" i="29"/>
  <c r="U450" i="29"/>
  <c r="AA450" i="29"/>
  <c r="Y450" i="29"/>
  <c r="U363" i="29"/>
  <c r="Y363" i="29"/>
  <c r="T364" i="29"/>
  <c r="X364" i="29"/>
  <c r="U367" i="29"/>
  <c r="Y367" i="29"/>
  <c r="T368" i="29"/>
  <c r="X368" i="29"/>
  <c r="U371" i="29"/>
  <c r="Y371" i="29"/>
  <c r="T372" i="29"/>
  <c r="X372" i="29"/>
  <c r="U375" i="29"/>
  <c r="Y375" i="29"/>
  <c r="T376" i="29"/>
  <c r="X376" i="29"/>
  <c r="U379" i="29"/>
  <c r="Y379" i="29"/>
  <c r="T380" i="29"/>
  <c r="X380" i="29"/>
  <c r="U383" i="29"/>
  <c r="Y383" i="29"/>
  <c r="T384" i="29"/>
  <c r="X384" i="29"/>
  <c r="U387" i="29"/>
  <c r="Y387" i="29"/>
  <c r="T388" i="29"/>
  <c r="X388" i="29"/>
  <c r="U391" i="29"/>
  <c r="Y391" i="29"/>
  <c r="T392" i="29"/>
  <c r="X392" i="29"/>
  <c r="U395" i="29"/>
  <c r="Y395" i="29"/>
  <c r="T396" i="29"/>
  <c r="X396" i="29"/>
  <c r="U399" i="29"/>
  <c r="Y399" i="29"/>
  <c r="T400" i="29"/>
  <c r="X400" i="29"/>
  <c r="U403" i="29"/>
  <c r="Y403" i="29"/>
  <c r="V405" i="29"/>
  <c r="AA405" i="29"/>
  <c r="Z407" i="29"/>
  <c r="V407" i="29"/>
  <c r="T407" i="29"/>
  <c r="Y407" i="29"/>
  <c r="W409" i="29"/>
  <c r="AA410" i="29"/>
  <c r="W410" i="29"/>
  <c r="T410" i="29"/>
  <c r="Y410" i="29"/>
  <c r="U411" i="29"/>
  <c r="AA411" i="29"/>
  <c r="Y413" i="29"/>
  <c r="V414" i="29"/>
  <c r="U415" i="29"/>
  <c r="Z416" i="29"/>
  <c r="V416" i="29"/>
  <c r="Y416" i="29"/>
  <c r="U416" i="29"/>
  <c r="T416" i="29"/>
  <c r="AA417" i="29"/>
  <c r="X422" i="29"/>
  <c r="AA424" i="29"/>
  <c r="W424" i="29"/>
  <c r="Z424" i="29"/>
  <c r="V424" i="29"/>
  <c r="Y424" i="29"/>
  <c r="U424" i="29"/>
  <c r="T424" i="29"/>
  <c r="Y425" i="29"/>
  <c r="X439" i="29"/>
  <c r="AA445" i="29"/>
  <c r="W445" i="29"/>
  <c r="Y445" i="29"/>
  <c r="U445" i="29"/>
  <c r="Z445" i="29"/>
  <c r="X445" i="29"/>
  <c r="V445" i="29"/>
  <c r="T445" i="29"/>
  <c r="AA453" i="29"/>
  <c r="W453" i="29"/>
  <c r="Z453" i="29"/>
  <c r="V453" i="29"/>
  <c r="Y453" i="29"/>
  <c r="U453" i="29"/>
  <c r="X453" i="29"/>
  <c r="T453" i="29"/>
  <c r="AA456" i="29"/>
  <c r="W456" i="29"/>
  <c r="U456" i="29"/>
  <c r="T357" i="29"/>
  <c r="T361" i="29"/>
  <c r="V363" i="29"/>
  <c r="U364" i="29"/>
  <c r="T365" i="29"/>
  <c r="V367" i="29"/>
  <c r="U368" i="29"/>
  <c r="T369" i="29"/>
  <c r="V371" i="29"/>
  <c r="U372" i="29"/>
  <c r="T373" i="29"/>
  <c r="V375" i="29"/>
  <c r="U376" i="29"/>
  <c r="T377" i="29"/>
  <c r="V379" i="29"/>
  <c r="U380" i="29"/>
  <c r="T381" i="29"/>
  <c r="V383" i="29"/>
  <c r="U384" i="29"/>
  <c r="T385" i="29"/>
  <c r="V387" i="29"/>
  <c r="U388" i="29"/>
  <c r="T389" i="29"/>
  <c r="V391" i="29"/>
  <c r="U392" i="29"/>
  <c r="T393" i="29"/>
  <c r="V395" i="29"/>
  <c r="U396" i="29"/>
  <c r="T397" i="29"/>
  <c r="V399" i="29"/>
  <c r="U400" i="29"/>
  <c r="T401" i="29"/>
  <c r="V403" i="29"/>
  <c r="U407" i="29"/>
  <c r="AA407" i="29"/>
  <c r="U410" i="29"/>
  <c r="Z410" i="29"/>
  <c r="W416" i="29"/>
  <c r="X417" i="29"/>
  <c r="X418" i="29"/>
  <c r="X419" i="29"/>
  <c r="Y422" i="29"/>
  <c r="X424" i="29"/>
  <c r="Z425" i="29"/>
  <c r="AA428" i="29"/>
  <c r="W428" i="29"/>
  <c r="Z428" i="29"/>
  <c r="V428" i="29"/>
  <c r="Y428" i="29"/>
  <c r="U428" i="29"/>
  <c r="T428" i="29"/>
  <c r="X433" i="29"/>
  <c r="X435" i="29"/>
  <c r="Z439" i="29"/>
  <c r="T405" i="29"/>
  <c r="T409" i="29"/>
  <c r="T413" i="29"/>
  <c r="W414" i="29"/>
  <c r="AA414" i="29"/>
  <c r="T417" i="29"/>
  <c r="W418" i="29"/>
  <c r="AA418" i="29"/>
  <c r="V419" i="29"/>
  <c r="Z419" i="29"/>
  <c r="T421" i="29"/>
  <c r="W422" i="29"/>
  <c r="AA422" i="29"/>
  <c r="V423" i="29"/>
  <c r="Z423" i="29"/>
  <c r="T425" i="29"/>
  <c r="W426" i="29"/>
  <c r="AA426" i="29"/>
  <c r="V427" i="29"/>
  <c r="Z427" i="29"/>
  <c r="T429" i="29"/>
  <c r="B429" i="29" s="1"/>
  <c r="W430" i="29"/>
  <c r="AA430" i="29"/>
  <c r="V431" i="29"/>
  <c r="Z431" i="29"/>
  <c r="T433" i="29"/>
  <c r="W434" i="29"/>
  <c r="AA434" i="29"/>
  <c r="V435" i="29"/>
  <c r="Y437" i="29"/>
  <c r="U437" i="29"/>
  <c r="T437" i="29"/>
  <c r="Z437" i="29"/>
  <c r="V438" i="29"/>
  <c r="Z440" i="29"/>
  <c r="V440" i="29"/>
  <c r="T440" i="29"/>
  <c r="Y440" i="29"/>
  <c r="X443" i="29"/>
  <c r="X446" i="29"/>
  <c r="Y447" i="29"/>
  <c r="U447" i="29"/>
  <c r="AA447" i="29"/>
  <c r="W447" i="29"/>
  <c r="T447" i="29"/>
  <c r="AA448" i="29"/>
  <c r="Y455" i="29"/>
  <c r="V455" i="29"/>
  <c r="AA457" i="29"/>
  <c r="W457" i="29"/>
  <c r="Z457" i="29"/>
  <c r="V457" i="29"/>
  <c r="Y457" i="29"/>
  <c r="U457" i="29"/>
  <c r="T457" i="29"/>
  <c r="B457" i="29" s="1"/>
  <c r="Z458" i="29"/>
  <c r="AA481" i="29"/>
  <c r="W481" i="29"/>
  <c r="AA488" i="29"/>
  <c r="W488" i="29"/>
  <c r="Z488" i="29"/>
  <c r="V488" i="29"/>
  <c r="Y488" i="29"/>
  <c r="U488" i="29"/>
  <c r="X488" i="29"/>
  <c r="T488" i="29"/>
  <c r="AA491" i="29"/>
  <c r="W491" i="29"/>
  <c r="U491" i="29"/>
  <c r="Z494" i="29"/>
  <c r="V494" i="29"/>
  <c r="U413" i="29"/>
  <c r="T414" i="29"/>
  <c r="U417" i="29"/>
  <c r="T418" i="29"/>
  <c r="W419" i="29"/>
  <c r="AA419" i="29"/>
  <c r="U421" i="29"/>
  <c r="T422" i="29"/>
  <c r="W423" i="29"/>
  <c r="AA423" i="29"/>
  <c r="U425" i="29"/>
  <c r="T426" i="29"/>
  <c r="W427" i="29"/>
  <c r="AA427" i="29"/>
  <c r="U429" i="29"/>
  <c r="T430" i="29"/>
  <c r="W431" i="29"/>
  <c r="AA431" i="29"/>
  <c r="U433" i="29"/>
  <c r="T434" i="29"/>
  <c r="Z436" i="29"/>
  <c r="V436" i="29"/>
  <c r="T436" i="29"/>
  <c r="Y436" i="29"/>
  <c r="V437" i="29"/>
  <c r="AA437" i="29"/>
  <c r="AA439" i="29"/>
  <c r="W439" i="29"/>
  <c r="T439" i="29"/>
  <c r="B439" i="29" s="1"/>
  <c r="Y439" i="29"/>
  <c r="U440" i="29"/>
  <c r="Y444" i="29"/>
  <c r="Z446" i="29"/>
  <c r="V446" i="29"/>
  <c r="W446" i="29"/>
  <c r="B446" i="29" s="1"/>
  <c r="V447" i="29"/>
  <c r="X448" i="29"/>
  <c r="U448" i="29"/>
  <c r="AA449" i="29"/>
  <c r="W449" i="29"/>
  <c r="Y449" i="29"/>
  <c r="U449" i="29"/>
  <c r="T449" i="29"/>
  <c r="X452" i="29"/>
  <c r="AA465" i="29"/>
  <c r="W465" i="29"/>
  <c r="AA472" i="29"/>
  <c r="W472" i="29"/>
  <c r="Z472" i="29"/>
  <c r="V472" i="29"/>
  <c r="Y472" i="29"/>
  <c r="U472" i="29"/>
  <c r="X472" i="29"/>
  <c r="T472" i="29"/>
  <c r="W475" i="29"/>
  <c r="U475" i="29"/>
  <c r="Z478" i="29"/>
  <c r="V478" i="29"/>
  <c r="T419" i="29"/>
  <c r="V421" i="29"/>
  <c r="U422" i="29"/>
  <c r="T423" i="29"/>
  <c r="V425" i="29"/>
  <c r="U426" i="29"/>
  <c r="T427" i="29"/>
  <c r="V429" i="29"/>
  <c r="U430" i="29"/>
  <c r="T431" i="29"/>
  <c r="V433" i="29"/>
  <c r="U434" i="29"/>
  <c r="AA435" i="29"/>
  <c r="W435" i="29"/>
  <c r="T435" i="29"/>
  <c r="Y435" i="29"/>
  <c r="U436" i="29"/>
  <c r="U439" i="29"/>
  <c r="X442" i="29"/>
  <c r="Y443" i="29"/>
  <c r="U443" i="29"/>
  <c r="AA443" i="29"/>
  <c r="W443" i="29"/>
  <c r="T443" i="29"/>
  <c r="X450" i="29"/>
  <c r="Y451" i="29"/>
  <c r="U451" i="29"/>
  <c r="X451" i="29"/>
  <c r="AA451" i="29"/>
  <c r="W451" i="29"/>
  <c r="T451" i="29"/>
  <c r="AA452" i="29"/>
  <c r="W452" i="29"/>
  <c r="Y452" i="29"/>
  <c r="X456" i="29"/>
  <c r="Z462" i="29"/>
  <c r="V462" i="29"/>
  <c r="T438" i="29"/>
  <c r="T442" i="29"/>
  <c r="B442" i="29" s="1"/>
  <c r="V444" i="29"/>
  <c r="Z444" i="29"/>
  <c r="T446" i="29"/>
  <c r="V448" i="29"/>
  <c r="B448" i="29" s="1"/>
  <c r="Z448" i="29"/>
  <c r="T450" i="29"/>
  <c r="B450" i="29" s="1"/>
  <c r="V452" i="29"/>
  <c r="Z452" i="29"/>
  <c r="T454" i="29"/>
  <c r="W455" i="29"/>
  <c r="AA455" i="29"/>
  <c r="V456" i="29"/>
  <c r="Z456" i="29"/>
  <c r="T458" i="29"/>
  <c r="AA460" i="29"/>
  <c r="W460" i="29"/>
  <c r="Z460" i="29"/>
  <c r="V460" i="29"/>
  <c r="Y460" i="29"/>
  <c r="U460" i="29"/>
  <c r="T460" i="29"/>
  <c r="Z465" i="29"/>
  <c r="X467" i="29"/>
  <c r="U467" i="29"/>
  <c r="Y474" i="29"/>
  <c r="AA476" i="29"/>
  <c r="W476" i="29"/>
  <c r="Z476" i="29"/>
  <c r="V476" i="29"/>
  <c r="Y476" i="29"/>
  <c r="U476" i="29"/>
  <c r="T476" i="29"/>
  <c r="Y477" i="29"/>
  <c r="AA479" i="29"/>
  <c r="W479" i="29"/>
  <c r="Y479" i="29"/>
  <c r="Z481" i="29"/>
  <c r="X483" i="29"/>
  <c r="Y490" i="29"/>
  <c r="AA492" i="29"/>
  <c r="W492" i="29"/>
  <c r="Z492" i="29"/>
  <c r="V492" i="29"/>
  <c r="Y492" i="29"/>
  <c r="U492" i="29"/>
  <c r="T492" i="29"/>
  <c r="Y493" i="29"/>
  <c r="AA495" i="29"/>
  <c r="W495" i="29"/>
  <c r="Y495" i="29"/>
  <c r="U454" i="29"/>
  <c r="Y454" i="29"/>
  <c r="T455" i="29"/>
  <c r="X455" i="29"/>
  <c r="U458" i="29"/>
  <c r="Y458" i="29"/>
  <c r="X459" i="29"/>
  <c r="AA459" i="29"/>
  <c r="W459" i="29"/>
  <c r="Z459" i="29"/>
  <c r="V459" i="29"/>
  <c r="T459" i="29"/>
  <c r="B459" i="29" s="1"/>
  <c r="Y462" i="29"/>
  <c r="AA464" i="29"/>
  <c r="W464" i="29"/>
  <c r="Z464" i="29"/>
  <c r="V464" i="29"/>
  <c r="Y464" i="29"/>
  <c r="U464" i="29"/>
  <c r="T464" i="29"/>
  <c r="Y478" i="29"/>
  <c r="AA480" i="29"/>
  <c r="W480" i="29"/>
  <c r="Z480" i="29"/>
  <c r="V480" i="29"/>
  <c r="Y480" i="29"/>
  <c r="U480" i="29"/>
  <c r="T480" i="29"/>
  <c r="Y481" i="29"/>
  <c r="AA483" i="29"/>
  <c r="W483" i="29"/>
  <c r="Y483" i="29"/>
  <c r="Y494" i="29"/>
  <c r="AA496" i="29"/>
  <c r="W496" i="29"/>
  <c r="Z496" i="29"/>
  <c r="V496" i="29"/>
  <c r="Y496" i="29"/>
  <c r="U496" i="29"/>
  <c r="B496" i="29" s="1"/>
  <c r="T496" i="29"/>
  <c r="T444" i="29"/>
  <c r="B444" i="29" s="1"/>
  <c r="T448" i="29"/>
  <c r="T452" i="29"/>
  <c r="V454" i="29"/>
  <c r="U455" i="29"/>
  <c r="T456" i="29"/>
  <c r="V458" i="29"/>
  <c r="U459" i="29"/>
  <c r="X464" i="29"/>
  <c r="AA468" i="29"/>
  <c r="W468" i="29"/>
  <c r="Z468" i="29"/>
  <c r="V468" i="29"/>
  <c r="Y468" i="29"/>
  <c r="U468" i="29"/>
  <c r="T468" i="29"/>
  <c r="Z473" i="29"/>
  <c r="X475" i="29"/>
  <c r="X480" i="29"/>
  <c r="B480" i="29" s="1"/>
  <c r="AA484" i="29"/>
  <c r="W484" i="29"/>
  <c r="Z484" i="29"/>
  <c r="V484" i="29"/>
  <c r="Y484" i="29"/>
  <c r="U484" i="29"/>
  <c r="T484" i="29"/>
  <c r="AA487" i="29"/>
  <c r="W487" i="29"/>
  <c r="Y487" i="29"/>
  <c r="Z489" i="29"/>
  <c r="X491" i="29"/>
  <c r="X496" i="29"/>
  <c r="T461" i="29"/>
  <c r="X461" i="29"/>
  <c r="W462" i="29"/>
  <c r="AA462" i="29"/>
  <c r="V463" i="29"/>
  <c r="Z463" i="29"/>
  <c r="T465" i="29"/>
  <c r="X465" i="29"/>
  <c r="W466" i="29"/>
  <c r="AA466" i="29"/>
  <c r="V467" i="29"/>
  <c r="Z467" i="29"/>
  <c r="T469" i="29"/>
  <c r="X469" i="29"/>
  <c r="W470" i="29"/>
  <c r="AA470" i="29"/>
  <c r="V471" i="29"/>
  <c r="Z471" i="29"/>
  <c r="T473" i="29"/>
  <c r="X473" i="29"/>
  <c r="W474" i="29"/>
  <c r="AA474" i="29"/>
  <c r="V475" i="29"/>
  <c r="Z475" i="29"/>
  <c r="T477" i="29"/>
  <c r="X477" i="29"/>
  <c r="W478" i="29"/>
  <c r="AA478" i="29"/>
  <c r="V479" i="29"/>
  <c r="Z479" i="29"/>
  <c r="T481" i="29"/>
  <c r="X481" i="29"/>
  <c r="W482" i="29"/>
  <c r="AA482" i="29"/>
  <c r="V483" i="29"/>
  <c r="Z483" i="29"/>
  <c r="T485" i="29"/>
  <c r="X485" i="29"/>
  <c r="W486" i="29"/>
  <c r="AA486" i="29"/>
  <c r="V487" i="29"/>
  <c r="Z487" i="29"/>
  <c r="T489" i="29"/>
  <c r="B489" i="29" s="1"/>
  <c r="X489" i="29"/>
  <c r="W490" i="29"/>
  <c r="AA490" i="29"/>
  <c r="V491" i="29"/>
  <c r="Z491" i="29"/>
  <c r="T493" i="29"/>
  <c r="X493" i="29"/>
  <c r="W494" i="29"/>
  <c r="AA494" i="29"/>
  <c r="V495" i="29"/>
  <c r="Z495" i="29"/>
  <c r="U461" i="29"/>
  <c r="Y461" i="29"/>
  <c r="T462" i="29"/>
  <c r="X462" i="29"/>
  <c r="W463" i="29"/>
  <c r="AA463" i="29"/>
  <c r="U465" i="29"/>
  <c r="Y465" i="29"/>
  <c r="T466" i="29"/>
  <c r="X466" i="29"/>
  <c r="W467" i="29"/>
  <c r="AA467" i="29"/>
  <c r="U469" i="29"/>
  <c r="Y469" i="29"/>
  <c r="T470" i="29"/>
  <c r="X470" i="29"/>
  <c r="W471" i="29"/>
  <c r="AA471" i="29"/>
  <c r="U473" i="29"/>
  <c r="Y473" i="29"/>
  <c r="T474" i="29"/>
  <c r="X474" i="29"/>
  <c r="AA475" i="29"/>
  <c r="U477" i="29"/>
  <c r="T478" i="29"/>
  <c r="X478" i="29"/>
  <c r="U481" i="29"/>
  <c r="T482" i="29"/>
  <c r="X482" i="29"/>
  <c r="U485" i="29"/>
  <c r="T486" i="29"/>
  <c r="X486" i="29"/>
  <c r="U489" i="29"/>
  <c r="T490" i="29"/>
  <c r="X490" i="29"/>
  <c r="U493" i="29"/>
  <c r="T494" i="29"/>
  <c r="X494" i="29"/>
  <c r="V461" i="29"/>
  <c r="U462" i="29"/>
  <c r="T463" i="29"/>
  <c r="V465" i="29"/>
  <c r="U466" i="29"/>
  <c r="T467" i="29"/>
  <c r="B467" i="29" s="1"/>
  <c r="V469" i="29"/>
  <c r="U470" i="29"/>
  <c r="T471" i="29"/>
  <c r="V473" i="29"/>
  <c r="U474" i="29"/>
  <c r="T475" i="29"/>
  <c r="B475" i="29" s="1"/>
  <c r="V477" i="29"/>
  <c r="U478" i="29"/>
  <c r="T479" i="29"/>
  <c r="V481" i="29"/>
  <c r="U482" i="29"/>
  <c r="T483" i="29"/>
  <c r="V485" i="29"/>
  <c r="U486" i="29"/>
  <c r="T487" i="29"/>
  <c r="V489" i="29"/>
  <c r="U490" i="29"/>
  <c r="T491" i="29"/>
  <c r="V493" i="29"/>
  <c r="U494" i="29"/>
  <c r="B494" i="29" s="1"/>
  <c r="T495" i="29"/>
  <c r="C45" i="25"/>
  <c r="D37" i="25"/>
  <c r="F35" i="25"/>
  <c r="K9" i="25"/>
  <c r="B462" i="29"/>
  <c r="B83" i="29"/>
  <c r="B306" i="29"/>
  <c r="B202" i="29"/>
  <c r="C9" i="25"/>
  <c r="C25" i="25"/>
  <c r="C29" i="25"/>
  <c r="C55" i="25"/>
  <c r="D4" i="25"/>
  <c r="D34" i="25"/>
  <c r="D5" i="25"/>
  <c r="D35" i="25"/>
  <c r="D36" i="25"/>
  <c r="C4" i="25"/>
  <c r="C6" i="25"/>
  <c r="C8" i="25"/>
  <c r="C34" i="25"/>
  <c r="C36" i="25"/>
  <c r="C16" i="25"/>
  <c r="C18" i="25"/>
  <c r="C44" i="25"/>
  <c r="C46" i="25"/>
  <c r="C48" i="25"/>
  <c r="C24" i="25"/>
  <c r="C26" i="25"/>
  <c r="C28" i="25"/>
  <c r="C54" i="25"/>
  <c r="C58" i="25"/>
  <c r="C56" i="25"/>
  <c r="C14" i="25"/>
  <c r="C5" i="25"/>
  <c r="C19" i="25"/>
  <c r="C47" i="25"/>
  <c r="C35" i="25"/>
  <c r="C17" i="25"/>
  <c r="C7" i="25"/>
  <c r="C49" i="25"/>
  <c r="C37" i="25"/>
  <c r="C57" i="25"/>
  <c r="C39" i="25"/>
  <c r="C59" i="25"/>
  <c r="C27" i="25"/>
  <c r="F4" i="25"/>
  <c r="F6" i="25"/>
  <c r="D38" i="25"/>
  <c r="F38" i="25"/>
  <c r="C84" i="28"/>
  <c r="B84" i="28"/>
  <c r="A85" i="28"/>
  <c r="C85" i="28" s="1"/>
  <c r="A84" i="3"/>
  <c r="A85" i="3" s="1"/>
  <c r="B84" i="3"/>
  <c r="M43" i="25"/>
  <c r="M113" i="25"/>
  <c r="M72" i="25"/>
  <c r="M10" i="25"/>
  <c r="M30" i="25"/>
  <c r="M100" i="25"/>
  <c r="M80" i="25"/>
  <c r="M93" i="25"/>
  <c r="M112" i="25"/>
  <c r="M2" i="25"/>
  <c r="M22" i="25"/>
  <c r="AK2" i="6"/>
  <c r="AA191" i="29"/>
  <c r="U191" i="29"/>
  <c r="T191" i="29"/>
  <c r="V191" i="29"/>
  <c r="Y73" i="29"/>
  <c r="V73" i="29"/>
  <c r="Z73" i="29"/>
  <c r="T73" i="29"/>
  <c r="B73" i="29" s="1"/>
  <c r="X73" i="29"/>
  <c r="W73" i="29"/>
  <c r="AA73" i="29"/>
  <c r="U73" i="29"/>
  <c r="T80" i="29"/>
  <c r="U80" i="29"/>
  <c r="Y80" i="29"/>
  <c r="V80" i="29"/>
  <c r="T153" i="29"/>
  <c r="AA153" i="29"/>
  <c r="W153" i="29"/>
  <c r="V153" i="29"/>
  <c r="T197" i="29"/>
  <c r="AA197" i="29"/>
  <c r="W197" i="29"/>
  <c r="V197" i="29"/>
  <c r="Z197" i="29"/>
  <c r="X197" i="29"/>
  <c r="U197" i="29"/>
  <c r="Z168" i="29"/>
  <c r="U168" i="29"/>
  <c r="Y168" i="29"/>
  <c r="V168" i="29"/>
  <c r="X168" i="29"/>
  <c r="W168" i="29"/>
  <c r="W404" i="29"/>
  <c r="U404" i="29"/>
  <c r="T404" i="29"/>
  <c r="X404" i="29"/>
  <c r="Z404" i="29"/>
  <c r="Y404" i="29"/>
  <c r="V404" i="29"/>
  <c r="AA404" i="29"/>
  <c r="Z243" i="29"/>
  <c r="T243" i="29"/>
  <c r="U243" i="29"/>
  <c r="Y243" i="29"/>
  <c r="V243" i="29"/>
  <c r="Z214" i="29"/>
  <c r="Y214" i="29"/>
  <c r="U214" i="29"/>
  <c r="X214" i="29"/>
  <c r="W214" i="29"/>
  <c r="AA214" i="29"/>
  <c r="V214" i="29"/>
  <c r="T214" i="29"/>
  <c r="B214" i="29" s="1"/>
  <c r="U136" i="29"/>
  <c r="W136" i="29"/>
  <c r="V136" i="29"/>
  <c r="AA136" i="29"/>
  <c r="X136" i="29"/>
  <c r="X183" i="29"/>
  <c r="W183" i="29"/>
  <c r="AA183" i="29"/>
  <c r="T183" i="29"/>
  <c r="Z183" i="29"/>
  <c r="V183" i="29"/>
  <c r="U183" i="29"/>
  <c r="Y183" i="29"/>
  <c r="W406" i="29"/>
  <c r="Y406" i="29"/>
  <c r="Z406" i="29"/>
  <c r="V406" i="29"/>
  <c r="U406" i="29"/>
  <c r="AA406" i="29"/>
  <c r="T406" i="29"/>
  <c r="AA68" i="29"/>
  <c r="Z68" i="29"/>
  <c r="X68" i="29"/>
  <c r="W68" i="29"/>
  <c r="U68" i="29"/>
  <c r="T68" i="29"/>
  <c r="T285" i="29"/>
  <c r="Z285" i="29"/>
  <c r="V285" i="29"/>
  <c r="X285" i="29"/>
  <c r="W285" i="29"/>
  <c r="AA285" i="29"/>
  <c r="U285" i="29"/>
  <c r="Y285" i="29"/>
  <c r="W224" i="29"/>
  <c r="AA224" i="29"/>
  <c r="U224" i="29"/>
  <c r="X224" i="29"/>
  <c r="B224" i="29" s="1"/>
  <c r="Z224" i="29"/>
  <c r="T224" i="29"/>
  <c r="Y224" i="29"/>
  <c r="C85" i="3"/>
  <c r="B258" i="29"/>
  <c r="F14" i="34"/>
  <c r="F14" i="5"/>
  <c r="F15" i="25"/>
  <c r="Y65" i="29"/>
  <c r="W65" i="29"/>
  <c r="T65" i="29"/>
  <c r="AA65" i="29"/>
  <c r="A84" i="34"/>
  <c r="B178" i="29"/>
  <c r="AN5" i="6"/>
  <c r="D94" i="25"/>
  <c r="BD33" i="34"/>
  <c r="BD33" i="5"/>
  <c r="F67" i="25"/>
  <c r="F36" i="34"/>
  <c r="F36" i="5"/>
  <c r="D44" i="34"/>
  <c r="D75" i="25"/>
  <c r="D44" i="5"/>
  <c r="F58" i="34"/>
  <c r="F89" i="25"/>
  <c r="F58" i="5"/>
  <c r="F28" i="34"/>
  <c r="F28" i="5"/>
  <c r="F29" i="25"/>
  <c r="D5" i="34"/>
  <c r="D5" i="5"/>
  <c r="D6" i="25"/>
  <c r="V41" i="29"/>
  <c r="Z41" i="29"/>
  <c r="W41" i="29"/>
  <c r="Y41" i="29"/>
  <c r="AA41" i="29"/>
  <c r="U41" i="29"/>
  <c r="T41" i="29"/>
  <c r="B41" i="29" s="1"/>
  <c r="X41" i="29"/>
  <c r="A58" i="26"/>
  <c r="A93" i="26" s="1"/>
  <c r="A128" i="26" s="1"/>
  <c r="A163" i="26" s="1"/>
  <c r="A198" i="26" s="1"/>
  <c r="V13" i="29"/>
  <c r="W13" i="29"/>
  <c r="AA13" i="29"/>
  <c r="X13" i="29"/>
  <c r="U13" i="29"/>
  <c r="X15" i="29"/>
  <c r="W15" i="29"/>
  <c r="Z15" i="29"/>
  <c r="V15" i="29"/>
  <c r="U15" i="29"/>
  <c r="T15" i="29"/>
  <c r="T22" i="29"/>
  <c r="V22" i="29"/>
  <c r="X22" i="29"/>
  <c r="Z22" i="29"/>
  <c r="AA22" i="29"/>
  <c r="W22" i="29"/>
  <c r="Y22" i="29"/>
  <c r="Z32" i="29"/>
  <c r="T32" i="29"/>
  <c r="U32" i="29"/>
  <c r="V32" i="29"/>
  <c r="Y32" i="29"/>
  <c r="BF25" i="34"/>
  <c r="BF25" i="5"/>
  <c r="F56" i="25"/>
  <c r="V6" i="29"/>
  <c r="AA6" i="29"/>
  <c r="W6" i="29"/>
  <c r="Y6" i="29"/>
  <c r="X6" i="29"/>
  <c r="BB14" i="28"/>
  <c r="B44" i="28"/>
  <c r="B44" i="3"/>
  <c r="BB53" i="28"/>
  <c r="BB53" i="3"/>
  <c r="B26" i="3"/>
  <c r="B26" i="28"/>
  <c r="B36" i="3"/>
  <c r="B36" i="28"/>
  <c r="BB36" i="3"/>
  <c r="BB36" i="28"/>
  <c r="BB28" i="28"/>
  <c r="BB28" i="3"/>
  <c r="B37" i="3"/>
  <c r="B37" i="28"/>
  <c r="A86" i="28"/>
  <c r="C86" i="28" s="1"/>
  <c r="B425" i="29"/>
  <c r="U65" i="29"/>
  <c r="B226" i="29"/>
  <c r="BD16" i="34"/>
  <c r="BD16" i="5"/>
  <c r="D27" i="34"/>
  <c r="D27" i="5"/>
  <c r="F94" i="25"/>
  <c r="BF33" i="34"/>
  <c r="BF33" i="5"/>
  <c r="BF37" i="34"/>
  <c r="F98" i="25"/>
  <c r="BF37" i="5"/>
  <c r="F44" i="34"/>
  <c r="F75" i="25"/>
  <c r="F44" i="5"/>
  <c r="BD45" i="34"/>
  <c r="BD45" i="5"/>
  <c r="D106" i="25"/>
  <c r="W8" i="29"/>
  <c r="Z8" i="29"/>
  <c r="X8" i="29"/>
  <c r="V57" i="29"/>
  <c r="Z57" i="29"/>
  <c r="V38" i="29"/>
  <c r="W29" i="29"/>
  <c r="Y31" i="29"/>
  <c r="A59" i="26"/>
  <c r="A94" i="26" s="1"/>
  <c r="A129" i="26" s="1"/>
  <c r="A164" i="26" s="1"/>
  <c r="A199" i="26" s="1"/>
  <c r="D3" i="34"/>
  <c r="D3" i="5"/>
  <c r="F6" i="34"/>
  <c r="F6" i="5"/>
  <c r="BD7" i="34"/>
  <c r="BD7" i="5"/>
  <c r="D13" i="34"/>
  <c r="D13" i="5"/>
  <c r="F23" i="34"/>
  <c r="F23" i="5"/>
  <c r="F27" i="34"/>
  <c r="F27" i="5"/>
  <c r="D54" i="34"/>
  <c r="D85" i="25"/>
  <c r="D54" i="5"/>
  <c r="BB4" i="3"/>
  <c r="BB13" i="3"/>
  <c r="BB13" i="28"/>
  <c r="B5" i="3"/>
  <c r="B5" i="28"/>
  <c r="BB26" i="28"/>
  <c r="BB26" i="3"/>
  <c r="BB45" i="28"/>
  <c r="BB45" i="3"/>
  <c r="B17" i="3"/>
  <c r="B17" i="28"/>
  <c r="X88" i="29"/>
  <c r="AA88" i="29"/>
  <c r="W88" i="29"/>
  <c r="Z88" i="29"/>
  <c r="X119" i="29"/>
  <c r="W119" i="29"/>
  <c r="AA119" i="29"/>
  <c r="Z67" i="29"/>
  <c r="V31" i="29"/>
  <c r="F3" i="34"/>
  <c r="F3" i="5"/>
  <c r="F4" i="34"/>
  <c r="F4" i="5"/>
  <c r="BF7" i="34"/>
  <c r="BF7" i="5"/>
  <c r="BD15" i="34"/>
  <c r="BD15" i="5"/>
  <c r="D18" i="5"/>
  <c r="BD24" i="34"/>
  <c r="BD24" i="5"/>
  <c r="D26" i="34"/>
  <c r="D26" i="5"/>
  <c r="D66" i="25"/>
  <c r="D35" i="34"/>
  <c r="D35" i="5"/>
  <c r="BF48" i="34"/>
  <c r="F109" i="25"/>
  <c r="BF48" i="5"/>
  <c r="D119" i="25"/>
  <c r="BD58" i="34"/>
  <c r="BD58" i="5"/>
  <c r="B33" i="3"/>
  <c r="B33" i="28"/>
  <c r="B15" i="3"/>
  <c r="B15" i="28"/>
  <c r="BB55" i="3"/>
  <c r="BB55" i="28"/>
  <c r="BB27" i="28"/>
  <c r="BB27" i="3"/>
  <c r="Y103" i="29"/>
  <c r="W103" i="29"/>
  <c r="X135" i="29"/>
  <c r="W135" i="29"/>
  <c r="AA135" i="29"/>
  <c r="X151" i="29"/>
  <c r="W151" i="29"/>
  <c r="AA151" i="29"/>
  <c r="AA251" i="29"/>
  <c r="X251" i="29"/>
  <c r="W251" i="29"/>
  <c r="Z251" i="29"/>
  <c r="Y251" i="29"/>
  <c r="X29" i="29"/>
  <c r="T8" i="29"/>
  <c r="W67" i="29"/>
  <c r="Z31" i="29"/>
  <c r="D46" i="25"/>
  <c r="A42" i="26"/>
  <c r="A77" i="26" s="1"/>
  <c r="A112" i="26" s="1"/>
  <c r="A147" i="26" s="1"/>
  <c r="A182" i="26" s="1"/>
  <c r="BF24" i="34"/>
  <c r="BF24" i="5"/>
  <c r="BF28" i="34"/>
  <c r="BF28" i="5"/>
  <c r="F35" i="34"/>
  <c r="F35" i="5"/>
  <c r="F66" i="25"/>
  <c r="D97" i="25"/>
  <c r="BD36" i="34"/>
  <c r="BD36" i="5"/>
  <c r="BF55" i="34"/>
  <c r="F116" i="25"/>
  <c r="BF55" i="5"/>
  <c r="F57" i="34"/>
  <c r="F88" i="25"/>
  <c r="F57" i="5"/>
  <c r="X72" i="29"/>
  <c r="AA72" i="29"/>
  <c r="W72" i="29"/>
  <c r="Z72" i="29"/>
  <c r="Z81" i="29"/>
  <c r="Y204" i="29"/>
  <c r="Z204" i="29"/>
  <c r="V204" i="29"/>
  <c r="V216" i="29"/>
  <c r="Y225" i="29"/>
  <c r="T29" i="29"/>
  <c r="AA67" i="29"/>
  <c r="X38" i="29"/>
  <c r="W31" i="29"/>
  <c r="A61" i="26"/>
  <c r="A96" i="26" s="1"/>
  <c r="A131" i="26" s="1"/>
  <c r="A166" i="26" s="1"/>
  <c r="A201" i="26" s="1"/>
  <c r="F28" i="25"/>
  <c r="A43" i="26"/>
  <c r="A78" i="26" s="1"/>
  <c r="A113" i="26" s="1"/>
  <c r="A148" i="26" s="1"/>
  <c r="A183" i="26" s="1"/>
  <c r="D69" i="25"/>
  <c r="D38" i="34"/>
  <c r="D38" i="5"/>
  <c r="D77" i="25"/>
  <c r="D46" i="34"/>
  <c r="D46" i="5"/>
  <c r="AA52" i="29"/>
  <c r="X118" i="29"/>
  <c r="Z118" i="29"/>
  <c r="V118" i="29"/>
  <c r="Z124" i="29"/>
  <c r="X191" i="29"/>
  <c r="U29" i="29"/>
  <c r="AA31" i="29"/>
  <c r="D19" i="25"/>
  <c r="D47" i="25"/>
  <c r="A49" i="26"/>
  <c r="A84" i="26" s="1"/>
  <c r="A119" i="26" s="1"/>
  <c r="A154" i="26" s="1"/>
  <c r="A189" i="26" s="1"/>
  <c r="BD6" i="34"/>
  <c r="BD6" i="5"/>
  <c r="D8" i="34"/>
  <c r="BD13" i="34"/>
  <c r="BD13" i="5"/>
  <c r="BF14" i="34"/>
  <c r="BF14" i="5"/>
  <c r="BF47" i="34"/>
  <c r="F108" i="25"/>
  <c r="BF47" i="5"/>
  <c r="D53" i="34"/>
  <c r="D53" i="5"/>
  <c r="D84" i="25"/>
  <c r="B43" i="28"/>
  <c r="B43" i="3"/>
  <c r="B53" i="28"/>
  <c r="B53" i="3"/>
  <c r="BB33" i="3"/>
  <c r="BB33" i="28"/>
  <c r="B6" i="28"/>
  <c r="B6" i="3"/>
  <c r="B6" i="34"/>
  <c r="B46" i="3"/>
  <c r="B46" i="28"/>
  <c r="BB56" i="3"/>
  <c r="BB56" i="28"/>
  <c r="B8" i="3"/>
  <c r="B8" i="28"/>
  <c r="BB17" i="28"/>
  <c r="BB17" i="3"/>
  <c r="BB17" i="34"/>
  <c r="BB48" i="3"/>
  <c r="BB48" i="28"/>
  <c r="B68" i="3"/>
  <c r="B68" i="28"/>
  <c r="B74" i="28"/>
  <c r="B74" i="3"/>
  <c r="B82" i="28"/>
  <c r="B82" i="3"/>
  <c r="B82" i="5"/>
  <c r="U10" i="29"/>
  <c r="Z13" i="29"/>
  <c r="AA16" i="29"/>
  <c r="Z65" i="29"/>
  <c r="Y69" i="29"/>
  <c r="U90" i="29"/>
  <c r="X96" i="29"/>
  <c r="Z97" i="29"/>
  <c r="X99" i="29"/>
  <c r="U121" i="29"/>
  <c r="Z140" i="29"/>
  <c r="Z163" i="29"/>
  <c r="Y188" i="29"/>
  <c r="Z188" i="29"/>
  <c r="X266" i="29"/>
  <c r="Y272" i="29"/>
  <c r="AA299" i="29"/>
  <c r="Z299" i="29"/>
  <c r="X299" i="29"/>
  <c r="V299" i="29"/>
  <c r="U57" i="29"/>
  <c r="Z48" i="29"/>
  <c r="V29" i="29"/>
  <c r="D28" i="25"/>
  <c r="F24" i="25"/>
  <c r="A50" i="26"/>
  <c r="A85" i="26" s="1"/>
  <c r="A120" i="26" s="1"/>
  <c r="A155" i="26" s="1"/>
  <c r="A190" i="26" s="1"/>
  <c r="BD4" i="34"/>
  <c r="BD4" i="5"/>
  <c r="D16" i="34"/>
  <c r="D17" i="34"/>
  <c r="BF23" i="34"/>
  <c r="BF23" i="5"/>
  <c r="D25" i="34"/>
  <c r="D25" i="5"/>
  <c r="BD35" i="34"/>
  <c r="D96" i="25"/>
  <c r="BD35" i="5"/>
  <c r="F53" i="34"/>
  <c r="F84" i="25"/>
  <c r="F53" i="5"/>
  <c r="U22" i="29"/>
  <c r="Z29" i="29"/>
  <c r="AA32" i="29"/>
  <c r="X121" i="29"/>
  <c r="Y124" i="29"/>
  <c r="V124" i="29"/>
  <c r="X169" i="29"/>
  <c r="Y172" i="29"/>
  <c r="Z172" i="29"/>
  <c r="V172" i="29"/>
  <c r="Z175" i="29"/>
  <c r="Y197" i="29"/>
  <c r="X237" i="29"/>
  <c r="Z272" i="29"/>
  <c r="V272" i="29"/>
  <c r="Z282" i="29"/>
  <c r="X292" i="29"/>
  <c r="A51" i="26"/>
  <c r="A86" i="26"/>
  <c r="A121" i="26" s="1"/>
  <c r="A156" i="26" s="1"/>
  <c r="A191" i="26" s="1"/>
  <c r="F16" i="34"/>
  <c r="F16" i="5"/>
  <c r="F25" i="34"/>
  <c r="F25" i="5"/>
  <c r="BF27" i="34"/>
  <c r="BF27" i="5"/>
  <c r="BF54" i="34"/>
  <c r="BF54" i="5"/>
  <c r="F115" i="25"/>
  <c r="F56" i="34"/>
  <c r="F87" i="25"/>
  <c r="F56" i="5"/>
  <c r="BF57" i="34"/>
  <c r="BF57" i="5"/>
  <c r="F118" i="25"/>
  <c r="B14" i="3"/>
  <c r="B14" i="28"/>
  <c r="BB34" i="3"/>
  <c r="BB34" i="28"/>
  <c r="B54" i="28"/>
  <c r="B54" i="3"/>
  <c r="B45" i="3"/>
  <c r="B45" i="28"/>
  <c r="B55" i="28"/>
  <c r="B55" i="3"/>
  <c r="B27" i="3"/>
  <c r="B27" i="28"/>
  <c r="BB18" i="3"/>
  <c r="BB18" i="28"/>
  <c r="BB58" i="28"/>
  <c r="BB58" i="3"/>
  <c r="BB47" i="3"/>
  <c r="BB47" i="28"/>
  <c r="B67" i="3"/>
  <c r="B67" i="28"/>
  <c r="B73" i="28"/>
  <c r="B73" i="3"/>
  <c r="U38" i="29"/>
  <c r="Z45" i="29"/>
  <c r="B45" i="29"/>
  <c r="AA48" i="29"/>
  <c r="X108" i="29"/>
  <c r="Y140" i="29"/>
  <c r="V140" i="29"/>
  <c r="X153" i="29"/>
  <c r="X159" i="29"/>
  <c r="Z191" i="29"/>
  <c r="X209" i="29"/>
  <c r="W209" i="29"/>
  <c r="B209" i="29"/>
  <c r="W218" i="29"/>
  <c r="AA218" i="29"/>
  <c r="V218" i="29"/>
  <c r="X218" i="29"/>
  <c r="V224" i="29"/>
  <c r="Z231" i="29"/>
  <c r="X253" i="29"/>
  <c r="U253" i="29"/>
  <c r="Y253" i="29"/>
  <c r="Y256" i="29"/>
  <c r="X259" i="29"/>
  <c r="W259" i="29"/>
  <c r="AA259" i="29"/>
  <c r="Z259" i="29"/>
  <c r="V108" i="29"/>
  <c r="T108" i="29"/>
  <c r="D15" i="34"/>
  <c r="BD18" i="34"/>
  <c r="BD18" i="5"/>
  <c r="BD26" i="34"/>
  <c r="BD26" i="5"/>
  <c r="F64" i="25"/>
  <c r="F33" i="34"/>
  <c r="F33" i="5"/>
  <c r="BD34" i="34"/>
  <c r="D95" i="25"/>
  <c r="BD34" i="5"/>
  <c r="F68" i="25"/>
  <c r="F37" i="34"/>
  <c r="F37" i="5"/>
  <c r="BF43" i="34"/>
  <c r="F104" i="25"/>
  <c r="BF43" i="5"/>
  <c r="F45" i="34"/>
  <c r="F45" i="5"/>
  <c r="F76" i="25"/>
  <c r="U6" i="29"/>
  <c r="AA8" i="29"/>
  <c r="W48" i="29"/>
  <c r="U54" i="29"/>
  <c r="AA80" i="29"/>
  <c r="X111" i="29"/>
  <c r="Y111" i="29"/>
  <c r="U111" i="29"/>
  <c r="AA111" i="29"/>
  <c r="X114" i="29"/>
  <c r="Z120" i="29"/>
  <c r="X126" i="29"/>
  <c r="Y156" i="29"/>
  <c r="Z156" i="29"/>
  <c r="Z159" i="29"/>
  <c r="X206" i="29"/>
  <c r="AA243" i="29"/>
  <c r="Y265" i="29"/>
  <c r="V268" i="29"/>
  <c r="W295" i="29"/>
  <c r="AA295" i="29"/>
  <c r="X295" i="29"/>
  <c r="U295" i="29"/>
  <c r="Y295" i="29"/>
  <c r="A41" i="26"/>
  <c r="A76" i="26" s="1"/>
  <c r="A111" i="26" s="1"/>
  <c r="A146" i="26" s="1"/>
  <c r="A181" i="26" s="1"/>
  <c r="A65" i="26"/>
  <c r="A100" i="26" s="1"/>
  <c r="A135" i="26" s="1"/>
  <c r="A170" i="26" s="1"/>
  <c r="A205" i="26" s="1"/>
  <c r="D7" i="34"/>
  <c r="BD8" i="34"/>
  <c r="BD8" i="5"/>
  <c r="F15" i="34"/>
  <c r="F15" i="5"/>
  <c r="BF18" i="34"/>
  <c r="BF18" i="5"/>
  <c r="BD38" i="34"/>
  <c r="D99" i="25"/>
  <c r="BD38" i="5"/>
  <c r="D79" i="25"/>
  <c r="D48" i="34"/>
  <c r="D48" i="5"/>
  <c r="A83" i="34"/>
  <c r="A160" i="25"/>
  <c r="A83" i="5"/>
  <c r="V9" i="29"/>
  <c r="Z9" i="29"/>
  <c r="Y9" i="29"/>
  <c r="Z12" i="29"/>
  <c r="X80" i="29"/>
  <c r="Y89" i="29"/>
  <c r="V89" i="29"/>
  <c r="Z89" i="29"/>
  <c r="X95" i="29"/>
  <c r="Z136" i="29"/>
  <c r="Y165" i="29"/>
  <c r="V212" i="29"/>
  <c r="V231" i="29"/>
  <c r="X243" i="29"/>
  <c r="V256" i="29"/>
  <c r="Z292" i="29"/>
  <c r="X316" i="29"/>
  <c r="Z316" i="29"/>
  <c r="V316" i="29"/>
  <c r="Y316" i="29"/>
  <c r="V8" i="29"/>
  <c r="A63" i="26"/>
  <c r="A98" i="26" s="1"/>
  <c r="A133" i="26" s="1"/>
  <c r="A168" i="26" s="1"/>
  <c r="A203" i="26" s="1"/>
  <c r="F7" i="34"/>
  <c r="F7" i="5"/>
  <c r="BD17" i="34"/>
  <c r="BD17" i="5"/>
  <c r="F24" i="34"/>
  <c r="F24" i="5"/>
  <c r="BF38" i="34"/>
  <c r="F99" i="25"/>
  <c r="BF38" i="5"/>
  <c r="BF53" i="34"/>
  <c r="F114" i="25"/>
  <c r="BF53" i="5"/>
  <c r="D58" i="34"/>
  <c r="D89" i="25"/>
  <c r="D58" i="5"/>
  <c r="Y21" i="29"/>
  <c r="V25" i="29"/>
  <c r="Z25" i="29"/>
  <c r="Z28" i="29"/>
  <c r="Y57" i="29"/>
  <c r="AA64" i="29"/>
  <c r="X67" i="29"/>
  <c r="Z92" i="29"/>
  <c r="V196" i="29"/>
  <c r="X221" i="29"/>
  <c r="X233" i="29"/>
  <c r="U233" i="29"/>
  <c r="Y233" i="29"/>
  <c r="Z236" i="29"/>
  <c r="Y249" i="29"/>
  <c r="Z268" i="29"/>
  <c r="W281" i="29"/>
  <c r="AA291" i="29"/>
  <c r="BD3" i="34"/>
  <c r="BD3" i="5"/>
  <c r="BF4" i="34"/>
  <c r="BF4" i="5"/>
  <c r="BF5" i="34"/>
  <c r="BF5" i="5"/>
  <c r="BF6" i="34"/>
  <c r="BF6" i="5"/>
  <c r="BD14" i="34"/>
  <c r="BD14" i="5"/>
  <c r="BF15" i="34"/>
  <c r="BF15" i="5"/>
  <c r="BF16" i="34"/>
  <c r="BF16" i="5"/>
  <c r="D23" i="5"/>
  <c r="D23" i="34"/>
  <c r="BD25" i="34"/>
  <c r="BD25" i="5"/>
  <c r="BF26" i="34"/>
  <c r="BF26" i="5"/>
  <c r="D64" i="25"/>
  <c r="D33" i="34"/>
  <c r="D33" i="5"/>
  <c r="BF35" i="34"/>
  <c r="F96" i="25"/>
  <c r="BF35" i="5"/>
  <c r="D37" i="34"/>
  <c r="D37" i="5"/>
  <c r="D68" i="25"/>
  <c r="F69" i="25"/>
  <c r="F38" i="34"/>
  <c r="F38" i="5"/>
  <c r="BF45" i="34"/>
  <c r="F106" i="25"/>
  <c r="BF45" i="5"/>
  <c r="F48" i="34"/>
  <c r="F79" i="25"/>
  <c r="F48" i="5"/>
  <c r="BD53" i="34"/>
  <c r="D114" i="25"/>
  <c r="BD53" i="5"/>
  <c r="BD57" i="34"/>
  <c r="D118" i="25"/>
  <c r="BD57" i="5"/>
  <c r="B13" i="28"/>
  <c r="B13" i="3"/>
  <c r="BB43" i="3"/>
  <c r="BB43" i="28"/>
  <c r="BB5" i="3"/>
  <c r="BB5" i="28"/>
  <c r="B58" i="3"/>
  <c r="B58" i="28"/>
  <c r="U2" i="29"/>
  <c r="W76" i="29"/>
  <c r="W92" i="29"/>
  <c r="X98" i="29"/>
  <c r="X129" i="29"/>
  <c r="X145" i="29"/>
  <c r="W159" i="29"/>
  <c r="V160" i="29"/>
  <c r="W163" i="29"/>
  <c r="W179" i="29"/>
  <c r="W191" i="29"/>
  <c r="V192" i="29"/>
  <c r="W195" i="29"/>
  <c r="X222" i="29"/>
  <c r="U292" i="29"/>
  <c r="U309" i="29"/>
  <c r="Z319" i="29"/>
  <c r="Y319" i="29"/>
  <c r="AA319" i="29"/>
  <c r="X319" i="29"/>
  <c r="W319" i="29"/>
  <c r="B319" i="29" s="1"/>
  <c r="X326" i="29"/>
  <c r="B326" i="29"/>
  <c r="X373" i="29"/>
  <c r="Y376" i="29"/>
  <c r="V396" i="29"/>
  <c r="X437" i="29"/>
  <c r="Z449" i="29"/>
  <c r="X293" i="29"/>
  <c r="W293" i="29"/>
  <c r="X367" i="29"/>
  <c r="W367" i="29"/>
  <c r="X389" i="29"/>
  <c r="AA446" i="29"/>
  <c r="Y446" i="29"/>
  <c r="C4" i="34"/>
  <c r="C4" i="5"/>
  <c r="BF3" i="34"/>
  <c r="BF3" i="5"/>
  <c r="F8" i="34"/>
  <c r="F8" i="5"/>
  <c r="BF13" i="34"/>
  <c r="BF13" i="5"/>
  <c r="F18" i="34"/>
  <c r="F18" i="5"/>
  <c r="D28" i="34"/>
  <c r="D28" i="5"/>
  <c r="BF34" i="34"/>
  <c r="F95" i="25"/>
  <c r="BF34" i="5"/>
  <c r="D105" i="25"/>
  <c r="BD44" i="34"/>
  <c r="BD44" i="5"/>
  <c r="D47" i="34"/>
  <c r="D78" i="25"/>
  <c r="D47" i="5"/>
  <c r="D55" i="34"/>
  <c r="D55" i="5"/>
  <c r="D86" i="25"/>
  <c r="BD56" i="34"/>
  <c r="D117" i="25"/>
  <c r="BD56" i="5"/>
  <c r="B34" i="3"/>
  <c r="B34" i="28"/>
  <c r="B16" i="28"/>
  <c r="B16" i="3"/>
  <c r="BB35" i="3"/>
  <c r="BB35" i="28"/>
  <c r="B7" i="3"/>
  <c r="B7" i="28"/>
  <c r="W12" i="29"/>
  <c r="W28" i="29"/>
  <c r="B28" i="29" s="1"/>
  <c r="W44" i="29"/>
  <c r="AA60" i="29"/>
  <c r="V69" i="29"/>
  <c r="V85" i="29"/>
  <c r="W96" i="29"/>
  <c r="U107" i="29"/>
  <c r="Z114" i="29"/>
  <c r="Y115" i="29"/>
  <c r="AA175" i="29"/>
  <c r="Y239" i="29"/>
  <c r="V248" i="29"/>
  <c r="Z256" i="29"/>
  <c r="W267" i="29"/>
  <c r="W271" i="29"/>
  <c r="V286" i="29"/>
  <c r="AA293" i="29"/>
  <c r="Y305" i="29"/>
  <c r="AA307" i="29"/>
  <c r="V376" i="29"/>
  <c r="W383" i="29"/>
  <c r="Z384" i="29"/>
  <c r="AA433" i="29"/>
  <c r="W433" i="29"/>
  <c r="B433" i="29"/>
  <c r="Y433" i="29"/>
  <c r="AA444" i="29"/>
  <c r="U444" i="29"/>
  <c r="X487" i="29"/>
  <c r="B487" i="29" s="1"/>
  <c r="U487" i="29"/>
  <c r="C23" i="34"/>
  <c r="C23" i="5"/>
  <c r="C33" i="34"/>
  <c r="C64" i="25"/>
  <c r="C33" i="5"/>
  <c r="C43" i="34"/>
  <c r="C74" i="25"/>
  <c r="C43" i="5"/>
  <c r="C84" i="25"/>
  <c r="C53" i="34"/>
  <c r="C53" i="5"/>
  <c r="C63" i="34"/>
  <c r="C124" i="25"/>
  <c r="C63" i="5"/>
  <c r="C75" i="34"/>
  <c r="C148" i="25"/>
  <c r="C75" i="5"/>
  <c r="D67" i="25"/>
  <c r="D36" i="34"/>
  <c r="D36" i="5"/>
  <c r="BD43" i="34"/>
  <c r="D104" i="25"/>
  <c r="BD43" i="5"/>
  <c r="BF44" i="34"/>
  <c r="F105" i="25"/>
  <c r="BF44" i="5"/>
  <c r="F47" i="34"/>
  <c r="F47" i="5"/>
  <c r="F78" i="25"/>
  <c r="BD48" i="34"/>
  <c r="BD48" i="5"/>
  <c r="D109" i="25"/>
  <c r="F55" i="34"/>
  <c r="F86" i="25"/>
  <c r="F55" i="5"/>
  <c r="F117" i="25"/>
  <c r="BF56" i="34"/>
  <c r="BF56" i="5"/>
  <c r="B3" i="3"/>
  <c r="B3" i="28"/>
  <c r="B24" i="3"/>
  <c r="B24" i="28"/>
  <c r="BB54" i="28"/>
  <c r="BB54" i="3"/>
  <c r="BB44" i="3"/>
  <c r="BB44" i="28"/>
  <c r="BB15" i="3"/>
  <c r="BB15" i="28"/>
  <c r="B35" i="28"/>
  <c r="B35" i="3"/>
  <c r="BB7" i="28"/>
  <c r="BB7" i="3"/>
  <c r="B38" i="3"/>
  <c r="B38" i="28"/>
  <c r="B63" i="28"/>
  <c r="B63" i="3"/>
  <c r="B69" i="28"/>
  <c r="B69" i="3"/>
  <c r="B75" i="3"/>
  <c r="B75" i="28"/>
  <c r="AA12" i="29"/>
  <c r="V21" i="29"/>
  <c r="AA28" i="29"/>
  <c r="V37" i="29"/>
  <c r="AA44" i="29"/>
  <c r="V53" i="29"/>
  <c r="W64" i="29"/>
  <c r="W80" i="29"/>
  <c r="X107" i="29"/>
  <c r="Z107" i="29"/>
  <c r="Z116" i="29"/>
  <c r="U153" i="29"/>
  <c r="X175" i="29"/>
  <c r="Y176" i="29"/>
  <c r="U185" i="29"/>
  <c r="U211" i="29"/>
  <c r="Y229" i="29"/>
  <c r="Y231" i="29"/>
  <c r="Z248" i="29"/>
  <c r="AA255" i="29"/>
  <c r="X267" i="29"/>
  <c r="AA267" i="29"/>
  <c r="X269" i="29"/>
  <c r="AA286" i="29"/>
  <c r="V332" i="29"/>
  <c r="Y332" i="29"/>
  <c r="X332" i="29"/>
  <c r="Z336" i="29"/>
  <c r="X336" i="29"/>
  <c r="V336" i="29"/>
  <c r="X346" i="29"/>
  <c r="Z474" i="29"/>
  <c r="U483" i="29"/>
  <c r="BB24" i="28"/>
  <c r="BB24" i="3"/>
  <c r="BB25" i="3"/>
  <c r="BB25" i="28"/>
  <c r="B28" i="3"/>
  <c r="B28" i="28"/>
  <c r="BB57" i="28"/>
  <c r="BB57" i="3"/>
  <c r="V5" i="29"/>
  <c r="X12" i="29"/>
  <c r="W16" i="29"/>
  <c r="Z21" i="29"/>
  <c r="X28" i="29"/>
  <c r="W32" i="29"/>
  <c r="Z37" i="29"/>
  <c r="X44" i="29"/>
  <c r="Z53" i="29"/>
  <c r="W105" i="29"/>
  <c r="Z108" i="29"/>
  <c r="Z164" i="29"/>
  <c r="U169" i="29"/>
  <c r="Z180" i="29"/>
  <c r="Z196" i="29"/>
  <c r="U201" i="29"/>
  <c r="B201" i="29"/>
  <c r="X211" i="29"/>
  <c r="U237" i="29"/>
  <c r="W243" i="29"/>
  <c r="U261" i="29"/>
  <c r="B261" i="29" s="1"/>
  <c r="X268" i="29"/>
  <c r="B268" i="29" s="1"/>
  <c r="V280" i="29"/>
  <c r="W298" i="29"/>
  <c r="X318" i="29"/>
  <c r="X342" i="29"/>
  <c r="B342" i="29"/>
  <c r="X378" i="29"/>
  <c r="Y448" i="29"/>
  <c r="W477" i="29"/>
  <c r="AA477" i="29"/>
  <c r="B65" i="28"/>
  <c r="B65" i="3"/>
  <c r="B70" i="3"/>
  <c r="B70" i="28"/>
  <c r="B77" i="3"/>
  <c r="B77" i="28"/>
  <c r="Z5" i="29"/>
  <c r="Z228" i="29"/>
  <c r="W235" i="29"/>
  <c r="V236" i="29"/>
  <c r="X279" i="29"/>
  <c r="U279" i="29"/>
  <c r="U297" i="29"/>
  <c r="Y297" i="29"/>
  <c r="Y304" i="29"/>
  <c r="V304" i="29"/>
  <c r="W307" i="29"/>
  <c r="Z335" i="29"/>
  <c r="Z383" i="29"/>
  <c r="X383" i="29"/>
  <c r="X426" i="29"/>
  <c r="Z426" i="29"/>
  <c r="V426" i="29"/>
  <c r="B426" i="29" s="1"/>
  <c r="Y426" i="29"/>
  <c r="D4" i="34"/>
  <c r="D4" i="5"/>
  <c r="F5" i="34"/>
  <c r="F5" i="5"/>
  <c r="D6" i="34"/>
  <c r="D6" i="5"/>
  <c r="BF8" i="34"/>
  <c r="BF8" i="5"/>
  <c r="D14" i="34"/>
  <c r="D14" i="5"/>
  <c r="F17" i="34"/>
  <c r="F17" i="5"/>
  <c r="BD23" i="34"/>
  <c r="BD23" i="5"/>
  <c r="F26" i="34"/>
  <c r="F26" i="5"/>
  <c r="BD28" i="34"/>
  <c r="BD28" i="5"/>
  <c r="BD37" i="34"/>
  <c r="BD37" i="5"/>
  <c r="D98" i="25"/>
  <c r="D76" i="25"/>
  <c r="D45" i="34"/>
  <c r="D45" i="5"/>
  <c r="F77" i="25"/>
  <c r="F46" i="34"/>
  <c r="F46" i="5"/>
  <c r="BD47" i="34"/>
  <c r="D108" i="25"/>
  <c r="BD47" i="5"/>
  <c r="F54" i="34"/>
  <c r="F85" i="25"/>
  <c r="F54" i="5"/>
  <c r="D116" i="25"/>
  <c r="BD55" i="34"/>
  <c r="BD55" i="5"/>
  <c r="D57" i="34"/>
  <c r="D88" i="25"/>
  <c r="D57" i="5"/>
  <c r="B4" i="3"/>
  <c r="B4" i="28"/>
  <c r="BB16" i="3"/>
  <c r="BB16" i="28"/>
  <c r="BB8" i="3"/>
  <c r="BB8" i="28"/>
  <c r="X16" i="29"/>
  <c r="X32" i="29"/>
  <c r="X48" i="29"/>
  <c r="AA163" i="29"/>
  <c r="AA179" i="29"/>
  <c r="AA195" i="29"/>
  <c r="X235" i="29"/>
  <c r="AA235" i="29"/>
  <c r="Y255" i="29"/>
  <c r="AA281" i="29"/>
  <c r="W311" i="29"/>
  <c r="X362" i="29"/>
  <c r="Y401" i="29"/>
  <c r="X407" i="29"/>
  <c r="Y423" i="29"/>
  <c r="X454" i="29"/>
  <c r="W489" i="29"/>
  <c r="X492" i="29"/>
  <c r="B492" i="29"/>
  <c r="B48" i="28"/>
  <c r="B48" i="3"/>
  <c r="BB38" i="28"/>
  <c r="B66" i="3"/>
  <c r="B66" i="28"/>
  <c r="B72" i="3"/>
  <c r="B72" i="28"/>
  <c r="B78" i="3"/>
  <c r="B78" i="28"/>
  <c r="W106" i="29"/>
  <c r="Y113" i="29"/>
  <c r="X236" i="29"/>
  <c r="V264" i="29"/>
  <c r="AA279" i="29"/>
  <c r="Z300" i="29"/>
  <c r="X300" i="29"/>
  <c r="U300" i="29"/>
  <c r="X307" i="29"/>
  <c r="Y325" i="29"/>
  <c r="U345" i="29"/>
  <c r="V348" i="29"/>
  <c r="Y348" i="29"/>
  <c r="X348" i="29"/>
  <c r="Z352" i="29"/>
  <c r="X355" i="29"/>
  <c r="U355" i="29"/>
  <c r="AA355" i="29"/>
  <c r="X358" i="29"/>
  <c r="X371" i="29"/>
  <c r="W371" i="29"/>
  <c r="AA371" i="29"/>
  <c r="X423" i="29"/>
  <c r="U423" i="29"/>
  <c r="B423" i="29" s="1"/>
  <c r="X479" i="29"/>
  <c r="Y482" i="29"/>
  <c r="Z295" i="29"/>
  <c r="Y345" i="29"/>
  <c r="X345" i="29"/>
  <c r="U377" i="29"/>
  <c r="Y463" i="29"/>
  <c r="Y489" i="29"/>
  <c r="BC13" i="34"/>
  <c r="BC13" i="5"/>
  <c r="BC23" i="34"/>
  <c r="BC23" i="5"/>
  <c r="C94" i="25"/>
  <c r="BC33" i="34"/>
  <c r="BC33" i="5"/>
  <c r="C104" i="25"/>
  <c r="BC43" i="34"/>
  <c r="BC43" i="5"/>
  <c r="BC53" i="34"/>
  <c r="C114" i="25"/>
  <c r="BC53" i="5"/>
  <c r="C136" i="25"/>
  <c r="C69" i="34"/>
  <c r="C69" i="5"/>
  <c r="D65" i="25"/>
  <c r="D34" i="34"/>
  <c r="D34" i="5"/>
  <c r="F97" i="25"/>
  <c r="BF36" i="34"/>
  <c r="BF36" i="5"/>
  <c r="D43" i="34"/>
  <c r="D74" i="25"/>
  <c r="D43" i="5"/>
  <c r="BD46" i="34"/>
  <c r="D107" i="25"/>
  <c r="BD46" i="5"/>
  <c r="BF58" i="34"/>
  <c r="F119" i="25"/>
  <c r="BF58" i="5"/>
  <c r="BB3" i="3"/>
  <c r="BB3" i="28"/>
  <c r="BB23" i="28"/>
  <c r="BB23" i="3"/>
  <c r="B25" i="3"/>
  <c r="B25" i="28"/>
  <c r="BB6" i="3"/>
  <c r="BB6" i="28"/>
  <c r="BB46" i="28"/>
  <c r="BB46" i="3"/>
  <c r="B18" i="3"/>
  <c r="B18" i="28"/>
  <c r="B57" i="28"/>
  <c r="B57" i="3"/>
  <c r="BB37" i="28"/>
  <c r="BB37" i="3"/>
  <c r="B64" i="3"/>
  <c r="B64" i="28"/>
  <c r="B71" i="3"/>
  <c r="B71" i="28"/>
  <c r="B76" i="28"/>
  <c r="B76" i="3"/>
  <c r="V296" i="29"/>
  <c r="Z320" i="29"/>
  <c r="Y351" i="29"/>
  <c r="W387" i="29"/>
  <c r="U393" i="29"/>
  <c r="B393" i="29"/>
  <c r="AA438" i="29"/>
  <c r="W444" i="29"/>
  <c r="BD5" i="34"/>
  <c r="BD5" i="5"/>
  <c r="F13" i="34"/>
  <c r="F13" i="5"/>
  <c r="BF17" i="34"/>
  <c r="BF17" i="5"/>
  <c r="D24" i="5"/>
  <c r="D24" i="34"/>
  <c r="BD27" i="34"/>
  <c r="BD27" i="5"/>
  <c r="F34" i="34"/>
  <c r="F34" i="5"/>
  <c r="F65" i="25"/>
  <c r="F43" i="34"/>
  <c r="F74" i="25"/>
  <c r="F43" i="5"/>
  <c r="BF46" i="34"/>
  <c r="F107" i="25"/>
  <c r="BF46" i="5"/>
  <c r="BD54" i="34"/>
  <c r="D115" i="25"/>
  <c r="BD54" i="5"/>
  <c r="D56" i="34"/>
  <c r="D87" i="25"/>
  <c r="D56" i="5"/>
  <c r="B23" i="28"/>
  <c r="B23" i="3"/>
  <c r="B56" i="28"/>
  <c r="B56" i="3"/>
  <c r="B47" i="28"/>
  <c r="B47" i="3"/>
  <c r="W294" i="29"/>
  <c r="Y300" i="29"/>
  <c r="Y313" i="29"/>
  <c r="B313" i="29" s="1"/>
  <c r="X313" i="29"/>
  <c r="U313" i="29"/>
  <c r="V320" i="29"/>
  <c r="X323" i="29"/>
  <c r="W361" i="29"/>
  <c r="B361" i="29"/>
  <c r="Z364" i="29"/>
  <c r="X387" i="29"/>
  <c r="AA403" i="29"/>
  <c r="X406" i="29"/>
  <c r="Y409" i="29"/>
  <c r="X428" i="29"/>
  <c r="Y431" i="29"/>
  <c r="X447" i="29"/>
  <c r="Z447" i="29"/>
  <c r="AA379" i="29"/>
  <c r="AA387" i="29"/>
  <c r="U389" i="29"/>
  <c r="V410" i="29"/>
  <c r="Z417" i="29"/>
  <c r="Z451" i="29"/>
  <c r="B451" i="29"/>
  <c r="AA469" i="29"/>
  <c r="X471" i="29"/>
  <c r="BC4" i="34"/>
  <c r="BC4" i="5"/>
  <c r="C14" i="34"/>
  <c r="C14" i="5"/>
  <c r="BC14" i="34"/>
  <c r="BC14" i="5"/>
  <c r="C24" i="34"/>
  <c r="C24" i="5"/>
  <c r="BC24" i="34"/>
  <c r="BC24" i="5"/>
  <c r="C34" i="34"/>
  <c r="C65" i="25"/>
  <c r="C34" i="5"/>
  <c r="BC34" i="34"/>
  <c r="C95" i="25"/>
  <c r="BC34" i="5"/>
  <c r="C44" i="34"/>
  <c r="C75" i="25"/>
  <c r="C44" i="5"/>
  <c r="BC44" i="34"/>
  <c r="C105" i="25"/>
  <c r="BC44" i="5"/>
  <c r="C85" i="25"/>
  <c r="C54" i="34"/>
  <c r="C54" i="5"/>
  <c r="BC54" i="34"/>
  <c r="C115" i="25"/>
  <c r="BC54" i="5"/>
  <c r="C126" i="25"/>
  <c r="C64" i="34"/>
  <c r="C64" i="5"/>
  <c r="C138" i="25"/>
  <c r="C70" i="34"/>
  <c r="C70" i="5"/>
  <c r="C150" i="25"/>
  <c r="C76" i="34"/>
  <c r="C76" i="5"/>
  <c r="W354" i="29"/>
  <c r="AA363" i="29"/>
  <c r="U373" i="29"/>
  <c r="B373" i="29"/>
  <c r="Z396" i="29"/>
  <c r="AA399" i="29"/>
  <c r="X409" i="29"/>
  <c r="Z409" i="29"/>
  <c r="W411" i="29"/>
  <c r="X415" i="29"/>
  <c r="V417" i="29"/>
  <c r="U431" i="29"/>
  <c r="X438" i="29"/>
  <c r="U438" i="29"/>
  <c r="X444" i="29"/>
  <c r="X449" i="29"/>
  <c r="B449" i="29"/>
  <c r="AA454" i="29"/>
  <c r="Y471" i="29"/>
  <c r="AA489" i="29"/>
  <c r="C5" i="34"/>
  <c r="C5" i="5"/>
  <c r="BC5" i="34"/>
  <c r="BC5" i="5"/>
  <c r="AA311" i="29"/>
  <c r="AA357" i="29"/>
  <c r="Y364" i="29"/>
  <c r="V392" i="29"/>
  <c r="W429" i="29"/>
  <c r="V430" i="29"/>
  <c r="Z438" i="29"/>
  <c r="AA461" i="29"/>
  <c r="V482" i="29"/>
  <c r="B482" i="29" s="1"/>
  <c r="C15" i="34"/>
  <c r="C15" i="5"/>
  <c r="BC15" i="34"/>
  <c r="BC15" i="5"/>
  <c r="C25" i="34"/>
  <c r="C25" i="5"/>
  <c r="BC25" i="34"/>
  <c r="BC25" i="5"/>
  <c r="C35" i="34"/>
  <c r="C66" i="25"/>
  <c r="C35" i="5"/>
  <c r="C96" i="25"/>
  <c r="BC35" i="34"/>
  <c r="BC35" i="5"/>
  <c r="C76" i="25"/>
  <c r="C45" i="34"/>
  <c r="C45" i="5"/>
  <c r="BC45" i="34"/>
  <c r="C106" i="25"/>
  <c r="BC45" i="5"/>
  <c r="C55" i="34"/>
  <c r="C86" i="25"/>
  <c r="C55" i="5"/>
  <c r="C116" i="25"/>
  <c r="BC55" i="34"/>
  <c r="BC55" i="5"/>
  <c r="C128" i="25"/>
  <c r="C65" i="34"/>
  <c r="C65" i="5"/>
  <c r="C71" i="34"/>
  <c r="C140" i="25"/>
  <c r="C71" i="5"/>
  <c r="C152" i="25"/>
  <c r="C77" i="34"/>
  <c r="C77" i="5"/>
  <c r="Z392" i="29"/>
  <c r="W403" i="29"/>
  <c r="AA421" i="29"/>
  <c r="X429" i="29"/>
  <c r="AA429" i="29"/>
  <c r="X431" i="29"/>
  <c r="B431" i="29" s="1"/>
  <c r="W436" i="29"/>
  <c r="W440" i="29"/>
  <c r="W458" i="29"/>
  <c r="U463" i="29"/>
  <c r="AA473" i="29"/>
  <c r="Z482" i="29"/>
  <c r="C6" i="34"/>
  <c r="C6" i="5"/>
  <c r="BC6" i="34"/>
  <c r="BC6" i="5"/>
  <c r="C16" i="34"/>
  <c r="C16" i="5"/>
  <c r="BC16" i="34"/>
  <c r="BC16" i="5"/>
  <c r="C26" i="5"/>
  <c r="C26" i="34"/>
  <c r="BC26" i="34"/>
  <c r="BC26" i="5"/>
  <c r="C36" i="34"/>
  <c r="C67" i="25"/>
  <c r="C36" i="5"/>
  <c r="C97" i="25"/>
  <c r="BC36" i="34"/>
  <c r="BC36" i="5"/>
  <c r="C77" i="25"/>
  <c r="C46" i="34"/>
  <c r="C46" i="5"/>
  <c r="C107" i="25"/>
  <c r="BC46" i="34"/>
  <c r="BC46" i="5"/>
  <c r="C87" i="25"/>
  <c r="C56" i="34"/>
  <c r="C56" i="5"/>
  <c r="BC56" i="34"/>
  <c r="C117" i="25"/>
  <c r="BC56" i="5"/>
  <c r="C66" i="34"/>
  <c r="C130" i="25"/>
  <c r="C66" i="5"/>
  <c r="C142" i="25"/>
  <c r="C72" i="34"/>
  <c r="C72" i="5"/>
  <c r="C78" i="34"/>
  <c r="C154" i="25"/>
  <c r="C78" i="5"/>
  <c r="U329" i="29"/>
  <c r="X335" i="29"/>
  <c r="AA335" i="29"/>
  <c r="W350" i="29"/>
  <c r="B350" i="29"/>
  <c r="W357" i="29"/>
  <c r="AA367" i="29"/>
  <c r="Z376" i="29"/>
  <c r="X403" i="29"/>
  <c r="Y429" i="29"/>
  <c r="X436" i="29"/>
  <c r="B436" i="29" s="1"/>
  <c r="W438" i="29"/>
  <c r="X458" i="29"/>
  <c r="X463" i="29"/>
  <c r="V466" i="29"/>
  <c r="C7" i="34"/>
  <c r="C7" i="5"/>
  <c r="BC7" i="34"/>
  <c r="BC7" i="5"/>
  <c r="C17" i="34"/>
  <c r="C17" i="5"/>
  <c r="BC17" i="34"/>
  <c r="BC17" i="5"/>
  <c r="C27" i="34"/>
  <c r="C27" i="5"/>
  <c r="BC27" i="34"/>
  <c r="BC27" i="5"/>
  <c r="C37" i="34"/>
  <c r="C68" i="25"/>
  <c r="C37" i="5"/>
  <c r="BC37" i="34"/>
  <c r="C98" i="25"/>
  <c r="BC37" i="5"/>
  <c r="C47" i="34"/>
  <c r="C78" i="25"/>
  <c r="C47" i="5"/>
  <c r="BC47" i="34"/>
  <c r="C108" i="25"/>
  <c r="BC47" i="5"/>
  <c r="C88" i="25"/>
  <c r="C57" i="34"/>
  <c r="C57" i="5"/>
  <c r="BC57" i="34"/>
  <c r="C118" i="25"/>
  <c r="BC57" i="5"/>
  <c r="C132" i="25"/>
  <c r="C67" i="34"/>
  <c r="C67" i="5"/>
  <c r="C144" i="25"/>
  <c r="C73" i="34"/>
  <c r="C73" i="5"/>
  <c r="C158" i="25"/>
  <c r="C82" i="34"/>
  <c r="C82" i="5"/>
  <c r="AA323" i="29"/>
  <c r="Y335" i="29"/>
  <c r="C8" i="34"/>
  <c r="C8" i="5"/>
  <c r="BC8" i="34"/>
  <c r="BC8" i="5"/>
  <c r="C3" i="34"/>
  <c r="C3" i="5"/>
  <c r="C18" i="34"/>
  <c r="C18" i="5"/>
  <c r="BC18" i="34"/>
  <c r="BC18" i="5"/>
  <c r="C28" i="5"/>
  <c r="C28" i="34"/>
  <c r="BC28" i="34"/>
  <c r="BC28" i="5"/>
  <c r="C38" i="34"/>
  <c r="C69" i="25"/>
  <c r="C38" i="5"/>
  <c r="C99" i="25"/>
  <c r="BC38" i="34"/>
  <c r="BC38" i="5"/>
  <c r="C79" i="25"/>
  <c r="C48" i="34"/>
  <c r="C48" i="5"/>
  <c r="BC48" i="34"/>
  <c r="C109" i="25"/>
  <c r="BC48" i="5"/>
  <c r="C89" i="25"/>
  <c r="C58" i="34"/>
  <c r="C58" i="5"/>
  <c r="C119" i="25"/>
  <c r="BC58" i="34"/>
  <c r="BC58" i="5"/>
  <c r="C68" i="34"/>
  <c r="C134" i="25"/>
  <c r="C68" i="5"/>
  <c r="C146" i="25"/>
  <c r="C74" i="34"/>
  <c r="C74" i="5"/>
  <c r="BC3" i="34"/>
  <c r="BC3" i="5"/>
  <c r="C13" i="34"/>
  <c r="C13" i="5"/>
  <c r="B47" i="34"/>
  <c r="B78" i="25"/>
  <c r="B146" i="25"/>
  <c r="B74" i="34"/>
  <c r="B74" i="5"/>
  <c r="BB16" i="5"/>
  <c r="B47" i="25"/>
  <c r="B138" i="25"/>
  <c r="B70" i="5"/>
  <c r="B8" i="34"/>
  <c r="B8" i="5"/>
  <c r="B9" i="25"/>
  <c r="BB14" i="34"/>
  <c r="BB14" i="5"/>
  <c r="B45" i="25"/>
  <c r="B76" i="34"/>
  <c r="B76" i="5"/>
  <c r="B88" i="25"/>
  <c r="B57" i="34"/>
  <c r="B25" i="34"/>
  <c r="B26" i="25"/>
  <c r="B48" i="29"/>
  <c r="B27" i="34"/>
  <c r="B28" i="25"/>
  <c r="B6" i="25"/>
  <c r="B36" i="34"/>
  <c r="B67" i="25"/>
  <c r="B36" i="5"/>
  <c r="BB57" i="34"/>
  <c r="B118" i="25"/>
  <c r="BB57" i="5"/>
  <c r="B87" i="25"/>
  <c r="B56" i="34"/>
  <c r="B56" i="5"/>
  <c r="B142" i="25"/>
  <c r="B72" i="34"/>
  <c r="B124" i="25"/>
  <c r="B63" i="5"/>
  <c r="B7" i="34"/>
  <c r="B7" i="5"/>
  <c r="B8" i="25"/>
  <c r="BB5" i="34"/>
  <c r="BB5" i="5"/>
  <c r="B36" i="25"/>
  <c r="B67" i="34"/>
  <c r="B132" i="25"/>
  <c r="B67" i="5"/>
  <c r="B134" i="25"/>
  <c r="B68" i="34"/>
  <c r="B68" i="5"/>
  <c r="BB56" i="34"/>
  <c r="B117" i="25"/>
  <c r="BB56" i="5"/>
  <c r="B33" i="34"/>
  <c r="B64" i="25"/>
  <c r="B33" i="5"/>
  <c r="A87" i="28"/>
  <c r="C87" i="28" s="1"/>
  <c r="B22" i="29"/>
  <c r="B4" i="34"/>
  <c r="B4" i="5"/>
  <c r="B5" i="25"/>
  <c r="B65" i="5"/>
  <c r="B28" i="34"/>
  <c r="B28" i="5"/>
  <c r="B29" i="25"/>
  <c r="BB15" i="34"/>
  <c r="B46" i="25"/>
  <c r="B3" i="34"/>
  <c r="B4" i="25"/>
  <c r="B26" i="34"/>
  <c r="B26" i="5"/>
  <c r="B27" i="25"/>
  <c r="B154" i="25"/>
  <c r="B78" i="34"/>
  <c r="B78" i="5"/>
  <c r="B140" i="25"/>
  <c r="B71" i="34"/>
  <c r="B383" i="29"/>
  <c r="BB47" i="5"/>
  <c r="B15" i="25"/>
  <c r="BB27" i="5"/>
  <c r="B17" i="34"/>
  <c r="B17" i="5"/>
  <c r="B18" i="25"/>
  <c r="B37" i="34"/>
  <c r="B68" i="25"/>
  <c r="B37" i="5"/>
  <c r="B23" i="34"/>
  <c r="B24" i="25"/>
  <c r="B18" i="34"/>
  <c r="B18" i="5"/>
  <c r="B19" i="25"/>
  <c r="B130" i="25"/>
  <c r="BB25" i="34"/>
  <c r="BB25" i="5"/>
  <c r="B56" i="25"/>
  <c r="B38" i="34"/>
  <c r="B69" i="25"/>
  <c r="B38" i="5"/>
  <c r="BB44" i="34"/>
  <c r="B105" i="25"/>
  <c r="BB44" i="5"/>
  <c r="BB35" i="34"/>
  <c r="BB35" i="5"/>
  <c r="BB43" i="34"/>
  <c r="B104" i="25"/>
  <c r="B109" i="25"/>
  <c r="BB48" i="5"/>
  <c r="B77" i="25"/>
  <c r="B46" i="5"/>
  <c r="B43" i="34"/>
  <c r="B43" i="5"/>
  <c r="AN6" i="6"/>
  <c r="AN7" i="6" s="1"/>
  <c r="AN8" i="6" s="1"/>
  <c r="B24" i="34"/>
  <c r="B24" i="5"/>
  <c r="B25" i="25"/>
  <c r="BB23" i="34"/>
  <c r="BB23" i="5"/>
  <c r="B54" i="25"/>
  <c r="BB28" i="34"/>
  <c r="BB28" i="5"/>
  <c r="B59" i="25"/>
  <c r="BB53" i="34"/>
  <c r="BB53" i="5"/>
  <c r="B114" i="25"/>
  <c r="B32" i="29"/>
  <c r="B183" i="29"/>
  <c r="B69" i="34"/>
  <c r="B69" i="5"/>
  <c r="B34" i="34"/>
  <c r="B34" i="5"/>
  <c r="B65" i="25"/>
  <c r="B447" i="29"/>
  <c r="B126" i="25"/>
  <c r="B64" i="34"/>
  <c r="B64" i="5"/>
  <c r="B107" i="25"/>
  <c r="BB46" i="34"/>
  <c r="BB46" i="5"/>
  <c r="BB3" i="34"/>
  <c r="BB3" i="5"/>
  <c r="B34" i="25"/>
  <c r="B477" i="29"/>
  <c r="BB58" i="34"/>
  <c r="B119" i="25"/>
  <c r="BB58" i="5"/>
  <c r="B76" i="25"/>
  <c r="B45" i="34"/>
  <c r="B45" i="5"/>
  <c r="BB55" i="34"/>
  <c r="B116" i="25"/>
  <c r="BB55" i="5"/>
  <c r="BB45" i="34"/>
  <c r="B106" i="25"/>
  <c r="BB45" i="5"/>
  <c r="BB4" i="34"/>
  <c r="BB4" i="5"/>
  <c r="B35" i="25"/>
  <c r="B35" i="34"/>
  <c r="B66" i="25"/>
  <c r="B35" i="5"/>
  <c r="B89" i="25"/>
  <c r="B58" i="34"/>
  <c r="B58" i="5"/>
  <c r="BB8" i="34"/>
  <c r="BB8" i="5"/>
  <c r="B39" i="25"/>
  <c r="BB24" i="34"/>
  <c r="BB24" i="5"/>
  <c r="B55" i="25"/>
  <c r="BB7" i="34"/>
  <c r="BB7" i="5"/>
  <c r="B38" i="25"/>
  <c r="BB54" i="34"/>
  <c r="B115" i="25"/>
  <c r="BB54" i="5"/>
  <c r="B13" i="34"/>
  <c r="B14" i="25"/>
  <c r="B82" i="34"/>
  <c r="B158" i="25"/>
  <c r="BB17" i="5"/>
  <c r="B48" i="25"/>
  <c r="B6" i="5"/>
  <c r="B152" i="25"/>
  <c r="B77" i="34"/>
  <c r="B77" i="5"/>
  <c r="B75" i="34"/>
  <c r="B148" i="25"/>
  <c r="B75" i="5"/>
  <c r="B16" i="34"/>
  <c r="B16" i="5"/>
  <c r="B17" i="25"/>
  <c r="B97" i="25"/>
  <c r="BB36" i="34"/>
  <c r="BB36" i="5"/>
  <c r="B44" i="34"/>
  <c r="B75" i="25"/>
  <c r="B44" i="5"/>
  <c r="BB18" i="34"/>
  <c r="BB18" i="5"/>
  <c r="B49" i="25"/>
  <c r="BB37" i="34"/>
  <c r="B98" i="25"/>
  <c r="BB37" i="5"/>
  <c r="BB6" i="34"/>
  <c r="BB6" i="5"/>
  <c r="B37" i="25"/>
  <c r="B48" i="34"/>
  <c r="B48" i="5"/>
  <c r="B73" i="34"/>
  <c r="B144" i="25"/>
  <c r="B73" i="5"/>
  <c r="B72" i="29"/>
  <c r="B15" i="34"/>
  <c r="B15" i="5"/>
  <c r="B16" i="25"/>
  <c r="BB26" i="34"/>
  <c r="BB26" i="5"/>
  <c r="B57" i="25"/>
  <c r="A88" i="28"/>
  <c r="A89" i="28" s="1"/>
  <c r="B87" i="28"/>
  <c r="B88" i="28"/>
  <c r="H180" i="25"/>
  <c r="J98" i="25"/>
  <c r="H198" i="25"/>
  <c r="J105" i="25"/>
  <c r="J109" i="25"/>
  <c r="J66" i="25"/>
  <c r="H108" i="25"/>
  <c r="J117" i="25"/>
  <c r="H68" i="25"/>
  <c r="H186" i="25"/>
  <c r="AB32" i="6"/>
  <c r="Z32" i="6" s="1"/>
  <c r="AB31" i="6"/>
  <c r="Z31" i="6"/>
  <c r="H158" i="25"/>
  <c r="J84" i="25"/>
  <c r="H126" i="25"/>
  <c r="AJ31" i="6"/>
  <c r="J114" i="25"/>
  <c r="H146" i="25"/>
  <c r="H193" i="25"/>
  <c r="H134" i="25"/>
  <c r="J99" i="25"/>
  <c r="H65" i="25"/>
  <c r="J116" i="25"/>
  <c r="J106" i="25"/>
  <c r="H85" i="25"/>
  <c r="J96" i="25"/>
  <c r="J75" i="25"/>
  <c r="J78" i="25"/>
  <c r="J88" i="25"/>
  <c r="J89" i="25"/>
  <c r="H144" i="25"/>
  <c r="H105" i="25"/>
  <c r="H95" i="25"/>
  <c r="H170" i="25"/>
  <c r="J65" i="25"/>
  <c r="H97" i="25"/>
  <c r="J85" i="25"/>
  <c r="H130" i="25"/>
  <c r="H116" i="25"/>
  <c r="J94" i="25"/>
  <c r="H79" i="25"/>
  <c r="H89" i="25"/>
  <c r="J119" i="25"/>
  <c r="H69" i="25"/>
  <c r="J104" i="25"/>
  <c r="J134" i="25"/>
  <c r="H166" i="25"/>
  <c r="J79" i="25"/>
  <c r="J74" i="25"/>
  <c r="H77" i="25"/>
  <c r="H136" i="25"/>
  <c r="H109" i="25"/>
  <c r="J77" i="25"/>
  <c r="H99" i="25"/>
  <c r="H119" i="25"/>
  <c r="J67" i="25"/>
  <c r="H152" i="25"/>
  <c r="H178" i="25"/>
  <c r="J86" i="25"/>
  <c r="H88" i="25"/>
  <c r="J136" i="25"/>
  <c r="J178" i="25"/>
  <c r="H115" i="25"/>
  <c r="H66" i="25"/>
  <c r="H78" i="25"/>
  <c r="J118" i="25"/>
  <c r="J158" i="25"/>
  <c r="J124" i="25"/>
  <c r="H104" i="25"/>
  <c r="H74" i="25"/>
  <c r="H114" i="25"/>
  <c r="H176" i="25"/>
  <c r="H148" i="25"/>
  <c r="H124" i="25"/>
  <c r="H64" i="25"/>
  <c r="H162" i="25"/>
  <c r="H140" i="25"/>
  <c r="J140" i="25"/>
  <c r="H142" i="25"/>
  <c r="H128" i="25"/>
  <c r="J128" i="25"/>
  <c r="H154" i="25"/>
  <c r="H182" i="25"/>
  <c r="H96" i="25"/>
  <c r="H76" i="25"/>
  <c r="H86" i="25"/>
  <c r="H107" i="25"/>
  <c r="H87" i="25"/>
  <c r="H117" i="25"/>
  <c r="J64" i="25"/>
  <c r="H106" i="25"/>
  <c r="H160" i="25"/>
  <c r="H84" i="25"/>
  <c r="J166" i="25"/>
  <c r="J142" i="25"/>
  <c r="J160" i="25"/>
  <c r="AY8" i="3" l="1"/>
  <c r="S33" i="2"/>
  <c r="S3" i="2"/>
  <c r="U42" i="2"/>
  <c r="BV42" i="2"/>
  <c r="DB49" i="36"/>
  <c r="U25" i="2"/>
  <c r="V6" i="2"/>
  <c r="T14" i="2"/>
  <c r="BT5" i="2"/>
  <c r="V24" i="2"/>
  <c r="AY8" i="4"/>
  <c r="AY8" i="34"/>
  <c r="AD9" i="25" s="1"/>
  <c r="BS25" i="2"/>
  <c r="V22" i="2"/>
  <c r="BS5" i="2"/>
  <c r="AY8" i="28"/>
  <c r="BU53" i="2"/>
  <c r="BA82" i="28"/>
  <c r="C89" i="28"/>
  <c r="B478" i="29"/>
  <c r="B483" i="29"/>
  <c r="B403" i="29"/>
  <c r="B411" i="29"/>
  <c r="B381" i="29"/>
  <c r="B377" i="29"/>
  <c r="B346" i="29"/>
  <c r="B262" i="29"/>
  <c r="B270" i="29"/>
  <c r="B20" i="29"/>
  <c r="B112" i="29"/>
  <c r="B53" i="2"/>
  <c r="BB33" i="2"/>
  <c r="B54" i="2"/>
  <c r="BB34" i="2"/>
  <c r="BB38" i="3"/>
  <c r="BB38" i="2"/>
  <c r="B83" i="3"/>
  <c r="B83" i="2"/>
  <c r="B83" i="4" s="1"/>
  <c r="W34" i="29"/>
  <c r="X55" i="29"/>
  <c r="V60" i="29"/>
  <c r="W61" i="29"/>
  <c r="T64" i="29"/>
  <c r="V65" i="29"/>
  <c r="AA79" i="29"/>
  <c r="Z80" i="29"/>
  <c r="B80" i="29" s="1"/>
  <c r="W81" i="29"/>
  <c r="V96" i="29"/>
  <c r="X102" i="29"/>
  <c r="W102" i="29"/>
  <c r="B102" i="29" s="1"/>
  <c r="W109" i="29"/>
  <c r="V113" i="29"/>
  <c r="AA114" i="29"/>
  <c r="AA129" i="29"/>
  <c r="AA130" i="29"/>
  <c r="X134" i="29"/>
  <c r="X158" i="29"/>
  <c r="U159" i="29"/>
  <c r="Y160" i="29"/>
  <c r="Y164" i="29"/>
  <c r="W165" i="29"/>
  <c r="B292" i="29"/>
  <c r="B404" i="29"/>
  <c r="B481" i="29"/>
  <c r="B465" i="29"/>
  <c r="B458" i="29"/>
  <c r="B413" i="29"/>
  <c r="B428" i="29"/>
  <c r="B355" i="29"/>
  <c r="B341" i="29"/>
  <c r="B336" i="29"/>
  <c r="B260" i="29"/>
  <c r="C88" i="28"/>
  <c r="B86" i="28"/>
  <c r="B357" i="29"/>
  <c r="B463" i="29"/>
  <c r="B351" i="29"/>
  <c r="B44" i="29"/>
  <c r="B21" i="29"/>
  <c r="B376" i="29"/>
  <c r="B396" i="29"/>
  <c r="B316" i="29"/>
  <c r="B272" i="29"/>
  <c r="B57" i="29"/>
  <c r="B140" i="29"/>
  <c r="BB4" i="28"/>
  <c r="BB14" i="3"/>
  <c r="B285" i="29"/>
  <c r="B197" i="29"/>
  <c r="B456" i="29"/>
  <c r="B464" i="29"/>
  <c r="B460" i="29"/>
  <c r="B472" i="29"/>
  <c r="B488" i="29"/>
  <c r="B453" i="29"/>
  <c r="B375" i="29"/>
  <c r="B347" i="29"/>
  <c r="B315" i="29"/>
  <c r="B307" i="29"/>
  <c r="B402" i="29"/>
  <c r="B400" i="29"/>
  <c r="B334" i="29"/>
  <c r="B314" i="29"/>
  <c r="B305" i="29"/>
  <c r="B304" i="29"/>
  <c r="B293" i="29"/>
  <c r="B401" i="29"/>
  <c r="B398" i="29"/>
  <c r="B233" i="29"/>
  <c r="B181" i="29"/>
  <c r="B179" i="29"/>
  <c r="B322" i="29"/>
  <c r="B276" i="29"/>
  <c r="B249" i="29"/>
  <c r="B236" i="29"/>
  <c r="B210" i="29"/>
  <c r="B103" i="29"/>
  <c r="B46" i="29"/>
  <c r="B356" i="29"/>
  <c r="B138" i="29"/>
  <c r="B338" i="29"/>
  <c r="B42" i="29"/>
  <c r="B43" i="29"/>
  <c r="B83" i="28"/>
  <c r="J98" i="30"/>
  <c r="J102" i="30"/>
  <c r="J107" i="30"/>
  <c r="J114" i="30"/>
  <c r="Y2" i="29"/>
  <c r="Z4" i="29"/>
  <c r="Z17" i="29"/>
  <c r="Y18" i="29"/>
  <c r="X19" i="29"/>
  <c r="Y25" i="29"/>
  <c r="B25" i="29" s="1"/>
  <c r="X27" i="29"/>
  <c r="B27" i="29" s="1"/>
  <c r="AA30" i="29"/>
  <c r="T31" i="29"/>
  <c r="B31" i="29" s="1"/>
  <c r="AA34" i="29"/>
  <c r="W35" i="29"/>
  <c r="Y37" i="29"/>
  <c r="B37" i="29" s="1"/>
  <c r="W38" i="29"/>
  <c r="X47" i="29"/>
  <c r="B47" i="29" s="1"/>
  <c r="Z49" i="29"/>
  <c r="X50" i="29"/>
  <c r="B50" i="29" s="1"/>
  <c r="AA51" i="29"/>
  <c r="T52" i="29"/>
  <c r="X54" i="29"/>
  <c r="U58" i="29"/>
  <c r="B58" i="29" s="1"/>
  <c r="X63" i="29"/>
  <c r="AA66" i="29"/>
  <c r="Y67" i="29"/>
  <c r="V68" i="29"/>
  <c r="AA69" i="29"/>
  <c r="U70" i="29"/>
  <c r="U74" i="29"/>
  <c r="Z75" i="29"/>
  <c r="U76" i="29"/>
  <c r="Y78" i="29"/>
  <c r="T78" i="29"/>
  <c r="Z85" i="29"/>
  <c r="X86" i="29"/>
  <c r="Y94" i="29"/>
  <c r="AA95" i="29"/>
  <c r="AA100" i="29"/>
  <c r="Z101" i="29"/>
  <c r="X141" i="29"/>
  <c r="W143" i="29"/>
  <c r="U145" i="29"/>
  <c r="B145" i="29" s="1"/>
  <c r="AA148" i="29"/>
  <c r="Z150" i="29"/>
  <c r="U151" i="29"/>
  <c r="W188" i="29"/>
  <c r="W189" i="29"/>
  <c r="Z190" i="29"/>
  <c r="W194" i="29"/>
  <c r="W220" i="29"/>
  <c r="T222" i="29"/>
  <c r="Z229" i="29"/>
  <c r="W231" i="29"/>
  <c r="B231" i="29" s="1"/>
  <c r="Z235" i="29"/>
  <c r="Y237" i="29"/>
  <c r="B237" i="29" s="1"/>
  <c r="X240" i="29"/>
  <c r="Z257" i="29"/>
  <c r="AA264" i="29"/>
  <c r="X289" i="29"/>
  <c r="AA297" i="29"/>
  <c r="W343" i="29"/>
  <c r="U348" i="29"/>
  <c r="X353" i="29"/>
  <c r="Z363" i="29"/>
  <c r="AA386" i="29"/>
  <c r="V388" i="29"/>
  <c r="B388" i="29" s="1"/>
  <c r="AA389" i="29"/>
  <c r="B389" i="29" s="1"/>
  <c r="AA408" i="29"/>
  <c r="AA416" i="29"/>
  <c r="U419" i="29"/>
  <c r="X440" i="29"/>
  <c r="B440" i="29" s="1"/>
  <c r="W454" i="29"/>
  <c r="B454" i="29" s="1"/>
  <c r="U471" i="29"/>
  <c r="B471" i="29" s="1"/>
  <c r="X476" i="29"/>
  <c r="B476" i="29" s="1"/>
  <c r="AX33" i="5"/>
  <c r="AX57" i="5"/>
  <c r="AX7" i="34"/>
  <c r="AX14" i="34"/>
  <c r="CX18" i="34"/>
  <c r="AX23" i="34"/>
  <c r="AX26" i="34"/>
  <c r="AX35" i="34"/>
  <c r="AX54" i="34"/>
  <c r="AX4" i="36"/>
  <c r="AX15" i="36"/>
  <c r="CX18" i="36"/>
  <c r="AX24" i="36"/>
  <c r="AX55" i="36"/>
  <c r="AY8" i="5"/>
  <c r="O9" i="25" s="1"/>
  <c r="Y104" i="29"/>
  <c r="T105" i="29"/>
  <c r="AA107" i="29"/>
  <c r="Y108" i="29"/>
  <c r="W115" i="29"/>
  <c r="X116" i="29"/>
  <c r="Z117" i="29"/>
  <c r="W118" i="29"/>
  <c r="T119" i="29"/>
  <c r="Y120" i="29"/>
  <c r="W121" i="29"/>
  <c r="Z122" i="29"/>
  <c r="V126" i="29"/>
  <c r="W128" i="29"/>
  <c r="T132" i="29"/>
  <c r="W133" i="29"/>
  <c r="Z134" i="29"/>
  <c r="T135" i="29"/>
  <c r="Y136" i="29"/>
  <c r="U137" i="29"/>
  <c r="AA139" i="29"/>
  <c r="B139" i="29" s="1"/>
  <c r="W142" i="29"/>
  <c r="Z144" i="29"/>
  <c r="X146" i="29"/>
  <c r="U147" i="29"/>
  <c r="Z152" i="29"/>
  <c r="Z153" i="29"/>
  <c r="W154" i="29"/>
  <c r="V156" i="29"/>
  <c r="X157" i="29"/>
  <c r="V158" i="29"/>
  <c r="AA161" i="29"/>
  <c r="X166" i="29"/>
  <c r="B166" i="29" s="1"/>
  <c r="U167" i="29"/>
  <c r="T168" i="29"/>
  <c r="Y169" i="29"/>
  <c r="Z170" i="29"/>
  <c r="T171" i="29"/>
  <c r="T172" i="29"/>
  <c r="U173" i="29"/>
  <c r="B173" i="29" s="1"/>
  <c r="W175" i="29"/>
  <c r="W177" i="29"/>
  <c r="X182" i="29"/>
  <c r="B182" i="29" s="1"/>
  <c r="Y191" i="29"/>
  <c r="X195" i="29"/>
  <c r="Y196" i="29"/>
  <c r="V198" i="29"/>
  <c r="AA199" i="29"/>
  <c r="AA203" i="29"/>
  <c r="B203" i="29" s="1"/>
  <c r="X208" i="29"/>
  <c r="B208" i="29" s="1"/>
  <c r="AA211" i="29"/>
  <c r="Y212" i="29"/>
  <c r="W213" i="29"/>
  <c r="U215" i="29"/>
  <c r="T216" i="29"/>
  <c r="Y223" i="29"/>
  <c r="B223" i="29" s="1"/>
  <c r="W227" i="29"/>
  <c r="X234" i="29"/>
  <c r="B234" i="29" s="1"/>
  <c r="U241" i="29"/>
  <c r="Z242" i="29"/>
  <c r="Z244" i="29"/>
  <c r="Y245" i="29"/>
  <c r="U245" i="29"/>
  <c r="B245" i="29" s="1"/>
  <c r="X248" i="29"/>
  <c r="B248" i="29" s="1"/>
  <c r="X250" i="29"/>
  <c r="V251" i="29"/>
  <c r="B251" i="29" s="1"/>
  <c r="V252" i="29"/>
  <c r="W253" i="29"/>
  <c r="Z254" i="29"/>
  <c r="Z267" i="29"/>
  <c r="B267" i="29" s="1"/>
  <c r="U269" i="29"/>
  <c r="U273" i="29"/>
  <c r="X274" i="29"/>
  <c r="B274" i="29" s="1"/>
  <c r="Y275" i="29"/>
  <c r="AA277" i="29"/>
  <c r="Y279" i="29"/>
  <c r="Z279" i="29"/>
  <c r="X280" i="29"/>
  <c r="X281" i="29"/>
  <c r="V284" i="29"/>
  <c r="AA284" i="29"/>
  <c r="X286" i="29"/>
  <c r="B286" i="29" s="1"/>
  <c r="W287" i="29"/>
  <c r="B287" i="29" s="1"/>
  <c r="Y288" i="29"/>
  <c r="B288" i="29" s="1"/>
  <c r="X294" i="29"/>
  <c r="B294" i="29" s="1"/>
  <c r="V300" i="29"/>
  <c r="B300" i="29" s="1"/>
  <c r="Z303" i="29"/>
  <c r="B303" i="29" s="1"/>
  <c r="Z308" i="29"/>
  <c r="AA308" i="29"/>
  <c r="Y309" i="29"/>
  <c r="X310" i="29"/>
  <c r="X311" i="29"/>
  <c r="B311" i="29" s="1"/>
  <c r="X320" i="29"/>
  <c r="B320" i="29" s="1"/>
  <c r="Y321" i="29"/>
  <c r="B321" i="29" s="1"/>
  <c r="X329" i="29"/>
  <c r="B329" i="29" s="1"/>
  <c r="X330" i="29"/>
  <c r="W331" i="29"/>
  <c r="U332" i="29"/>
  <c r="Y333" i="29"/>
  <c r="B333" i="29" s="1"/>
  <c r="Y339" i="29"/>
  <c r="Z340" i="29"/>
  <c r="B340" i="29" s="1"/>
  <c r="AA349" i="29"/>
  <c r="B349" i="29" s="1"/>
  <c r="AA353" i="29"/>
  <c r="Z358" i="29"/>
  <c r="Y359" i="29"/>
  <c r="X360" i="29"/>
  <c r="Z362" i="29"/>
  <c r="X365" i="29"/>
  <c r="AA366" i="29"/>
  <c r="Z367" i="29"/>
  <c r="B367" i="29" s="1"/>
  <c r="Z368" i="29"/>
  <c r="B368" i="29" s="1"/>
  <c r="V370" i="29"/>
  <c r="Z371" i="29"/>
  <c r="V372" i="29"/>
  <c r="B372" i="29" s="1"/>
  <c r="Z374" i="29"/>
  <c r="X379" i="29"/>
  <c r="V380" i="29"/>
  <c r="Y392" i="29"/>
  <c r="B392" i="29" s="1"/>
  <c r="X394" i="29"/>
  <c r="B394" i="29" s="1"/>
  <c r="X395" i="29"/>
  <c r="U397" i="29"/>
  <c r="B397" i="29" s="1"/>
  <c r="Y405" i="29"/>
  <c r="B405" i="29" s="1"/>
  <c r="U409" i="29"/>
  <c r="B409" i="29" s="1"/>
  <c r="X410" i="29"/>
  <c r="B410" i="29" s="1"/>
  <c r="Y414" i="29"/>
  <c r="X416" i="29"/>
  <c r="B416" i="29" s="1"/>
  <c r="Y417" i="29"/>
  <c r="B417" i="29" s="1"/>
  <c r="Y434" i="29"/>
  <c r="U435" i="29"/>
  <c r="Y438" i="29"/>
  <c r="Z441" i="29"/>
  <c r="B441" i="29" s="1"/>
  <c r="U452" i="29"/>
  <c r="B452" i="29" s="1"/>
  <c r="Z461" i="29"/>
  <c r="Y466" i="29"/>
  <c r="B466" i="29" s="1"/>
  <c r="X468" i="29"/>
  <c r="B468" i="29" s="1"/>
  <c r="Z470" i="29"/>
  <c r="W473" i="29"/>
  <c r="V474" i="29"/>
  <c r="B474" i="29" s="1"/>
  <c r="U479" i="29"/>
  <c r="Y485" i="29"/>
  <c r="AA485" i="29"/>
  <c r="Z485" i="29"/>
  <c r="Z486" i="29"/>
  <c r="Y486" i="29"/>
  <c r="B486" i="29" s="1"/>
  <c r="Z490" i="29"/>
  <c r="Y491" i="29"/>
  <c r="B491" i="29" s="1"/>
  <c r="AA493" i="29"/>
  <c r="CX44" i="28"/>
  <c r="CX56" i="28"/>
  <c r="C83" i="28"/>
  <c r="A85" i="4"/>
  <c r="B85" i="2"/>
  <c r="B85" i="4" s="1"/>
  <c r="C85" i="2"/>
  <c r="C85" i="4" s="1"/>
  <c r="A84" i="4"/>
  <c r="B84" i="2"/>
  <c r="B84" i="4" s="1"/>
  <c r="C84" i="2"/>
  <c r="J152" i="25"/>
  <c r="K85" i="2"/>
  <c r="AY85" i="36" s="1"/>
  <c r="K73" i="2"/>
  <c r="AY73" i="5" s="1"/>
  <c r="K66" i="2"/>
  <c r="AY66" i="4" s="1"/>
  <c r="J182" i="25"/>
  <c r="CX3" i="28"/>
  <c r="CX17" i="28"/>
  <c r="CX43" i="28"/>
  <c r="CX45" i="28"/>
  <c r="CX55" i="28"/>
  <c r="CX57" i="28"/>
  <c r="CX17" i="3"/>
  <c r="CX43" i="3"/>
  <c r="AX55" i="3"/>
  <c r="S4" i="2"/>
  <c r="S14" i="2"/>
  <c r="AX6" i="28"/>
  <c r="AX38" i="3"/>
  <c r="J144" i="25"/>
  <c r="K74" i="2"/>
  <c r="AY74" i="34" s="1"/>
  <c r="K77" i="2"/>
  <c r="K152" i="25" s="1"/>
  <c r="J170" i="25"/>
  <c r="J188" i="25"/>
  <c r="J162" i="25"/>
  <c r="K88" i="2"/>
  <c r="AY88" i="28" s="1"/>
  <c r="J148" i="25"/>
  <c r="BK89" i="2"/>
  <c r="CY89" i="5" s="1"/>
  <c r="K84" i="2"/>
  <c r="AY84" i="34" s="1"/>
  <c r="BK90" i="2"/>
  <c r="CY90" i="5" s="1"/>
  <c r="K76" i="2"/>
  <c r="AY76" i="5" s="1"/>
  <c r="AX3" i="5"/>
  <c r="AX7" i="5"/>
  <c r="AX14" i="5"/>
  <c r="AX16" i="5"/>
  <c r="CX18" i="5"/>
  <c r="AX23" i="5"/>
  <c r="AX25" i="5"/>
  <c r="AX27" i="5"/>
  <c r="AX34" i="5"/>
  <c r="CX38" i="5"/>
  <c r="AX43" i="5"/>
  <c r="AX47" i="5"/>
  <c r="AX54" i="5"/>
  <c r="AX56" i="5"/>
  <c r="CX58" i="5"/>
  <c r="AX4" i="34"/>
  <c r="AX6" i="34"/>
  <c r="CX8" i="34"/>
  <c r="AX13" i="34"/>
  <c r="AX15" i="34"/>
  <c r="AX17" i="34"/>
  <c r="AX24" i="34"/>
  <c r="CX28" i="34"/>
  <c r="AX33" i="34"/>
  <c r="AX37" i="34"/>
  <c r="AX44" i="34"/>
  <c r="AX46" i="34"/>
  <c r="CX48" i="34"/>
  <c r="AX53" i="34"/>
  <c r="AX55" i="34"/>
  <c r="AX57" i="34"/>
  <c r="AX5" i="36"/>
  <c r="AX7" i="36"/>
  <c r="AX14" i="36"/>
  <c r="AX16" i="36"/>
  <c r="AX23" i="36"/>
  <c r="AX25" i="36"/>
  <c r="AX34" i="36"/>
  <c r="AX45" i="36"/>
  <c r="AX47" i="36"/>
  <c r="AX54" i="36"/>
  <c r="AX56" i="36"/>
  <c r="BT15" i="2"/>
  <c r="BS35" i="2"/>
  <c r="CX36" i="28"/>
  <c r="CX4" i="3"/>
  <c r="J186" i="25"/>
  <c r="DB49" i="3"/>
  <c r="S43" i="2"/>
  <c r="BV32" i="2"/>
  <c r="BV13" i="2"/>
  <c r="AX4" i="28"/>
  <c r="AX18" i="28"/>
  <c r="AX24" i="28"/>
  <c r="AX34" i="28"/>
  <c r="AX36" i="28"/>
  <c r="AX38" i="28"/>
  <c r="AX58" i="28"/>
  <c r="AX6" i="3"/>
  <c r="AX44" i="3"/>
  <c r="AX54" i="3"/>
  <c r="AX4" i="5"/>
  <c r="O5" i="25" s="1"/>
  <c r="AX6" i="5"/>
  <c r="CX8" i="5"/>
  <c r="O39" i="25" s="1"/>
  <c r="AX13" i="5"/>
  <c r="AX15" i="5"/>
  <c r="AX24" i="5"/>
  <c r="O25" i="25" s="1"/>
  <c r="AX26" i="5"/>
  <c r="CX28" i="5"/>
  <c r="O59" i="25" s="1"/>
  <c r="AX35" i="5"/>
  <c r="O66" i="25" s="1"/>
  <c r="AX37" i="5"/>
  <c r="AX44" i="5"/>
  <c r="AX46" i="5"/>
  <c r="O77" i="25" s="1"/>
  <c r="CX48" i="5"/>
  <c r="O109" i="25" s="1"/>
  <c r="AX53" i="5"/>
  <c r="AX55" i="5"/>
  <c r="AX3" i="34"/>
  <c r="AX5" i="34"/>
  <c r="AX16" i="34"/>
  <c r="AX25" i="34"/>
  <c r="AX27" i="34"/>
  <c r="AX34" i="34"/>
  <c r="AX36" i="34"/>
  <c r="CX38" i="34"/>
  <c r="AX43" i="34"/>
  <c r="AX45" i="34"/>
  <c r="AX56" i="34"/>
  <c r="CX58" i="34"/>
  <c r="AX6" i="36"/>
  <c r="CX8" i="36"/>
  <c r="AX13" i="36"/>
  <c r="AX17" i="36"/>
  <c r="AX26" i="36"/>
  <c r="CX28" i="36"/>
  <c r="AX33" i="36"/>
  <c r="AX35" i="36"/>
  <c r="AX37" i="36"/>
  <c r="AX44" i="36"/>
  <c r="AX46" i="36"/>
  <c r="CX48" i="36"/>
  <c r="AX53" i="36"/>
  <c r="AX57" i="36"/>
  <c r="BT54" i="2"/>
  <c r="T25" i="2"/>
  <c r="Z25" i="2" s="1"/>
  <c r="J89" i="4"/>
  <c r="K89" i="2"/>
  <c r="K172" i="25" s="1"/>
  <c r="AI29" i="6"/>
  <c r="AI27" i="6"/>
  <c r="AI25" i="6"/>
  <c r="AI23" i="6"/>
  <c r="AI21" i="6"/>
  <c r="AI19" i="6"/>
  <c r="AI17" i="6"/>
  <c r="AI15" i="6"/>
  <c r="AI7" i="6"/>
  <c r="AI13" i="6"/>
  <c r="AI11" i="6"/>
  <c r="AI9" i="6"/>
  <c r="AI5" i="6"/>
  <c r="AI30" i="6"/>
  <c r="AI28" i="6"/>
  <c r="AI26" i="6"/>
  <c r="AI24" i="6"/>
  <c r="AI22" i="6"/>
  <c r="AI20" i="6"/>
  <c r="AI18" i="6"/>
  <c r="AI16" i="6"/>
  <c r="AI14" i="6"/>
  <c r="AI12" i="6"/>
  <c r="AI10" i="6"/>
  <c r="AI8" i="6"/>
  <c r="AI6" i="6"/>
  <c r="AI4" i="6"/>
  <c r="AJ3" i="6"/>
  <c r="AJ30" i="6"/>
  <c r="AJ28" i="6"/>
  <c r="AJ26" i="6"/>
  <c r="AJ24" i="6"/>
  <c r="AJ22" i="6"/>
  <c r="AJ20" i="6"/>
  <c r="AJ18" i="6"/>
  <c r="AJ16" i="6"/>
  <c r="AJ14" i="6"/>
  <c r="AJ12" i="6"/>
  <c r="AJ10" i="6"/>
  <c r="AJ8" i="6"/>
  <c r="AJ6" i="6"/>
  <c r="AJ4" i="6"/>
  <c r="AJ29" i="6"/>
  <c r="AJ27" i="6"/>
  <c r="AJ21" i="6"/>
  <c r="AJ17" i="6"/>
  <c r="AJ13" i="6"/>
  <c r="AJ11" i="6"/>
  <c r="AJ7" i="6"/>
  <c r="AJ25" i="6"/>
  <c r="AJ23" i="6"/>
  <c r="AJ19" i="6"/>
  <c r="AJ15" i="6"/>
  <c r="AJ9" i="6"/>
  <c r="AJ5" i="6"/>
  <c r="U15" i="2"/>
  <c r="V42" i="2"/>
  <c r="Z42" i="2" s="1"/>
  <c r="S45" i="2"/>
  <c r="BT45" i="2"/>
  <c r="BV43" i="2"/>
  <c r="J94" i="4"/>
  <c r="J198" i="25"/>
  <c r="J180" i="25"/>
  <c r="BK84" i="2"/>
  <c r="CY84" i="5" s="1"/>
  <c r="K94" i="2"/>
  <c r="AY93" i="5" s="1"/>
  <c r="T54" i="2"/>
  <c r="U53" i="2"/>
  <c r="CY35" i="5"/>
  <c r="O96" i="25" s="1"/>
  <c r="BS34" i="2"/>
  <c r="U23" i="2"/>
  <c r="T24" i="2"/>
  <c r="DB49" i="34"/>
  <c r="AK30" i="6"/>
  <c r="AK28" i="6"/>
  <c r="AK26" i="6"/>
  <c r="AK24" i="6"/>
  <c r="AK22" i="6"/>
  <c r="AK20" i="6"/>
  <c r="AK18" i="6"/>
  <c r="AK16" i="6"/>
  <c r="AK14" i="6"/>
  <c r="AK12" i="6"/>
  <c r="AK4" i="6"/>
  <c r="AK6" i="6"/>
  <c r="AK29" i="6"/>
  <c r="AK27" i="6"/>
  <c r="AK25" i="6"/>
  <c r="AK23" i="6"/>
  <c r="AK21" i="6"/>
  <c r="AK19" i="6"/>
  <c r="AK17" i="6"/>
  <c r="AK15" i="6"/>
  <c r="AK13" i="6"/>
  <c r="AK11" i="6"/>
  <c r="AK9" i="6"/>
  <c r="AK7" i="6"/>
  <c r="AK5" i="6"/>
  <c r="AK10" i="6"/>
  <c r="AK8" i="6"/>
  <c r="AX28" i="28"/>
  <c r="AX46" i="3"/>
  <c r="AX26" i="3"/>
  <c r="CX4" i="28"/>
  <c r="CX6" i="28"/>
  <c r="CX8" i="28"/>
  <c r="CX18" i="28"/>
  <c r="CX14" i="3"/>
  <c r="CX58" i="3"/>
  <c r="DB49" i="5"/>
  <c r="AG30" i="6"/>
  <c r="AG28" i="6"/>
  <c r="AG26" i="6"/>
  <c r="AG24" i="6"/>
  <c r="AG22" i="6"/>
  <c r="AG20" i="6"/>
  <c r="AG18" i="6"/>
  <c r="AG16" i="6"/>
  <c r="AG14" i="6"/>
  <c r="AG10" i="6"/>
  <c r="AF30" i="6"/>
  <c r="AF28" i="6"/>
  <c r="AF26" i="6"/>
  <c r="AF24" i="6"/>
  <c r="AF22" i="6"/>
  <c r="AF20" i="6"/>
  <c r="AF18" i="6"/>
  <c r="AF16" i="6"/>
  <c r="AF14" i="6"/>
  <c r="AF12" i="6"/>
  <c r="AF10" i="6"/>
  <c r="AF8" i="6"/>
  <c r="AF6" i="6"/>
  <c r="AF4" i="6"/>
  <c r="AF29" i="6"/>
  <c r="AF27" i="6"/>
  <c r="AF25" i="6"/>
  <c r="AF23" i="6"/>
  <c r="AF19" i="6"/>
  <c r="AF15" i="6"/>
  <c r="AF9" i="6"/>
  <c r="AF5" i="6"/>
  <c r="AG4" i="6"/>
  <c r="AG29" i="6"/>
  <c r="AG27" i="6"/>
  <c r="AG25" i="6"/>
  <c r="AG23" i="6"/>
  <c r="AG21" i="6"/>
  <c r="AG19" i="6"/>
  <c r="AG17" i="6"/>
  <c r="AG15" i="6"/>
  <c r="AG13" i="6"/>
  <c r="AG11" i="6"/>
  <c r="AG9" i="6"/>
  <c r="AG7" i="6"/>
  <c r="AG5" i="6"/>
  <c r="AF21" i="6"/>
  <c r="AF17" i="6"/>
  <c r="AF13" i="6"/>
  <c r="AF11" i="6"/>
  <c r="AF7" i="6"/>
  <c r="AG12" i="6"/>
  <c r="AG8" i="6"/>
  <c r="AG6" i="6"/>
  <c r="AX14" i="3"/>
  <c r="CX48" i="28"/>
  <c r="CX24" i="28"/>
  <c r="CX28" i="3"/>
  <c r="CX38" i="3"/>
  <c r="AX7" i="28"/>
  <c r="AX23" i="28"/>
  <c r="AX27" i="28"/>
  <c r="AX45" i="28"/>
  <c r="AX55" i="28"/>
  <c r="AX57" i="28"/>
  <c r="AX7" i="3"/>
  <c r="AX17" i="3"/>
  <c r="AX23" i="3"/>
  <c r="AX47" i="3"/>
  <c r="AH29" i="6"/>
  <c r="AH27" i="6"/>
  <c r="AH25" i="6"/>
  <c r="AH23" i="6"/>
  <c r="AH21" i="6"/>
  <c r="AH19" i="6"/>
  <c r="AH17" i="6"/>
  <c r="AH15" i="6"/>
  <c r="AH13" i="6"/>
  <c r="AH11" i="6"/>
  <c r="AH9" i="6"/>
  <c r="AH7" i="6"/>
  <c r="AH5" i="6"/>
  <c r="AH24" i="6"/>
  <c r="AH20" i="6"/>
  <c r="AH16" i="6"/>
  <c r="AH12" i="6"/>
  <c r="AH10" i="6"/>
  <c r="AH6" i="6"/>
  <c r="AH30" i="6"/>
  <c r="AH28" i="6"/>
  <c r="AH26" i="6"/>
  <c r="AH22" i="6"/>
  <c r="AH18" i="6"/>
  <c r="AH14" i="6"/>
  <c r="AH8" i="6"/>
  <c r="AH4" i="6"/>
  <c r="CX28" i="28"/>
  <c r="CX16" i="3"/>
  <c r="AX53" i="28"/>
  <c r="AX13" i="28"/>
  <c r="CX35" i="28"/>
  <c r="CX7" i="28"/>
  <c r="CX25" i="3"/>
  <c r="BV24" i="2"/>
  <c r="V12" i="2"/>
  <c r="BV33" i="2"/>
  <c r="K70" i="2"/>
  <c r="AY70" i="36" s="1"/>
  <c r="AX47" i="28"/>
  <c r="AX35" i="28"/>
  <c r="AX48" i="28"/>
  <c r="AX26" i="28"/>
  <c r="AX16" i="28"/>
  <c r="AX53" i="3"/>
  <c r="AX37" i="3"/>
  <c r="AX25" i="3"/>
  <c r="AX13" i="3"/>
  <c r="AX58" i="3"/>
  <c r="AX36" i="3"/>
  <c r="AX24" i="3"/>
  <c r="AX8" i="3"/>
  <c r="CX33" i="28"/>
  <c r="CX5" i="28"/>
  <c r="CX16" i="28"/>
  <c r="CX47" i="3"/>
  <c r="CX35" i="3"/>
  <c r="CX23" i="3"/>
  <c r="CX7" i="3"/>
  <c r="CX26" i="3"/>
  <c r="CX48" i="3"/>
  <c r="CX36" i="3"/>
  <c r="AX25" i="28"/>
  <c r="AX27" i="3"/>
  <c r="AX3" i="3"/>
  <c r="CX47" i="28"/>
  <c r="CX23" i="28"/>
  <c r="CX37" i="3"/>
  <c r="J138" i="25"/>
  <c r="T45" i="2"/>
  <c r="T55" i="2"/>
  <c r="BT35" i="2"/>
  <c r="AX33" i="28"/>
  <c r="AX17" i="28"/>
  <c r="AX5" i="28"/>
  <c r="AX56" i="28"/>
  <c r="AX46" i="28"/>
  <c r="AX14" i="28"/>
  <c r="AX35" i="3"/>
  <c r="AX34" i="3"/>
  <c r="AX18" i="3"/>
  <c r="K78" i="2"/>
  <c r="CX27" i="28"/>
  <c r="CX15" i="28"/>
  <c r="CX58" i="28"/>
  <c r="CX54" i="28"/>
  <c r="CX46" i="28"/>
  <c r="CX38" i="28"/>
  <c r="CX34" i="28"/>
  <c r="CX26" i="28"/>
  <c r="CX57" i="3"/>
  <c r="CX45" i="3"/>
  <c r="CX33" i="3"/>
  <c r="CX5" i="3"/>
  <c r="CX24" i="3"/>
  <c r="CX8" i="3"/>
  <c r="CX56" i="3"/>
  <c r="CX46" i="3"/>
  <c r="CX34" i="3"/>
  <c r="AX37" i="28"/>
  <c r="AX43" i="3"/>
  <c r="AX15" i="3"/>
  <c r="CX53" i="3"/>
  <c r="CX13" i="3"/>
  <c r="J154" i="25"/>
  <c r="BV2" i="2"/>
  <c r="BV52" i="2"/>
  <c r="BS55" i="2"/>
  <c r="U32" i="2"/>
  <c r="BS45" i="2"/>
  <c r="BK94" i="2"/>
  <c r="CY94" i="5" s="1"/>
  <c r="AX43" i="28"/>
  <c r="AX15" i="28"/>
  <c r="AX3" i="28"/>
  <c r="AX54" i="28"/>
  <c r="AX44" i="28"/>
  <c r="AX8" i="28"/>
  <c r="AI9" i="25" s="1"/>
  <c r="AX57" i="3"/>
  <c r="AX45" i="3"/>
  <c r="AX33" i="3"/>
  <c r="AX5" i="3"/>
  <c r="AX56" i="3"/>
  <c r="AX48" i="3"/>
  <c r="AX28" i="3"/>
  <c r="AX16" i="3"/>
  <c r="AX4" i="3"/>
  <c r="CX53" i="28"/>
  <c r="CX37" i="28"/>
  <c r="CX25" i="28"/>
  <c r="CX13" i="28"/>
  <c r="CX14" i="28"/>
  <c r="CX55" i="3"/>
  <c r="CX27" i="3"/>
  <c r="CX15" i="3"/>
  <c r="CX3" i="3"/>
  <c r="CX18" i="3"/>
  <c r="CX6" i="3"/>
  <c r="CX54" i="3"/>
  <c r="CX44" i="3"/>
  <c r="CY27" i="36"/>
  <c r="T58" i="25" s="1"/>
  <c r="CY27" i="5"/>
  <c r="CY18" i="36"/>
  <c r="CY18" i="5"/>
  <c r="O49" i="25" s="1"/>
  <c r="CY46" i="36"/>
  <c r="T107" i="25" s="1"/>
  <c r="CY46" i="5"/>
  <c r="O107" i="25" s="1"/>
  <c r="CY53" i="5"/>
  <c r="CY52" i="5"/>
  <c r="CY59" i="5"/>
  <c r="CY51" i="5"/>
  <c r="CY29" i="5"/>
  <c r="CY23" i="5"/>
  <c r="O54" i="25" s="1"/>
  <c r="CY21" i="5"/>
  <c r="CY22" i="5"/>
  <c r="CY24" i="36"/>
  <c r="CY24" i="5"/>
  <c r="O55" i="25" s="1"/>
  <c r="CY37" i="36"/>
  <c r="T98" i="25" s="1"/>
  <c r="CY37" i="5"/>
  <c r="CY9" i="5"/>
  <c r="CY3" i="5"/>
  <c r="O34" i="25" s="1"/>
  <c r="CY1" i="5"/>
  <c r="CY2" i="5"/>
  <c r="CY32" i="5"/>
  <c r="CY39" i="5"/>
  <c r="CY33" i="5"/>
  <c r="CY31" i="5"/>
  <c r="CY42" i="5"/>
  <c r="CY49" i="5"/>
  <c r="CY43" i="5"/>
  <c r="CY41" i="5"/>
  <c r="CY11" i="5"/>
  <c r="CY12" i="5"/>
  <c r="CY19" i="5"/>
  <c r="CY13" i="5"/>
  <c r="O44" i="25" s="1"/>
  <c r="CY58" i="36"/>
  <c r="CY22" i="36"/>
  <c r="CY29" i="36"/>
  <c r="CY23" i="36"/>
  <c r="CY21" i="36"/>
  <c r="CY14" i="36"/>
  <c r="CY83" i="36"/>
  <c r="CY36" i="36"/>
  <c r="T97" i="25" s="1"/>
  <c r="CY85" i="36"/>
  <c r="CY45" i="36"/>
  <c r="CY44" i="36"/>
  <c r="T105" i="25" s="1"/>
  <c r="CY25" i="36"/>
  <c r="CY9" i="36"/>
  <c r="CY3" i="36"/>
  <c r="CY1" i="36"/>
  <c r="CY2" i="36"/>
  <c r="CY32" i="36"/>
  <c r="CY39" i="36"/>
  <c r="CY33" i="36"/>
  <c r="CY31" i="36"/>
  <c r="CY42" i="36"/>
  <c r="CY49" i="36"/>
  <c r="CY43" i="36"/>
  <c r="CY41" i="36"/>
  <c r="CY12" i="36"/>
  <c r="CY13" i="36"/>
  <c r="CY11" i="36"/>
  <c r="CY19" i="36"/>
  <c r="CY6" i="36"/>
  <c r="CY8" i="36"/>
  <c r="CY54" i="36"/>
  <c r="T115" i="25" s="1"/>
  <c r="CY56" i="36"/>
  <c r="T117" i="25" s="1"/>
  <c r="CY4" i="36"/>
  <c r="T35" i="25" s="1"/>
  <c r="CY5" i="36"/>
  <c r="CY7" i="36"/>
  <c r="T38" i="25" s="1"/>
  <c r="CY34" i="36"/>
  <c r="T95" i="25" s="1"/>
  <c r="CY57" i="36"/>
  <c r="CY38" i="36"/>
  <c r="CY53" i="36"/>
  <c r="CY52" i="36"/>
  <c r="CY59" i="36"/>
  <c r="CY51" i="36"/>
  <c r="CY55" i="36"/>
  <c r="T116" i="25" s="1"/>
  <c r="CY15" i="36"/>
  <c r="CY48" i="36"/>
  <c r="CY47" i="36"/>
  <c r="T108" i="25" s="1"/>
  <c r="CY26" i="36"/>
  <c r="CY82" i="36"/>
  <c r="CY17" i="36"/>
  <c r="T48" i="25" s="1"/>
  <c r="CY35" i="36"/>
  <c r="CY28" i="36"/>
  <c r="CY16" i="36"/>
  <c r="CY37" i="3"/>
  <c r="Y98" i="25" s="1"/>
  <c r="CY27" i="3"/>
  <c r="CY24" i="3"/>
  <c r="CY51" i="3"/>
  <c r="CY52" i="3"/>
  <c r="CY53" i="3"/>
  <c r="CY59" i="3"/>
  <c r="CY55" i="34"/>
  <c r="CY55" i="3"/>
  <c r="CY36" i="34"/>
  <c r="AD97" i="25" s="1"/>
  <c r="CY36" i="3"/>
  <c r="CY85" i="34"/>
  <c r="CY85" i="3"/>
  <c r="CY45" i="34"/>
  <c r="AD106" i="25" s="1"/>
  <c r="CY45" i="3"/>
  <c r="CY44" i="34"/>
  <c r="AD105" i="25" s="1"/>
  <c r="CY44" i="3"/>
  <c r="CY25" i="34"/>
  <c r="AD56" i="25" s="1"/>
  <c r="CY25" i="3"/>
  <c r="CY9" i="3"/>
  <c r="CY3" i="3"/>
  <c r="CY1" i="3"/>
  <c r="CY2" i="3"/>
  <c r="CY33" i="3"/>
  <c r="CY32" i="3"/>
  <c r="CY39" i="3"/>
  <c r="CY31" i="3"/>
  <c r="CY49" i="3"/>
  <c r="CY43" i="3"/>
  <c r="CY41" i="3"/>
  <c r="CY42" i="3"/>
  <c r="CY11" i="3"/>
  <c r="CY12" i="3"/>
  <c r="CY13" i="3"/>
  <c r="CY19" i="3"/>
  <c r="CY6" i="34"/>
  <c r="AD37" i="25" s="1"/>
  <c r="CY6" i="3"/>
  <c r="CY90" i="3"/>
  <c r="CY8" i="34"/>
  <c r="CY8" i="3"/>
  <c r="CY14" i="34"/>
  <c r="AD45" i="25" s="1"/>
  <c r="CY14" i="3"/>
  <c r="CY15" i="34"/>
  <c r="CY15" i="3"/>
  <c r="CY83" i="34"/>
  <c r="CY83" i="3"/>
  <c r="CY48" i="34"/>
  <c r="CY48" i="3"/>
  <c r="CY54" i="34"/>
  <c r="AD115" i="25" s="1"/>
  <c r="CY54" i="3"/>
  <c r="CY56" i="34"/>
  <c r="AD117" i="25" s="1"/>
  <c r="CY56" i="3"/>
  <c r="CY4" i="34"/>
  <c r="AD35" i="25" s="1"/>
  <c r="CY4" i="3"/>
  <c r="CY5" i="34"/>
  <c r="CY5" i="3"/>
  <c r="Y36" i="25" s="1"/>
  <c r="CY7" i="34"/>
  <c r="CY7" i="3"/>
  <c r="CY34" i="34"/>
  <c r="AD95" i="25" s="1"/>
  <c r="CY34" i="3"/>
  <c r="CY57" i="34"/>
  <c r="AD118" i="25" s="1"/>
  <c r="CY57" i="3"/>
  <c r="CY38" i="34"/>
  <c r="CY38" i="3"/>
  <c r="Y99" i="25" s="1"/>
  <c r="CY22" i="3"/>
  <c r="CY29" i="3"/>
  <c r="CY23" i="3"/>
  <c r="Y54" i="25" s="1"/>
  <c r="CY21" i="3"/>
  <c r="CY58" i="34"/>
  <c r="CY58" i="3"/>
  <c r="CY47" i="34"/>
  <c r="AD108" i="25" s="1"/>
  <c r="CY47" i="3"/>
  <c r="CY26" i="34"/>
  <c r="AD57" i="25" s="1"/>
  <c r="CY26" i="3"/>
  <c r="CY82" i="34"/>
  <c r="CY82" i="3"/>
  <c r="CY17" i="34"/>
  <c r="CY17" i="3"/>
  <c r="CY35" i="34"/>
  <c r="AD96" i="25" s="1"/>
  <c r="CY35" i="3"/>
  <c r="CY28" i="34"/>
  <c r="CY28" i="3"/>
  <c r="CY16" i="34"/>
  <c r="AD47" i="25" s="1"/>
  <c r="CY16" i="3"/>
  <c r="CY18" i="34"/>
  <c r="CY18" i="3"/>
  <c r="Y49" i="25" s="1"/>
  <c r="CY46" i="34"/>
  <c r="AD107" i="25" s="1"/>
  <c r="CY46" i="3"/>
  <c r="CY37" i="28"/>
  <c r="CY37" i="34"/>
  <c r="AD98" i="25" s="1"/>
  <c r="CY27" i="28"/>
  <c r="CY27" i="34"/>
  <c r="CY2" i="34"/>
  <c r="CY9" i="34"/>
  <c r="CY3" i="34"/>
  <c r="CY1" i="34"/>
  <c r="CY32" i="34"/>
  <c r="CY39" i="34"/>
  <c r="CY33" i="34"/>
  <c r="AD94" i="25" s="1"/>
  <c r="CY31" i="34"/>
  <c r="CY19" i="34"/>
  <c r="CY12" i="34"/>
  <c r="CY13" i="34"/>
  <c r="AD44" i="25" s="1"/>
  <c r="CY11" i="34"/>
  <c r="CY42" i="34"/>
  <c r="CY49" i="34"/>
  <c r="CY43" i="34"/>
  <c r="CY41" i="34"/>
  <c r="CY53" i="34"/>
  <c r="AD114" i="25" s="1"/>
  <c r="CY52" i="34"/>
  <c r="CY59" i="34"/>
  <c r="CY51" i="34"/>
  <c r="CY29" i="34"/>
  <c r="CY23" i="34"/>
  <c r="CY21" i="34"/>
  <c r="CY22" i="34"/>
  <c r="CY24" i="28"/>
  <c r="CY24" i="34"/>
  <c r="AD55" i="25" s="1"/>
  <c r="CY35" i="28"/>
  <c r="CY16" i="28"/>
  <c r="AI47" i="25" s="1"/>
  <c r="CY38" i="28"/>
  <c r="CY53" i="28"/>
  <c r="CY51" i="28"/>
  <c r="CY52" i="28"/>
  <c r="CY59" i="28"/>
  <c r="CY22" i="28"/>
  <c r="CY29" i="28"/>
  <c r="CY23" i="28"/>
  <c r="CY21" i="28"/>
  <c r="CY55" i="4"/>
  <c r="CY55" i="28"/>
  <c r="CY14" i="28"/>
  <c r="CY15" i="28"/>
  <c r="CY18" i="4"/>
  <c r="CY18" i="28"/>
  <c r="BT49" i="2"/>
  <c r="CY46" i="28"/>
  <c r="CY47" i="28"/>
  <c r="CY26" i="4"/>
  <c r="CY26" i="28"/>
  <c r="AI57" i="25" s="1"/>
  <c r="CY85" i="28"/>
  <c r="CY45" i="28"/>
  <c r="AI106" i="25" s="1"/>
  <c r="CY44" i="28"/>
  <c r="CY25" i="4"/>
  <c r="CY25" i="28"/>
  <c r="CY9" i="28"/>
  <c r="CY3" i="28"/>
  <c r="CY1" i="28"/>
  <c r="CY2" i="28"/>
  <c r="CY32" i="28"/>
  <c r="CY39" i="28"/>
  <c r="CY33" i="28"/>
  <c r="CY31" i="28"/>
  <c r="BT46" i="2"/>
  <c r="CY49" i="28"/>
  <c r="CY43" i="28"/>
  <c r="CY41" i="28"/>
  <c r="CY42" i="28"/>
  <c r="K44" i="25"/>
  <c r="CY13" i="28"/>
  <c r="CY11" i="28"/>
  <c r="CY12" i="28"/>
  <c r="CY19" i="28"/>
  <c r="CY6" i="28"/>
  <c r="CY83" i="28"/>
  <c r="CY58" i="28"/>
  <c r="CY48" i="28"/>
  <c r="CY36" i="28"/>
  <c r="AI97" i="25" s="1"/>
  <c r="CY82" i="28"/>
  <c r="CY17" i="4"/>
  <c r="CY17" i="28"/>
  <c r="CY28" i="28"/>
  <c r="CY54" i="4"/>
  <c r="CY54" i="28"/>
  <c r="CY56" i="4"/>
  <c r="CY56" i="28"/>
  <c r="AI117" i="25" s="1"/>
  <c r="K35" i="25"/>
  <c r="AB35" i="25" s="1"/>
  <c r="CY4" i="28"/>
  <c r="AI35" i="25" s="1"/>
  <c r="CY5" i="28"/>
  <c r="CY7" i="4"/>
  <c r="CY7" i="28"/>
  <c r="AI38" i="25" s="1"/>
  <c r="CY34" i="4"/>
  <c r="CY34" i="28"/>
  <c r="CY57" i="4"/>
  <c r="CY57" i="28"/>
  <c r="AI118" i="25" s="1"/>
  <c r="CY8" i="4"/>
  <c r="CY8" i="28"/>
  <c r="AY55" i="36"/>
  <c r="T86" i="25" s="1"/>
  <c r="AY55" i="5"/>
  <c r="AY7" i="36"/>
  <c r="AY7" i="5"/>
  <c r="AY39" i="5"/>
  <c r="AY33" i="5"/>
  <c r="O64" i="25" s="1"/>
  <c r="AY31" i="5"/>
  <c r="AY32" i="5"/>
  <c r="AY64" i="36"/>
  <c r="AY64" i="5"/>
  <c r="AY38" i="36"/>
  <c r="AY38" i="5"/>
  <c r="O69" i="25" s="1"/>
  <c r="AY36" i="36"/>
  <c r="T67" i="25" s="1"/>
  <c r="AY36" i="5"/>
  <c r="O67" i="25" s="1"/>
  <c r="AY22" i="5"/>
  <c r="AY29" i="5"/>
  <c r="AY23" i="5"/>
  <c r="AY21" i="5"/>
  <c r="AY75" i="36"/>
  <c r="AY75" i="5"/>
  <c r="AY71" i="36"/>
  <c r="AY71" i="5"/>
  <c r="AY42" i="5"/>
  <c r="AY49" i="5"/>
  <c r="AY43" i="5"/>
  <c r="O74" i="25" s="1"/>
  <c r="AY41" i="5"/>
  <c r="AY17" i="36"/>
  <c r="AY17" i="5"/>
  <c r="O18" i="25" s="1"/>
  <c r="AY56" i="36"/>
  <c r="AY56" i="5"/>
  <c r="AY14" i="36"/>
  <c r="AY14" i="5"/>
  <c r="AY72" i="36"/>
  <c r="AY72" i="5"/>
  <c r="AY44" i="36"/>
  <c r="AY44" i="5"/>
  <c r="AY74" i="5"/>
  <c r="AY37" i="36"/>
  <c r="AY37" i="5"/>
  <c r="AY16" i="36"/>
  <c r="T17" i="25" s="1"/>
  <c r="AY16" i="5"/>
  <c r="AY6" i="36"/>
  <c r="T7" i="25" s="1"/>
  <c r="AY6" i="5"/>
  <c r="AY19" i="5"/>
  <c r="AY13" i="5"/>
  <c r="O14" i="25" s="1"/>
  <c r="AY11" i="5"/>
  <c r="AY12" i="5"/>
  <c r="AY67" i="36"/>
  <c r="AY67" i="5"/>
  <c r="AY57" i="36"/>
  <c r="AY57" i="5"/>
  <c r="O88" i="25" s="1"/>
  <c r="AY27" i="36"/>
  <c r="AY27" i="5"/>
  <c r="AY15" i="36"/>
  <c r="AY15" i="5"/>
  <c r="AY54" i="36"/>
  <c r="AY54" i="5"/>
  <c r="AY83" i="36"/>
  <c r="AY83" i="5"/>
  <c r="AY48" i="36"/>
  <c r="T79" i="25" s="1"/>
  <c r="AY48" i="5"/>
  <c r="O79" i="25" s="1"/>
  <c r="AY77" i="5"/>
  <c r="AY73" i="36"/>
  <c r="AY45" i="36"/>
  <c r="AY45" i="5"/>
  <c r="O76" i="25" s="1"/>
  <c r="AY2" i="5"/>
  <c r="AY9" i="5"/>
  <c r="AY3" i="5"/>
  <c r="AY1" i="5"/>
  <c r="AY69" i="36"/>
  <c r="AY69" i="5"/>
  <c r="AY47" i="36"/>
  <c r="AY47" i="5"/>
  <c r="AY58" i="36"/>
  <c r="AY58" i="5"/>
  <c r="AY34" i="36"/>
  <c r="AY34" i="5"/>
  <c r="AY88" i="5"/>
  <c r="AY82" i="36"/>
  <c r="AY82" i="5"/>
  <c r="AY86" i="36"/>
  <c r="AY86" i="5"/>
  <c r="AY59" i="5"/>
  <c r="AY53" i="5"/>
  <c r="AY51" i="5"/>
  <c r="AY52" i="5"/>
  <c r="AY25" i="36"/>
  <c r="AY25" i="5"/>
  <c r="AY18" i="36"/>
  <c r="AY18" i="5"/>
  <c r="O19" i="25" s="1"/>
  <c r="AY26" i="36"/>
  <c r="AY26" i="5"/>
  <c r="AY76" i="36"/>
  <c r="AY78" i="36"/>
  <c r="AY78" i="5"/>
  <c r="AY19" i="36"/>
  <c r="AY13" i="36"/>
  <c r="AY11" i="36"/>
  <c r="AY12" i="36"/>
  <c r="AY5" i="36"/>
  <c r="AY4" i="36"/>
  <c r="T5" i="25" s="1"/>
  <c r="BV47" i="2"/>
  <c r="AY68" i="36"/>
  <c r="AY42" i="36"/>
  <c r="AY49" i="36"/>
  <c r="AY43" i="36"/>
  <c r="T74" i="25" s="1"/>
  <c r="AY41" i="36"/>
  <c r="AY87" i="36"/>
  <c r="AY46" i="36"/>
  <c r="T77" i="25" s="1"/>
  <c r="AY65" i="36"/>
  <c r="AY59" i="36"/>
  <c r="AY53" i="36"/>
  <c r="T84" i="25" s="1"/>
  <c r="AY51" i="36"/>
  <c r="AY52" i="36"/>
  <c r="AY35" i="36"/>
  <c r="AY24" i="36"/>
  <c r="AY22" i="36"/>
  <c r="AY29" i="36"/>
  <c r="AY23" i="36"/>
  <c r="AY21" i="36"/>
  <c r="AY63" i="36"/>
  <c r="AY39" i="36"/>
  <c r="AY33" i="36"/>
  <c r="T64" i="25" s="1"/>
  <c r="AY31" i="36"/>
  <c r="AY32" i="36"/>
  <c r="AY2" i="36"/>
  <c r="AY9" i="36"/>
  <c r="AY3" i="36"/>
  <c r="T4" i="25" s="1"/>
  <c r="AY1" i="36"/>
  <c r="AY28" i="36"/>
  <c r="T29" i="25" s="1"/>
  <c r="K168" i="25"/>
  <c r="AY28" i="4"/>
  <c r="K107" i="25"/>
  <c r="M107" i="25" s="1"/>
  <c r="AY78" i="28"/>
  <c r="K27" i="25"/>
  <c r="AL27" i="25" s="1"/>
  <c r="K87" i="25"/>
  <c r="T29" i="2"/>
  <c r="BS9" i="2"/>
  <c r="K39" i="25"/>
  <c r="BS19" i="2"/>
  <c r="BV6" i="2"/>
  <c r="V57" i="2"/>
  <c r="AY56" i="4"/>
  <c r="K49" i="25"/>
  <c r="S79" i="25" s="1"/>
  <c r="AY56" i="28"/>
  <c r="S19" i="2"/>
  <c r="V54" i="3"/>
  <c r="K150" i="25"/>
  <c r="AL150" i="25" s="1"/>
  <c r="CY46" i="4"/>
  <c r="BU55" i="28"/>
  <c r="V4" i="28"/>
  <c r="U13" i="28"/>
  <c r="U35" i="28"/>
  <c r="T35" i="28"/>
  <c r="H9" i="25"/>
  <c r="U13" i="3"/>
  <c r="BS44" i="3"/>
  <c r="BT55" i="3"/>
  <c r="V13" i="28"/>
  <c r="U17" i="28"/>
  <c r="AA13" i="28" s="1"/>
  <c r="T32" i="3"/>
  <c r="T55" i="28"/>
  <c r="T44" i="28"/>
  <c r="T15" i="28"/>
  <c r="T25" i="28"/>
  <c r="T14" i="28"/>
  <c r="U15" i="28"/>
  <c r="V23" i="28"/>
  <c r="S33" i="3"/>
  <c r="CA24" i="28"/>
  <c r="K15" i="25"/>
  <c r="AH15" i="25" s="1"/>
  <c r="K109" i="25"/>
  <c r="BT35" i="28"/>
  <c r="V14" i="28"/>
  <c r="T18" i="3"/>
  <c r="AB13" i="3" s="1"/>
  <c r="BS4" i="3"/>
  <c r="K142" i="25"/>
  <c r="AY26" i="4"/>
  <c r="K6" i="25"/>
  <c r="U33" i="3"/>
  <c r="BU22" i="3"/>
  <c r="O97" i="25"/>
  <c r="BS25" i="3"/>
  <c r="K24" i="25"/>
  <c r="BS48" i="3"/>
  <c r="BU42" i="3"/>
  <c r="K176" i="25"/>
  <c r="M176" i="25" s="1"/>
  <c r="K124" i="25"/>
  <c r="K76" i="25"/>
  <c r="U46" i="2"/>
  <c r="K64" i="25"/>
  <c r="BS17" i="2"/>
  <c r="K4" i="25"/>
  <c r="M4" i="25" s="1"/>
  <c r="T9" i="28"/>
  <c r="V3" i="28"/>
  <c r="V34" i="28"/>
  <c r="V38" i="28"/>
  <c r="AB35" i="28" s="1"/>
  <c r="U57" i="28"/>
  <c r="T54" i="28"/>
  <c r="BU9" i="3"/>
  <c r="CB4" i="3" s="1"/>
  <c r="BU5" i="3"/>
  <c r="CA22" i="3"/>
  <c r="K178" i="25"/>
  <c r="V18" i="2"/>
  <c r="K126" i="25"/>
  <c r="BS59" i="2"/>
  <c r="K119" i="25"/>
  <c r="BV46" i="2"/>
  <c r="K97" i="25"/>
  <c r="K160" i="25"/>
  <c r="K79" i="25"/>
  <c r="V46" i="2"/>
  <c r="K99" i="25"/>
  <c r="O99" i="25"/>
  <c r="K166" i="25"/>
  <c r="K26" i="25"/>
  <c r="S26" i="25" s="1"/>
  <c r="BV22" i="3"/>
  <c r="BS23" i="3"/>
  <c r="AB33" i="3"/>
  <c r="K45" i="25"/>
  <c r="AC75" i="25" s="1"/>
  <c r="T22" i="3"/>
  <c r="BV53" i="3"/>
  <c r="T4" i="3"/>
  <c r="T35" i="3"/>
  <c r="U55" i="3"/>
  <c r="AY83" i="28"/>
  <c r="AY83" i="4"/>
  <c r="AY48" i="28"/>
  <c r="S49" i="2"/>
  <c r="AY48" i="34"/>
  <c r="AD79" i="25" s="1"/>
  <c r="AY48" i="4"/>
  <c r="BV36" i="2"/>
  <c r="BS39" i="2"/>
  <c r="BT5" i="28"/>
  <c r="BV34" i="28"/>
  <c r="AB5" i="3"/>
  <c r="S38" i="2"/>
  <c r="CY38" i="4"/>
  <c r="CY83" i="4"/>
  <c r="U19" i="2"/>
  <c r="AY14" i="4"/>
  <c r="CY58" i="4"/>
  <c r="BV56" i="2"/>
  <c r="CY48" i="4"/>
  <c r="BS49" i="2"/>
  <c r="BV37" i="2"/>
  <c r="BT39" i="2"/>
  <c r="CY36" i="4"/>
  <c r="AY83" i="34"/>
  <c r="AB54" i="3"/>
  <c r="BT15" i="28"/>
  <c r="AA2" i="28"/>
  <c r="O105" i="25"/>
  <c r="BU15" i="28"/>
  <c r="V58" i="3"/>
  <c r="AB55" i="3" s="1"/>
  <c r="BT24" i="28"/>
  <c r="T2" i="3"/>
  <c r="U3" i="3"/>
  <c r="BU43" i="3"/>
  <c r="BV14" i="28"/>
  <c r="BV24" i="28"/>
  <c r="BV23" i="28"/>
  <c r="BV13" i="28"/>
  <c r="BV7" i="28"/>
  <c r="BU12" i="28"/>
  <c r="BV33" i="28"/>
  <c r="AA3" i="3"/>
  <c r="BV44" i="3"/>
  <c r="V2" i="3"/>
  <c r="AB22" i="3"/>
  <c r="K86" i="25"/>
  <c r="K182" i="25"/>
  <c r="AY64" i="4"/>
  <c r="T8" i="3"/>
  <c r="AA4" i="3" s="1"/>
  <c r="U12" i="3"/>
  <c r="S14" i="3"/>
  <c r="BV23" i="3"/>
  <c r="BV3" i="3"/>
  <c r="U32" i="3"/>
  <c r="K29" i="25"/>
  <c r="S29" i="25" s="1"/>
  <c r="X9" i="25"/>
  <c r="S34" i="3"/>
  <c r="BT25" i="3"/>
  <c r="BU23" i="3"/>
  <c r="AG9" i="25"/>
  <c r="U25" i="3"/>
  <c r="K77" i="25"/>
  <c r="CY47" i="4"/>
  <c r="CY15" i="4"/>
  <c r="K25" i="25"/>
  <c r="AL25" i="25" s="1"/>
  <c r="CA12" i="28"/>
  <c r="BS53" i="3"/>
  <c r="BV52" i="3"/>
  <c r="R9" i="25"/>
  <c r="AY24" i="4"/>
  <c r="U29" i="2"/>
  <c r="AY76" i="28"/>
  <c r="AY78" i="34"/>
  <c r="AY78" i="4"/>
  <c r="K154" i="25"/>
  <c r="V28" i="2"/>
  <c r="K106" i="25"/>
  <c r="S106" i="25" s="1"/>
  <c r="S48" i="2"/>
  <c r="T36" i="2"/>
  <c r="S37" i="2"/>
  <c r="BT16" i="2"/>
  <c r="AB32" i="3"/>
  <c r="K94" i="25"/>
  <c r="AC94" i="25" s="1"/>
  <c r="V26" i="2"/>
  <c r="AY28" i="34"/>
  <c r="AD29" i="25" s="1"/>
  <c r="AY75" i="3"/>
  <c r="AY82" i="3"/>
  <c r="AY71" i="3"/>
  <c r="AY17" i="3"/>
  <c r="AY54" i="3"/>
  <c r="Y85" i="25" s="1"/>
  <c r="AY28" i="3"/>
  <c r="Y29" i="25" s="1"/>
  <c r="AY72" i="3"/>
  <c r="CA32" i="28"/>
  <c r="AA32" i="28"/>
  <c r="S53" i="28"/>
  <c r="S54" i="28"/>
  <c r="U2" i="3"/>
  <c r="CA25" i="3"/>
  <c r="AA34" i="3"/>
  <c r="S35" i="3"/>
  <c r="S54" i="3"/>
  <c r="AY44" i="3"/>
  <c r="AY38" i="3"/>
  <c r="AY36" i="3"/>
  <c r="AY37" i="3"/>
  <c r="Y68" i="25" s="1"/>
  <c r="AY16" i="3"/>
  <c r="S29" i="2"/>
  <c r="AY5" i="3"/>
  <c r="AY67" i="3"/>
  <c r="AY57" i="3"/>
  <c r="Y88" i="25" s="1"/>
  <c r="AY27" i="3"/>
  <c r="AY15" i="3"/>
  <c r="AY72" i="4"/>
  <c r="AY26" i="3"/>
  <c r="AY28" i="28"/>
  <c r="AI29" i="25" s="1"/>
  <c r="AY72" i="34"/>
  <c r="AY87" i="3"/>
  <c r="AY56" i="3"/>
  <c r="T32" i="28"/>
  <c r="S3" i="3"/>
  <c r="AY69" i="3"/>
  <c r="AY47" i="3"/>
  <c r="AY58" i="3"/>
  <c r="AY34" i="3"/>
  <c r="Y65" i="25" s="1"/>
  <c r="AY4" i="3"/>
  <c r="BV16" i="2"/>
  <c r="T59" i="2"/>
  <c r="AY18" i="3"/>
  <c r="AY87" i="4"/>
  <c r="AY14" i="3"/>
  <c r="AY64" i="3"/>
  <c r="AY87" i="34"/>
  <c r="AY72" i="28"/>
  <c r="AY83" i="3"/>
  <c r="AY48" i="3"/>
  <c r="AY46" i="3"/>
  <c r="Y77" i="25" s="1"/>
  <c r="AY55" i="3"/>
  <c r="V27" i="2"/>
  <c r="AY6" i="3"/>
  <c r="Y7" i="25" s="1"/>
  <c r="AY7" i="3"/>
  <c r="Y8" i="25" s="1"/>
  <c r="AY63" i="3"/>
  <c r="AY45" i="3"/>
  <c r="AY24" i="3"/>
  <c r="AY87" i="28"/>
  <c r="AY56" i="34"/>
  <c r="AY76" i="3"/>
  <c r="AY78" i="3"/>
  <c r="S53" i="3"/>
  <c r="U52" i="3"/>
  <c r="V22" i="28"/>
  <c r="BS23" i="28"/>
  <c r="T52" i="3"/>
  <c r="AY19" i="3"/>
  <c r="AY13" i="3"/>
  <c r="AY11" i="3"/>
  <c r="AY12" i="3"/>
  <c r="S58" i="3"/>
  <c r="AB52" i="3" s="1"/>
  <c r="BT32" i="28"/>
  <c r="BV24" i="3"/>
  <c r="V34" i="3"/>
  <c r="V33" i="3"/>
  <c r="V36" i="3"/>
  <c r="AA32" i="3" s="1"/>
  <c r="U35" i="3"/>
  <c r="BV32" i="28"/>
  <c r="V14" i="3"/>
  <c r="T26" i="3"/>
  <c r="BS55" i="3"/>
  <c r="U43" i="3"/>
  <c r="BT52" i="3"/>
  <c r="U5" i="3"/>
  <c r="BS24" i="28"/>
  <c r="AY86" i="34"/>
  <c r="AY86" i="3"/>
  <c r="AY65" i="34"/>
  <c r="AY65" i="3"/>
  <c r="AY59" i="3"/>
  <c r="AY53" i="3"/>
  <c r="AY51" i="3"/>
  <c r="AY52" i="3"/>
  <c r="AY35" i="34"/>
  <c r="AD66" i="25" s="1"/>
  <c r="AY35" i="3"/>
  <c r="AY25" i="34"/>
  <c r="AY25" i="3"/>
  <c r="AY42" i="3"/>
  <c r="AY49" i="3"/>
  <c r="AY43" i="3"/>
  <c r="AY41" i="3"/>
  <c r="AY68" i="34"/>
  <c r="AY68" i="3"/>
  <c r="BU2" i="3"/>
  <c r="V32" i="3"/>
  <c r="U15" i="3"/>
  <c r="V4" i="3"/>
  <c r="AY22" i="3"/>
  <c r="AY29" i="3"/>
  <c r="AY23" i="3"/>
  <c r="AY21" i="3"/>
  <c r="AY39" i="3"/>
  <c r="AY33" i="3"/>
  <c r="AY31" i="3"/>
  <c r="AY32" i="3"/>
  <c r="AY2" i="3"/>
  <c r="AY9" i="3"/>
  <c r="AY3" i="3"/>
  <c r="AY1" i="3"/>
  <c r="AY22" i="34"/>
  <c r="AY29" i="34"/>
  <c r="AY23" i="34"/>
  <c r="AY21" i="34"/>
  <c r="AY6" i="28"/>
  <c r="AI7" i="25" s="1"/>
  <c r="AY6" i="34"/>
  <c r="AD7" i="25" s="1"/>
  <c r="AY7" i="28"/>
  <c r="AY7" i="34"/>
  <c r="AY63" i="28"/>
  <c r="AY63" i="34"/>
  <c r="AY45" i="28"/>
  <c r="AY45" i="34"/>
  <c r="AY39" i="34"/>
  <c r="AY33" i="34"/>
  <c r="AD64" i="25" s="1"/>
  <c r="AY31" i="34"/>
  <c r="AY32" i="34"/>
  <c r="AY2" i="34"/>
  <c r="AY9" i="34"/>
  <c r="AY3" i="34"/>
  <c r="AD4" i="25" s="1"/>
  <c r="AY1" i="34"/>
  <c r="AY24" i="28"/>
  <c r="AY24" i="34"/>
  <c r="BS13" i="28"/>
  <c r="BS15" i="28"/>
  <c r="AA23" i="28"/>
  <c r="CB24" i="28"/>
  <c r="CB22" i="28"/>
  <c r="BS34" i="28"/>
  <c r="AA43" i="28"/>
  <c r="AB45" i="28"/>
  <c r="BV42" i="28"/>
  <c r="BS55" i="28"/>
  <c r="AY44" i="28"/>
  <c r="AY44" i="34"/>
  <c r="AY38" i="28"/>
  <c r="AY38" i="34"/>
  <c r="AD69" i="25" s="1"/>
  <c r="AY36" i="28"/>
  <c r="AY36" i="34"/>
  <c r="AD67" i="25" s="1"/>
  <c r="AY75" i="28"/>
  <c r="AY75" i="34"/>
  <c r="AY82" i="28"/>
  <c r="AY82" i="34"/>
  <c r="AY71" i="28"/>
  <c r="AY71" i="34"/>
  <c r="AY42" i="34"/>
  <c r="AY49" i="34"/>
  <c r="AY43" i="34"/>
  <c r="AY41" i="34"/>
  <c r="AY17" i="28"/>
  <c r="AY17" i="34"/>
  <c r="AY54" i="34"/>
  <c r="AD85" i="25" s="1"/>
  <c r="CA23" i="28"/>
  <c r="AY69" i="28"/>
  <c r="AY69" i="34"/>
  <c r="AY47" i="28"/>
  <c r="AY47" i="34"/>
  <c r="AD78" i="25" s="1"/>
  <c r="AY58" i="28"/>
  <c r="AY58" i="34"/>
  <c r="AD89" i="25" s="1"/>
  <c r="AY74" i="28"/>
  <c r="AY37" i="28"/>
  <c r="AY37" i="34"/>
  <c r="AY16" i="28"/>
  <c r="AI17" i="25" s="1"/>
  <c r="AY16" i="34"/>
  <c r="AY19" i="34"/>
  <c r="AY13" i="34"/>
  <c r="AY11" i="34"/>
  <c r="AY12" i="34"/>
  <c r="AY5" i="28"/>
  <c r="AY5" i="34"/>
  <c r="AY67" i="28"/>
  <c r="AY67" i="34"/>
  <c r="AY57" i="28"/>
  <c r="AY57" i="34"/>
  <c r="AY27" i="28"/>
  <c r="AY27" i="34"/>
  <c r="AD28" i="25" s="1"/>
  <c r="AY15" i="28"/>
  <c r="AY15" i="34"/>
  <c r="AY26" i="28"/>
  <c r="AY26" i="34"/>
  <c r="U43" i="28"/>
  <c r="U53" i="28"/>
  <c r="T15" i="3"/>
  <c r="AY46" i="28"/>
  <c r="AY46" i="34"/>
  <c r="AY55" i="28"/>
  <c r="AI86" i="25" s="1"/>
  <c r="AY55" i="34"/>
  <c r="AY34" i="28"/>
  <c r="AY34" i="34"/>
  <c r="AY4" i="28"/>
  <c r="AY4" i="34"/>
  <c r="AY59" i="34"/>
  <c r="AY53" i="34"/>
  <c r="AD84" i="25" s="1"/>
  <c r="AY51" i="34"/>
  <c r="AY52" i="34"/>
  <c r="AY18" i="28"/>
  <c r="AI19" i="25" s="1"/>
  <c r="AY18" i="34"/>
  <c r="AD19" i="25" s="1"/>
  <c r="AY14" i="28"/>
  <c r="AY14" i="34"/>
  <c r="AY64" i="28"/>
  <c r="AY64" i="34"/>
  <c r="S43" i="28"/>
  <c r="BS53" i="28"/>
  <c r="BS5" i="28"/>
  <c r="S4" i="28"/>
  <c r="BV22" i="28"/>
  <c r="BS14" i="28"/>
  <c r="BT12" i="28"/>
  <c r="BU32" i="28"/>
  <c r="BU22" i="28"/>
  <c r="AY12" i="28"/>
  <c r="AY19" i="28"/>
  <c r="AY13" i="28"/>
  <c r="AY11" i="28"/>
  <c r="BS29" i="2"/>
  <c r="K59" i="25"/>
  <c r="R59" i="25" s="1"/>
  <c r="CY16" i="4"/>
  <c r="BV17" i="2"/>
  <c r="BT19" i="2"/>
  <c r="K47" i="25"/>
  <c r="AY68" i="28"/>
  <c r="CB2" i="28"/>
  <c r="BT52" i="28"/>
  <c r="BS45" i="28"/>
  <c r="BS35" i="28"/>
  <c r="BV2" i="28"/>
  <c r="BS25" i="28"/>
  <c r="S58" i="28"/>
  <c r="AA54" i="28" s="1"/>
  <c r="U52" i="28"/>
  <c r="BS59" i="28"/>
  <c r="CB52" i="28" s="1"/>
  <c r="BT22" i="28"/>
  <c r="S35" i="28"/>
  <c r="AY86" i="28"/>
  <c r="AY65" i="28"/>
  <c r="AY52" i="28"/>
  <c r="AY59" i="28"/>
  <c r="AY53" i="28"/>
  <c r="AY51" i="28"/>
  <c r="AY35" i="28"/>
  <c r="AY25" i="28"/>
  <c r="AI26" i="25" s="1"/>
  <c r="AY54" i="28"/>
  <c r="V58" i="2"/>
  <c r="K85" i="25"/>
  <c r="BS33" i="28"/>
  <c r="T42" i="28"/>
  <c r="BS19" i="28"/>
  <c r="S3" i="28"/>
  <c r="S33" i="28"/>
  <c r="T22" i="28"/>
  <c r="V2" i="28"/>
  <c r="AY29" i="28"/>
  <c r="AY23" i="28"/>
  <c r="AY21" i="28"/>
  <c r="AY22" i="28"/>
  <c r="AY32" i="28"/>
  <c r="AY39" i="28"/>
  <c r="AY33" i="28"/>
  <c r="AY31" i="28"/>
  <c r="AY9" i="28"/>
  <c r="AY3" i="28"/>
  <c r="AY1" i="28"/>
  <c r="AY2" i="28"/>
  <c r="AY49" i="28"/>
  <c r="AY43" i="28"/>
  <c r="AY41" i="28"/>
  <c r="AY42" i="28"/>
  <c r="U6" i="2"/>
  <c r="AY94" i="28"/>
  <c r="V23" i="3"/>
  <c r="K134" i="25"/>
  <c r="T56" i="2"/>
  <c r="U36" i="2"/>
  <c r="U59" i="2"/>
  <c r="S57" i="2"/>
  <c r="U26" i="2"/>
  <c r="AY68" i="4"/>
  <c r="S5" i="3"/>
  <c r="K66" i="25"/>
  <c r="K84" i="25"/>
  <c r="K128" i="25"/>
  <c r="S28" i="2"/>
  <c r="K16" i="25"/>
  <c r="AY54" i="4"/>
  <c r="AY67" i="4"/>
  <c r="AY27" i="4"/>
  <c r="U27" i="2"/>
  <c r="T28" i="2"/>
  <c r="K28" i="25"/>
  <c r="T14" i="3"/>
  <c r="CY35" i="4"/>
  <c r="BS38" i="2"/>
  <c r="BU36" i="2"/>
  <c r="K96" i="25"/>
  <c r="BV13" i="3"/>
  <c r="S9" i="3"/>
  <c r="AB2" i="3" s="1"/>
  <c r="K132" i="25"/>
  <c r="AY57" i="4"/>
  <c r="T58" i="2"/>
  <c r="U57" i="2"/>
  <c r="K88" i="25"/>
  <c r="AY15" i="4"/>
  <c r="S18" i="2"/>
  <c r="U16" i="2"/>
  <c r="CY6" i="4"/>
  <c r="BT9" i="2"/>
  <c r="BV7" i="2"/>
  <c r="K37" i="25"/>
  <c r="AY16" i="4"/>
  <c r="K7" i="25"/>
  <c r="BT22" i="3"/>
  <c r="CY4" i="4"/>
  <c r="BU35" i="28"/>
  <c r="BT34" i="28"/>
  <c r="BT54" i="3"/>
  <c r="CY85" i="4"/>
  <c r="AY55" i="4"/>
  <c r="CY82" i="4"/>
  <c r="AY36" i="4"/>
  <c r="AY4" i="4"/>
  <c r="AY75" i="4"/>
  <c r="AY82" i="4"/>
  <c r="AY86" i="4"/>
  <c r="AY65" i="4"/>
  <c r="AY44" i="4"/>
  <c r="AY37" i="4"/>
  <c r="AY77" i="4"/>
  <c r="AY73" i="4"/>
  <c r="AY63" i="4"/>
  <c r="AY45" i="4"/>
  <c r="S7" i="2"/>
  <c r="AY71" i="4"/>
  <c r="AY17" i="4"/>
  <c r="K58" i="25"/>
  <c r="CY27" i="4"/>
  <c r="CY37" i="4"/>
  <c r="CA22" i="28"/>
  <c r="AY43" i="4"/>
  <c r="AY41" i="4"/>
  <c r="AY42" i="4"/>
  <c r="AY49" i="4"/>
  <c r="BV28" i="2"/>
  <c r="CY24" i="4"/>
  <c r="K55" i="25"/>
  <c r="AM55" i="25" s="1"/>
  <c r="BU29" i="2"/>
  <c r="AY18" i="4"/>
  <c r="V16" i="2"/>
  <c r="K19" i="25"/>
  <c r="AY69" i="4"/>
  <c r="AY47" i="4"/>
  <c r="AY58" i="4"/>
  <c r="V32" i="2"/>
  <c r="AY38" i="4"/>
  <c r="K69" i="25"/>
  <c r="CY44" i="4"/>
  <c r="K105" i="25"/>
  <c r="AM105" i="25" s="1"/>
  <c r="AY34" i="4"/>
  <c r="K65" i="25"/>
  <c r="BS4" i="2"/>
  <c r="CY5" i="4"/>
  <c r="K36" i="25"/>
  <c r="S13" i="2"/>
  <c r="AY12" i="4"/>
  <c r="AY19" i="4"/>
  <c r="AY13" i="4"/>
  <c r="AY11" i="4"/>
  <c r="K14" i="25"/>
  <c r="BT2" i="2"/>
  <c r="CY2" i="4"/>
  <c r="CY9" i="4"/>
  <c r="CY3" i="4"/>
  <c r="CY1" i="4"/>
  <c r="K34" i="25"/>
  <c r="N34" i="25" s="1"/>
  <c r="AB24" i="3"/>
  <c r="V43" i="2"/>
  <c r="AY46" i="4"/>
  <c r="BU42" i="2"/>
  <c r="CY45" i="4"/>
  <c r="V3" i="2"/>
  <c r="AY6" i="4"/>
  <c r="CY59" i="4"/>
  <c r="CY53" i="4"/>
  <c r="CY51" i="4"/>
  <c r="CY52" i="4"/>
  <c r="S23" i="2"/>
  <c r="AY23" i="4"/>
  <c r="AY22" i="4"/>
  <c r="AY29" i="4"/>
  <c r="AY21" i="4"/>
  <c r="BU15" i="2"/>
  <c r="CY14" i="4"/>
  <c r="AY7" i="4"/>
  <c r="BS33" i="2"/>
  <c r="CY39" i="4"/>
  <c r="CY33" i="4"/>
  <c r="CY31" i="4"/>
  <c r="CY32" i="4"/>
  <c r="CY42" i="4"/>
  <c r="CY49" i="4"/>
  <c r="CY43" i="4"/>
  <c r="CY41" i="4"/>
  <c r="S53" i="2"/>
  <c r="Z53" i="2" s="1"/>
  <c r="AY59" i="4"/>
  <c r="AY52" i="4"/>
  <c r="AY51" i="4"/>
  <c r="AY53" i="4"/>
  <c r="S34" i="2"/>
  <c r="AY35" i="4"/>
  <c r="S24" i="2"/>
  <c r="AY25" i="4"/>
  <c r="CB13" i="28"/>
  <c r="BV43" i="28"/>
  <c r="CY22" i="4"/>
  <c r="CY29" i="4"/>
  <c r="CY23" i="4"/>
  <c r="CY21" i="4"/>
  <c r="S8" i="2"/>
  <c r="AY5" i="4"/>
  <c r="AY39" i="4"/>
  <c r="AY33" i="4"/>
  <c r="AY31" i="4"/>
  <c r="AY32" i="4"/>
  <c r="BS13" i="2"/>
  <c r="CY19" i="4"/>
  <c r="CY13" i="4"/>
  <c r="CY11" i="4"/>
  <c r="CY12" i="4"/>
  <c r="T6" i="2"/>
  <c r="AY3" i="4"/>
  <c r="AY1" i="4"/>
  <c r="AY2" i="4"/>
  <c r="AY9" i="4"/>
  <c r="BV26" i="2"/>
  <c r="CY28" i="4"/>
  <c r="T9" i="3"/>
  <c r="T5" i="3"/>
  <c r="S19" i="3"/>
  <c r="V12" i="3"/>
  <c r="BU33" i="2"/>
  <c r="BT38" i="2"/>
  <c r="BU37" i="2"/>
  <c r="K98" i="25"/>
  <c r="K140" i="25"/>
  <c r="BU57" i="2"/>
  <c r="BT58" i="2"/>
  <c r="K118" i="25"/>
  <c r="AL118" i="25" s="1"/>
  <c r="T18" i="2"/>
  <c r="U17" i="2"/>
  <c r="BU53" i="3"/>
  <c r="BU57" i="3"/>
  <c r="CB54" i="3" s="1"/>
  <c r="S15" i="3"/>
  <c r="S4" i="3"/>
  <c r="K18" i="25"/>
  <c r="S9" i="28"/>
  <c r="AB2" i="28" s="1"/>
  <c r="S5" i="28"/>
  <c r="T26" i="28"/>
  <c r="S23" i="28"/>
  <c r="U26" i="28"/>
  <c r="AB24" i="28" s="1"/>
  <c r="S24" i="28"/>
  <c r="U22" i="28"/>
  <c r="S29" i="28"/>
  <c r="S25" i="28"/>
  <c r="S39" i="28"/>
  <c r="V32" i="28"/>
  <c r="V42" i="28"/>
  <c r="S45" i="28"/>
  <c r="BV57" i="28"/>
  <c r="CA53" i="28" s="1"/>
  <c r="BV53" i="28"/>
  <c r="BT58" i="28"/>
  <c r="CA54" i="28" s="1"/>
  <c r="BT54" i="28"/>
  <c r="BS54" i="3"/>
  <c r="BS58" i="3"/>
  <c r="CA54" i="3" s="1"/>
  <c r="BU52" i="3"/>
  <c r="AA52" i="3"/>
  <c r="BU23" i="2"/>
  <c r="BT28" i="2"/>
  <c r="BU27" i="2"/>
  <c r="U37" i="3"/>
  <c r="AA33" i="3" s="1"/>
  <c r="T34" i="3"/>
  <c r="T46" i="3"/>
  <c r="S43" i="3"/>
  <c r="T46" i="2"/>
  <c r="S47" i="2"/>
  <c r="K74" i="25"/>
  <c r="CB25" i="3"/>
  <c r="V3" i="3"/>
  <c r="AA2" i="3"/>
  <c r="CB33" i="28"/>
  <c r="BT14" i="28"/>
  <c r="BU25" i="28"/>
  <c r="BU23" i="28"/>
  <c r="BU33" i="28"/>
  <c r="S49" i="3"/>
  <c r="AB42" i="3" s="1"/>
  <c r="S45" i="3"/>
  <c r="V42" i="3"/>
  <c r="S55" i="3"/>
  <c r="K78" i="25"/>
  <c r="BS23" i="2"/>
  <c r="BS47" i="2"/>
  <c r="T104" i="25"/>
  <c r="K104" i="25"/>
  <c r="V52" i="3"/>
  <c r="BV18" i="3"/>
  <c r="BU15" i="3"/>
  <c r="T58" i="3"/>
  <c r="AB53" i="3" s="1"/>
  <c r="T54" i="3"/>
  <c r="K75" i="25"/>
  <c r="K67" i="25"/>
  <c r="BS53" i="2"/>
  <c r="K114" i="25"/>
  <c r="O117" i="25"/>
  <c r="K117" i="25"/>
  <c r="K57" i="25"/>
  <c r="AH57" i="25" s="1"/>
  <c r="K136" i="25"/>
  <c r="K89" i="25"/>
  <c r="K108" i="25"/>
  <c r="K68" i="25"/>
  <c r="K17" i="25"/>
  <c r="K38" i="25"/>
  <c r="U5" i="2"/>
  <c r="BU12" i="2"/>
  <c r="BZ12" i="2" s="1"/>
  <c r="K46" i="25"/>
  <c r="T55" i="3"/>
  <c r="AA53" i="3"/>
  <c r="V53" i="3"/>
  <c r="BV54" i="3"/>
  <c r="J9" i="25"/>
  <c r="AC9" i="25"/>
  <c r="K54" i="25"/>
  <c r="AM54" i="25" s="1"/>
  <c r="K5" i="25"/>
  <c r="BV8" i="28"/>
  <c r="BV4" i="28"/>
  <c r="BU5" i="28"/>
  <c r="V7" i="28"/>
  <c r="AA3" i="28" s="1"/>
  <c r="T5" i="28"/>
  <c r="BT9" i="28"/>
  <c r="CA5" i="28" s="1"/>
  <c r="BV3" i="28"/>
  <c r="U3" i="28"/>
  <c r="T8" i="28"/>
  <c r="T4" i="28"/>
  <c r="BU7" i="28"/>
  <c r="BU3" i="28"/>
  <c r="T28" i="28"/>
  <c r="U23" i="28"/>
  <c r="U59" i="28"/>
  <c r="V54" i="28"/>
  <c r="V57" i="28"/>
  <c r="V53" i="28"/>
  <c r="BT55" i="28"/>
  <c r="BT59" i="28"/>
  <c r="CB13" i="3"/>
  <c r="BS19" i="3"/>
  <c r="BV12" i="3"/>
  <c r="T48" i="3"/>
  <c r="T44" i="3"/>
  <c r="CB15" i="28"/>
  <c r="AL9" i="25"/>
  <c r="CA14" i="28"/>
  <c r="V33" i="28"/>
  <c r="T39" i="28"/>
  <c r="AB33" i="28" s="1"/>
  <c r="BU55" i="3"/>
  <c r="BU17" i="2"/>
  <c r="BT18" i="2"/>
  <c r="O48" i="25"/>
  <c r="K48" i="25"/>
  <c r="BS37" i="3"/>
  <c r="DB49" i="28"/>
  <c r="AB9" i="25"/>
  <c r="BT34" i="2"/>
  <c r="K115" i="25"/>
  <c r="BS54" i="2"/>
  <c r="K116" i="25"/>
  <c r="O116" i="25"/>
  <c r="BS24" i="2"/>
  <c r="K56" i="25"/>
  <c r="K8" i="25"/>
  <c r="K148" i="25"/>
  <c r="AM148" i="25" s="1"/>
  <c r="K158" i="25"/>
  <c r="AF31" i="6"/>
  <c r="AI3" i="6"/>
  <c r="AA35" i="3"/>
  <c r="AI2" i="6"/>
  <c r="AJ2" i="6"/>
  <c r="CA35" i="28"/>
  <c r="V48" i="3"/>
  <c r="S54" i="2"/>
  <c r="U52" i="2"/>
  <c r="BT52" i="2"/>
  <c r="AA45" i="28"/>
  <c r="BS5" i="3"/>
  <c r="BT42" i="2"/>
  <c r="S35" i="2"/>
  <c r="T22" i="2"/>
  <c r="T5" i="2"/>
  <c r="BS3" i="2"/>
  <c r="U2" i="2"/>
  <c r="Z2" i="2" s="1"/>
  <c r="AB14" i="3"/>
  <c r="T34" i="28"/>
  <c r="BT22" i="2"/>
  <c r="CA32" i="3"/>
  <c r="CB34" i="28"/>
  <c r="T45" i="28"/>
  <c r="AB43" i="28"/>
  <c r="CA55" i="3"/>
  <c r="BU49" i="3"/>
  <c r="CA45" i="3" s="1"/>
  <c r="BU45" i="3"/>
  <c r="T15" i="2"/>
  <c r="V13" i="2"/>
  <c r="V43" i="28"/>
  <c r="CA43" i="3"/>
  <c r="BU53" i="28"/>
  <c r="BT8" i="28"/>
  <c r="BT4" i="28"/>
  <c r="S44" i="28"/>
  <c r="BU43" i="28"/>
  <c r="AB53" i="28"/>
  <c r="AH9" i="25"/>
  <c r="BU35" i="2"/>
  <c r="BV34" i="2"/>
  <c r="K95" i="25"/>
  <c r="AA12" i="3"/>
  <c r="BT12" i="3"/>
  <c r="BV14" i="3"/>
  <c r="BU12" i="3"/>
  <c r="BS15" i="3"/>
  <c r="U22" i="3"/>
  <c r="T25" i="3"/>
  <c r="S25" i="3"/>
  <c r="BV33" i="3"/>
  <c r="BS35" i="3"/>
  <c r="T42" i="3"/>
  <c r="V44" i="3"/>
  <c r="BU45" i="2"/>
  <c r="BV44" i="2"/>
  <c r="U45" i="2"/>
  <c r="V44" i="2"/>
  <c r="BT25" i="2"/>
  <c r="BV23" i="2"/>
  <c r="BV53" i="2"/>
  <c r="BT55" i="2"/>
  <c r="U33" i="2"/>
  <c r="T34" i="2"/>
  <c r="BU55" i="2"/>
  <c r="BV54" i="2"/>
  <c r="T44" i="2"/>
  <c r="U43" i="2"/>
  <c r="U35" i="2"/>
  <c r="V34" i="2"/>
  <c r="BS37" i="2"/>
  <c r="T4" i="2"/>
  <c r="U3" i="2"/>
  <c r="BU13" i="2"/>
  <c r="BT14" i="2"/>
  <c r="BU2" i="2"/>
  <c r="BS44" i="2"/>
  <c r="BV4" i="2"/>
  <c r="BU5" i="2"/>
  <c r="BU52" i="2"/>
  <c r="BT36" i="2"/>
  <c r="BU22" i="2"/>
  <c r="BV14" i="2"/>
  <c r="BT4" i="2"/>
  <c r="BU3" i="2"/>
  <c r="T12" i="2"/>
  <c r="V4" i="2"/>
  <c r="BU16" i="2"/>
  <c r="BS14" i="2"/>
  <c r="BS18" i="2"/>
  <c r="V52" i="2"/>
  <c r="S55" i="2"/>
  <c r="BT44" i="2"/>
  <c r="BU43" i="2"/>
  <c r="T35" i="2"/>
  <c r="V33" i="2"/>
  <c r="BT32" i="2"/>
  <c r="CA2" i="3"/>
  <c r="BT35" i="3"/>
  <c r="BS33" i="3"/>
  <c r="U42" i="3"/>
  <c r="BT4" i="3"/>
  <c r="S48" i="28"/>
  <c r="CB45" i="3"/>
  <c r="CB3" i="3"/>
  <c r="BT45" i="3"/>
  <c r="BV4" i="3"/>
  <c r="BV2" i="3"/>
  <c r="BT44" i="3"/>
  <c r="BS14" i="3"/>
  <c r="BU19" i="3"/>
  <c r="AA24" i="3"/>
  <c r="S23" i="3"/>
  <c r="CB35" i="28"/>
  <c r="T52" i="28"/>
  <c r="BS43" i="28"/>
  <c r="BT44" i="28"/>
  <c r="BT34" i="3"/>
  <c r="U56" i="2"/>
  <c r="S58" i="2"/>
  <c r="T45" i="3"/>
  <c r="V27" i="3"/>
  <c r="AA23" i="3" s="1"/>
  <c r="BV32" i="3"/>
  <c r="BV37" i="3"/>
  <c r="BT32" i="3"/>
  <c r="V22" i="3"/>
  <c r="T24" i="3"/>
  <c r="BV43" i="3"/>
  <c r="BV42" i="3"/>
  <c r="S24" i="3"/>
  <c r="BS13" i="3"/>
  <c r="BV16" i="3"/>
  <c r="BT15" i="3"/>
  <c r="BS18" i="3"/>
  <c r="V24" i="3"/>
  <c r="Y9" i="25"/>
  <c r="U45" i="3"/>
  <c r="U49" i="3"/>
  <c r="BU33" i="3"/>
  <c r="V44" i="28"/>
  <c r="CA4" i="3"/>
  <c r="BT42" i="28"/>
  <c r="CA33" i="28"/>
  <c r="V43" i="3"/>
  <c r="S44" i="3"/>
  <c r="BT14" i="3"/>
  <c r="S13" i="3"/>
  <c r="BU3" i="3"/>
  <c r="CA45" i="28"/>
  <c r="AA25" i="3"/>
  <c r="BU13" i="3"/>
  <c r="U23" i="3"/>
  <c r="U45" i="28"/>
  <c r="T12" i="3"/>
  <c r="BS54" i="28"/>
  <c r="BU52" i="28"/>
  <c r="BT26" i="2"/>
  <c r="BS27" i="2"/>
  <c r="BU9" i="2"/>
  <c r="BV8" i="2"/>
  <c r="BS45" i="3"/>
  <c r="U49" i="2"/>
  <c r="V48" i="2"/>
  <c r="A86" i="2"/>
  <c r="V38" i="2"/>
  <c r="U39" i="2"/>
  <c r="BU59" i="2"/>
  <c r="BV58" i="2"/>
  <c r="T48" i="2"/>
  <c r="U47" i="2"/>
  <c r="S39" i="2"/>
  <c r="V36" i="2"/>
  <c r="BU46" i="2"/>
  <c r="BS48" i="2"/>
  <c r="T19" i="2"/>
  <c r="V17" i="2"/>
  <c r="BU6" i="2"/>
  <c r="BS8" i="2"/>
  <c r="T9" i="2"/>
  <c r="V7" i="2"/>
  <c r="T8" i="2"/>
  <c r="U7" i="2"/>
  <c r="S17" i="2"/>
  <c r="T16" i="2"/>
  <c r="U9" i="2"/>
  <c r="V8" i="2"/>
  <c r="O29" i="25"/>
  <c r="T9" i="25"/>
  <c r="T49" i="2"/>
  <c r="V47" i="2"/>
  <c r="S59" i="2"/>
  <c r="V56" i="2"/>
  <c r="BU49" i="2"/>
  <c r="BV48" i="2"/>
  <c r="BT59" i="2"/>
  <c r="BV57" i="2"/>
  <c r="BT29" i="2"/>
  <c r="BV27" i="2"/>
  <c r="BU26" i="2"/>
  <c r="BS28" i="2"/>
  <c r="S27" i="2"/>
  <c r="T26" i="2"/>
  <c r="BU19" i="2"/>
  <c r="BV18" i="2"/>
  <c r="BT8" i="2"/>
  <c r="BU7" i="2"/>
  <c r="BU39" i="2"/>
  <c r="BV38" i="2"/>
  <c r="BT48" i="2"/>
  <c r="BU47" i="2"/>
  <c r="T39" i="2"/>
  <c r="V37" i="2"/>
  <c r="BT56" i="2"/>
  <c r="BS57" i="2"/>
  <c r="T38" i="2"/>
  <c r="U37" i="2"/>
  <c r="BS58" i="2"/>
  <c r="BU56" i="2"/>
  <c r="BS7" i="2"/>
  <c r="BT6" i="2"/>
  <c r="AF2" i="6"/>
  <c r="AG2" i="6"/>
  <c r="AH3" i="6"/>
  <c r="AK31" i="6"/>
  <c r="AG31" i="6"/>
  <c r="AF3" i="6"/>
  <c r="AG3" i="6"/>
  <c r="AH2" i="6"/>
  <c r="CB24" i="3"/>
  <c r="CA34" i="28"/>
  <c r="CA23" i="3"/>
  <c r="BU46" i="28"/>
  <c r="CB44" i="28" s="1"/>
  <c r="BU56" i="28"/>
  <c r="J95" i="25"/>
  <c r="J97" i="25"/>
  <c r="J115" i="25"/>
  <c r="H164" i="25"/>
  <c r="T24" i="28"/>
  <c r="U37" i="28"/>
  <c r="AA33" i="28" s="1"/>
  <c r="U33" i="28"/>
  <c r="U9" i="3"/>
  <c r="BU25" i="3"/>
  <c r="BT24" i="3"/>
  <c r="H138" i="25"/>
  <c r="U56" i="28"/>
  <c r="U53" i="3"/>
  <c r="BV52" i="28"/>
  <c r="U2" i="28"/>
  <c r="AN9" i="6"/>
  <c r="AN10" i="6" s="1"/>
  <c r="AN11" i="6" s="1"/>
  <c r="AN12" i="6" s="1"/>
  <c r="AN13" i="6" s="1"/>
  <c r="AN14" i="6" s="1"/>
  <c r="AN15" i="6" s="1"/>
  <c r="AN16" i="6" s="1"/>
  <c r="AN17" i="6" s="1"/>
  <c r="AN18" i="6" s="1"/>
  <c r="AN19" i="6" s="1"/>
  <c r="AN20" i="6" s="1"/>
  <c r="AN21" i="6" s="1"/>
  <c r="AN22" i="6" s="1"/>
  <c r="AN23" i="6" s="1"/>
  <c r="AN24" i="6" s="1"/>
  <c r="AN25" i="6" s="1"/>
  <c r="AN26" i="6" s="1"/>
  <c r="AN27" i="6" s="1"/>
  <c r="AN28" i="6" s="1"/>
  <c r="AN29" i="6" s="1"/>
  <c r="AN30" i="6" s="1"/>
  <c r="AN31" i="6" s="1"/>
  <c r="AN32" i="6" s="1"/>
  <c r="J130" i="25"/>
  <c r="CB22" i="3"/>
  <c r="BB47" i="36"/>
  <c r="BB47" i="34"/>
  <c r="B55" i="36"/>
  <c r="B55" i="5"/>
  <c r="B14" i="36"/>
  <c r="B14" i="5"/>
  <c r="B5" i="36"/>
  <c r="BB13" i="36"/>
  <c r="BB13" i="5"/>
  <c r="B358" i="29"/>
  <c r="B259" i="29"/>
  <c r="B263" i="29"/>
  <c r="B52" i="29"/>
  <c r="CB32" i="28"/>
  <c r="AB4" i="28"/>
  <c r="BB82" i="28"/>
  <c r="B89" i="28"/>
  <c r="BB13" i="34"/>
  <c r="B86" i="25"/>
  <c r="B5" i="5"/>
  <c r="B66" i="36"/>
  <c r="B66" i="34"/>
  <c r="B65" i="36"/>
  <c r="B128" i="25"/>
  <c r="B63" i="36"/>
  <c r="B63" i="34"/>
  <c r="B85" i="29"/>
  <c r="BB35" i="36"/>
  <c r="B96" i="25"/>
  <c r="B16" i="36"/>
  <c r="B13" i="36"/>
  <c r="B13" i="5"/>
  <c r="B27" i="36"/>
  <c r="B27" i="5"/>
  <c r="BB48" i="36"/>
  <c r="BB48" i="34"/>
  <c r="B46" i="36"/>
  <c r="B46" i="34"/>
  <c r="B53" i="36"/>
  <c r="B43" i="36"/>
  <c r="B74" i="25"/>
  <c r="BB27" i="36"/>
  <c r="BB27" i="34"/>
  <c r="B58" i="25"/>
  <c r="B191" i="29"/>
  <c r="B473" i="29"/>
  <c r="B484" i="29"/>
  <c r="B455" i="29"/>
  <c r="B391" i="29"/>
  <c r="B387" i="29"/>
  <c r="B371" i="29"/>
  <c r="B420" i="29"/>
  <c r="B390" i="29"/>
  <c r="B299" i="29"/>
  <c r="B247" i="29"/>
  <c r="B291" i="29"/>
  <c r="AA55" i="3"/>
  <c r="CB25" i="28"/>
  <c r="B44" i="25"/>
  <c r="B108" i="25"/>
  <c r="B71" i="36"/>
  <c r="B71" i="5"/>
  <c r="B72" i="36"/>
  <c r="B72" i="5"/>
  <c r="B48" i="36"/>
  <c r="B79" i="25"/>
  <c r="B4" i="36"/>
  <c r="B70" i="36"/>
  <c r="B70" i="34"/>
  <c r="B69" i="36"/>
  <c r="B136" i="25"/>
  <c r="B35" i="36"/>
  <c r="BB15" i="36"/>
  <c r="BB15" i="5"/>
  <c r="B24" i="36"/>
  <c r="B3" i="36"/>
  <c r="B3" i="5"/>
  <c r="BB43" i="36"/>
  <c r="BB43" i="5"/>
  <c r="B8" i="29"/>
  <c r="B406" i="29"/>
  <c r="B435" i="29"/>
  <c r="B437" i="29"/>
  <c r="B445" i="29"/>
  <c r="B424" i="29"/>
  <c r="B378" i="29"/>
  <c r="B384" i="29"/>
  <c r="B232" i="29"/>
  <c r="B66" i="5"/>
  <c r="B14" i="34"/>
  <c r="B55" i="34"/>
  <c r="B65" i="34"/>
  <c r="B5" i="34"/>
  <c r="B47" i="36"/>
  <c r="B47" i="5"/>
  <c r="B76" i="36"/>
  <c r="B150" i="25"/>
  <c r="B57" i="36"/>
  <c r="B57" i="5"/>
  <c r="B18" i="36"/>
  <c r="B25" i="36"/>
  <c r="B25" i="5"/>
  <c r="BB8" i="36"/>
  <c r="BB16" i="36"/>
  <c r="BB16" i="34"/>
  <c r="BB25" i="36"/>
  <c r="B204" i="29"/>
  <c r="B26" i="36"/>
  <c r="B243" i="29"/>
  <c r="A86" i="3"/>
  <c r="B85" i="3"/>
  <c r="C84" i="36"/>
  <c r="C162" i="25"/>
  <c r="C84" i="34"/>
  <c r="A84" i="36"/>
  <c r="A84" i="5"/>
  <c r="A162" i="25"/>
  <c r="C83" i="36"/>
  <c r="C83" i="5"/>
  <c r="C160" i="25"/>
  <c r="C83" i="34"/>
  <c r="B485" i="29"/>
  <c r="B479" i="29"/>
  <c r="B438" i="29"/>
  <c r="B422" i="29"/>
  <c r="B408" i="29"/>
  <c r="B345" i="29"/>
  <c r="B335" i="29"/>
  <c r="B318" i="29"/>
  <c r="B273" i="29"/>
  <c r="B337" i="29"/>
  <c r="B290" i="29"/>
  <c r="B312" i="29"/>
  <c r="B184" i="29"/>
  <c r="B180" i="29"/>
  <c r="B111" i="29"/>
  <c r="B225" i="29"/>
  <c r="B94" i="29"/>
  <c r="B49" i="29"/>
  <c r="B19" i="29"/>
  <c r="B175" i="29"/>
  <c r="A55" i="26"/>
  <c r="A90" i="26" s="1"/>
  <c r="A125" i="26" s="1"/>
  <c r="A160" i="26" s="1"/>
  <c r="A195" i="26" s="1"/>
  <c r="D6" i="36"/>
  <c r="D7" i="25"/>
  <c r="D7" i="36"/>
  <c r="D8" i="36"/>
  <c r="D9" i="25"/>
  <c r="D13" i="36"/>
  <c r="D14" i="36"/>
  <c r="D16" i="25"/>
  <c r="D15" i="36"/>
  <c r="D16" i="36"/>
  <c r="D17" i="36"/>
  <c r="D18" i="36"/>
  <c r="D23" i="36"/>
  <c r="D24" i="25"/>
  <c r="D24" i="36"/>
  <c r="D25" i="36"/>
  <c r="D26" i="36"/>
  <c r="A83" i="36"/>
  <c r="X24" i="29"/>
  <c r="W24" i="29"/>
  <c r="AA24" i="29"/>
  <c r="Z40" i="29"/>
  <c r="X40" i="29"/>
  <c r="V114" i="29"/>
  <c r="V128" i="29"/>
  <c r="V176" i="29"/>
  <c r="Z176" i="29"/>
  <c r="X190" i="29"/>
  <c r="X193" i="29"/>
  <c r="U193" i="29"/>
  <c r="X216" i="29"/>
  <c r="AA230" i="29"/>
  <c r="X230" i="29"/>
  <c r="AA239" i="29"/>
  <c r="X284" i="29"/>
  <c r="Z332" i="29"/>
  <c r="B332" i="29" s="1"/>
  <c r="B23" i="36"/>
  <c r="BB37" i="36"/>
  <c r="BB6" i="36"/>
  <c r="BB23" i="36"/>
  <c r="B78" i="36"/>
  <c r="B77" i="36"/>
  <c r="BB57" i="36"/>
  <c r="B28" i="36"/>
  <c r="BB7" i="36"/>
  <c r="BB54" i="36"/>
  <c r="B7" i="36"/>
  <c r="BB5" i="36"/>
  <c r="B73" i="36"/>
  <c r="B67" i="36"/>
  <c r="BB34" i="36"/>
  <c r="B68" i="36"/>
  <c r="BB56" i="36"/>
  <c r="BB26" i="36"/>
  <c r="B37" i="36"/>
  <c r="BB14" i="36"/>
  <c r="S9" i="25"/>
  <c r="X309" i="29"/>
  <c r="Y289" i="29"/>
  <c r="T257" i="29"/>
  <c r="U252" i="29"/>
  <c r="U240" i="29"/>
  <c r="Y331" i="29"/>
  <c r="V330" i="29"/>
  <c r="Z297" i="29"/>
  <c r="U281" i="29"/>
  <c r="AA280" i="29"/>
  <c r="AA265" i="29"/>
  <c r="AA257" i="29"/>
  <c r="AA253" i="29"/>
  <c r="W241" i="29"/>
  <c r="Y327" i="29"/>
  <c r="T310" i="29"/>
  <c r="Z310" i="29"/>
  <c r="X308" i="29"/>
  <c r="W289" i="29"/>
  <c r="T284" i="29"/>
  <c r="T281" i="29"/>
  <c r="Z265" i="29"/>
  <c r="AA256" i="29"/>
  <c r="V253" i="29"/>
  <c r="B253" i="29" s="1"/>
  <c r="W244" i="29"/>
  <c r="W240" i="29"/>
  <c r="T219" i="29"/>
  <c r="V266" i="29"/>
  <c r="X257" i="29"/>
  <c r="Y250" i="29"/>
  <c r="Y244" i="29"/>
  <c r="V222" i="29"/>
  <c r="Z221" i="29"/>
  <c r="U218" i="29"/>
  <c r="U212" i="29"/>
  <c r="U192" i="29"/>
  <c r="T185" i="29"/>
  <c r="T169" i="29"/>
  <c r="V163" i="29"/>
  <c r="T157" i="29"/>
  <c r="V151" i="29"/>
  <c r="V147" i="29"/>
  <c r="T141" i="29"/>
  <c r="V135" i="29"/>
  <c r="T125" i="29"/>
  <c r="U120" i="29"/>
  <c r="T109" i="29"/>
  <c r="X244" i="29"/>
  <c r="U230" i="29"/>
  <c r="U229" i="29"/>
  <c r="Y222" i="29"/>
  <c r="AA213" i="29"/>
  <c r="W212" i="29"/>
  <c r="V207" i="29"/>
  <c r="U195" i="29"/>
  <c r="T188" i="29"/>
  <c r="U171" i="29"/>
  <c r="T164" i="29"/>
  <c r="T156" i="29"/>
  <c r="T152" i="29"/>
  <c r="T148" i="29"/>
  <c r="U135" i="29"/>
  <c r="U123" i="29"/>
  <c r="U119" i="29"/>
  <c r="U265" i="29"/>
  <c r="Z255" i="29"/>
  <c r="Y242" i="29"/>
  <c r="AA242" i="29"/>
  <c r="T229" i="29"/>
  <c r="AA229" i="29"/>
  <c r="Y219" i="29"/>
  <c r="AA216" i="29"/>
  <c r="Z213" i="29"/>
  <c r="T207" i="29"/>
  <c r="AA196" i="29"/>
  <c r="V193" i="29"/>
  <c r="V189" i="29"/>
  <c r="Z185" i="29"/>
  <c r="W176" i="29"/>
  <c r="AA172" i="29"/>
  <c r="V169" i="29"/>
  <c r="AA164" i="29"/>
  <c r="V161" i="29"/>
  <c r="Z157" i="29"/>
  <c r="T155" i="29"/>
  <c r="Z149" i="29"/>
  <c r="T147" i="29"/>
  <c r="V137" i="29"/>
  <c r="AA132" i="29"/>
  <c r="V129" i="29"/>
  <c r="Z125" i="29"/>
  <c r="T123" i="29"/>
  <c r="W120" i="29"/>
  <c r="T115" i="29"/>
  <c r="Z109" i="29"/>
  <c r="AA289" i="29"/>
  <c r="V220" i="29"/>
  <c r="AA219" i="29"/>
  <c r="Y206" i="29"/>
  <c r="AA206" i="29"/>
  <c r="W193" i="29"/>
  <c r="Y190" i="29"/>
  <c r="AA190" i="29"/>
  <c r="U165" i="29"/>
  <c r="W161" i="29"/>
  <c r="U158" i="29"/>
  <c r="W158" i="29"/>
  <c r="X149" i="29"/>
  <c r="V142" i="29"/>
  <c r="Y129" i="29"/>
  <c r="U126" i="29"/>
  <c r="W126" i="29"/>
  <c r="U118" i="29"/>
  <c r="X117" i="29"/>
  <c r="Z115" i="29"/>
  <c r="AA105" i="29"/>
  <c r="W104" i="29"/>
  <c r="Y101" i="29"/>
  <c r="U97" i="29"/>
  <c r="V88" i="29"/>
  <c r="V76" i="29"/>
  <c r="U69" i="29"/>
  <c r="U33" i="29"/>
  <c r="T18" i="29"/>
  <c r="T14" i="29"/>
  <c r="T6" i="29"/>
  <c r="B6" i="29" s="1"/>
  <c r="V162" i="29"/>
  <c r="Y133" i="29"/>
  <c r="AA221" i="29"/>
  <c r="AA217" i="29"/>
  <c r="Z217" i="29"/>
  <c r="Y205" i="29"/>
  <c r="Z187" i="29"/>
  <c r="V186" i="29"/>
  <c r="Y170" i="29"/>
  <c r="AA170" i="29"/>
  <c r="Z155" i="29"/>
  <c r="V154" i="29"/>
  <c r="V152" i="29"/>
  <c r="AA141" i="29"/>
  <c r="AA125" i="29"/>
  <c r="Y122" i="29"/>
  <c r="AA122" i="29"/>
  <c r="T116" i="29"/>
  <c r="Y116" i="29"/>
  <c r="W108" i="29"/>
  <c r="V106" i="29"/>
  <c r="Z105" i="29"/>
  <c r="X101" i="29"/>
  <c r="U100" i="29"/>
  <c r="U96" i="29"/>
  <c r="U92" i="29"/>
  <c r="U88" i="29"/>
  <c r="B88" i="29" s="1"/>
  <c r="T77" i="29"/>
  <c r="U64" i="29"/>
  <c r="U60" i="29"/>
  <c r="Y40" i="29"/>
  <c r="Y24" i="29"/>
  <c r="Y16" i="29"/>
  <c r="X9" i="29"/>
  <c r="X5" i="29"/>
  <c r="Y419" i="29"/>
  <c r="B419" i="29" s="1"/>
  <c r="Z219" i="29"/>
  <c r="V194" i="29"/>
  <c r="W149" i="29"/>
  <c r="Y146" i="29"/>
  <c r="T130" i="29"/>
  <c r="Z130" i="29"/>
  <c r="Y254" i="29"/>
  <c r="AA254" i="29"/>
  <c r="U221" i="29"/>
  <c r="X205" i="29"/>
  <c r="U198" i="29"/>
  <c r="W198" i="29"/>
  <c r="W187" i="29"/>
  <c r="AA185" i="29"/>
  <c r="W171" i="29"/>
  <c r="AA169" i="29"/>
  <c r="X155" i="29"/>
  <c r="Y150" i="29"/>
  <c r="AA150" i="29"/>
  <c r="Z135" i="29"/>
  <c r="AA134" i="29"/>
  <c r="X123" i="29"/>
  <c r="Z119" i="29"/>
  <c r="Y114" i="29"/>
  <c r="X113" i="29"/>
  <c r="T106" i="29"/>
  <c r="V98" i="29"/>
  <c r="T92" i="29"/>
  <c r="W89" i="29"/>
  <c r="T76" i="29"/>
  <c r="Z70" i="29"/>
  <c r="Z66" i="29"/>
  <c r="V34" i="29"/>
  <c r="T24" i="29"/>
  <c r="Z18" i="29"/>
  <c r="T16" i="29"/>
  <c r="Z10" i="29"/>
  <c r="AA5" i="29"/>
  <c r="V2" i="29"/>
  <c r="W215" i="29"/>
  <c r="T87" i="29"/>
  <c r="Z87" i="29"/>
  <c r="X78" i="29"/>
  <c r="T39" i="29"/>
  <c r="Z39" i="29"/>
  <c r="X14" i="29"/>
  <c r="T7" i="29"/>
  <c r="Z7" i="29"/>
  <c r="T11" i="29"/>
  <c r="Y99" i="29"/>
  <c r="AA99" i="29"/>
  <c r="Y81" i="29"/>
  <c r="AA70" i="29"/>
  <c r="V35" i="29"/>
  <c r="V33" i="29"/>
  <c r="Y17" i="29"/>
  <c r="V101" i="29"/>
  <c r="Y98" i="29"/>
  <c r="T79" i="29"/>
  <c r="Z79" i="29"/>
  <c r="Y77" i="29"/>
  <c r="W66" i="29"/>
  <c r="Y61" i="29"/>
  <c r="AA18" i="29"/>
  <c r="AA2" i="29"/>
  <c r="Z91" i="29"/>
  <c r="Y14" i="29"/>
  <c r="Y11" i="29"/>
  <c r="AA11" i="29"/>
  <c r="D18" i="25"/>
  <c r="D8" i="25"/>
  <c r="D25" i="25"/>
  <c r="BD4" i="36"/>
  <c r="BD5" i="36"/>
  <c r="F6" i="36"/>
  <c r="F7" i="25"/>
  <c r="F7" i="36"/>
  <c r="F8" i="36"/>
  <c r="F13" i="36"/>
  <c r="F14" i="36"/>
  <c r="F15" i="36"/>
  <c r="F16" i="36"/>
  <c r="F17" i="36"/>
  <c r="F18" i="25"/>
  <c r="F18" i="36"/>
  <c r="U18" i="29"/>
  <c r="Z24" i="29"/>
  <c r="U34" i="29"/>
  <c r="W60" i="29"/>
  <c r="Z60" i="29"/>
  <c r="X60" i="29"/>
  <c r="Z61" i="29"/>
  <c r="X64" i="29"/>
  <c r="X66" i="29"/>
  <c r="X76" i="29"/>
  <c r="AA76" i="29"/>
  <c r="Z77" i="29"/>
  <c r="X110" i="29"/>
  <c r="Z110" i="29"/>
  <c r="X127" i="29"/>
  <c r="AA127" i="29"/>
  <c r="Z128" i="29"/>
  <c r="U129" i="29"/>
  <c r="U141" i="29"/>
  <c r="X142" i="29"/>
  <c r="V144" i="29"/>
  <c r="B144" i="29" s="1"/>
  <c r="W167" i="29"/>
  <c r="U177" i="29"/>
  <c r="AA187" i="29"/>
  <c r="V188" i="29"/>
  <c r="Z195" i="29"/>
  <c r="Z211" i="29"/>
  <c r="Y211" i="29"/>
  <c r="Z240" i="29"/>
  <c r="X264" i="29"/>
  <c r="Y271" i="29"/>
  <c r="AA271" i="29"/>
  <c r="W275" i="29"/>
  <c r="B275" i="29" s="1"/>
  <c r="Z284" i="29"/>
  <c r="U289" i="29"/>
  <c r="W407" i="29"/>
  <c r="B407" i="29" s="1"/>
  <c r="V418" i="29"/>
  <c r="B418" i="29" s="1"/>
  <c r="B7" i="25"/>
  <c r="B23" i="5"/>
  <c r="B56" i="36"/>
  <c r="B64" i="36"/>
  <c r="BB46" i="36"/>
  <c r="BB3" i="36"/>
  <c r="BB38" i="36"/>
  <c r="BB24" i="36"/>
  <c r="B75" i="36"/>
  <c r="B38" i="36"/>
  <c r="BB44" i="36"/>
  <c r="B34" i="36"/>
  <c r="B58" i="36"/>
  <c r="D7" i="5"/>
  <c r="D15" i="5"/>
  <c r="BB58" i="36"/>
  <c r="BB18" i="36"/>
  <c r="B45" i="36"/>
  <c r="B54" i="36"/>
  <c r="D27" i="25"/>
  <c r="D17" i="5"/>
  <c r="D16" i="5"/>
  <c r="B74" i="36"/>
  <c r="D8" i="5"/>
  <c r="D14" i="25"/>
  <c r="B15" i="36"/>
  <c r="B33" i="36"/>
  <c r="D18" i="34"/>
  <c r="BB45" i="36"/>
  <c r="BB4" i="36"/>
  <c r="V67" i="29"/>
  <c r="B85" i="28"/>
  <c r="BB36" i="36"/>
  <c r="B36" i="36"/>
  <c r="B44" i="36"/>
  <c r="Y15" i="29"/>
  <c r="B15" i="29" s="1"/>
  <c r="T13" i="29"/>
  <c r="B13" i="29" s="1"/>
  <c r="X65" i="29"/>
  <c r="B65" i="29" s="1"/>
  <c r="M9" i="25"/>
  <c r="Y68" i="29"/>
  <c r="B68" i="29" s="1"/>
  <c r="T136" i="29"/>
  <c r="B136" i="29" s="1"/>
  <c r="AA168" i="29"/>
  <c r="B168" i="29" s="1"/>
  <c r="Y153" i="29"/>
  <c r="B153" i="29" s="1"/>
  <c r="C84" i="3"/>
  <c r="T362" i="29"/>
  <c r="B362" i="29" s="1"/>
  <c r="V327" i="29"/>
  <c r="T374" i="29"/>
  <c r="AA360" i="29"/>
  <c r="B360" i="29" s="1"/>
  <c r="W309" i="29"/>
  <c r="Y386" i="29"/>
  <c r="B386" i="29" s="1"/>
  <c r="T331" i="29"/>
  <c r="B331" i="29" s="1"/>
  <c r="V309" i="29"/>
  <c r="Y366" i="29"/>
  <c r="B366" i="29" s="1"/>
  <c r="T289" i="29"/>
  <c r="U256" i="29"/>
  <c r="V239" i="29"/>
  <c r="W385" i="29"/>
  <c r="B385" i="29" s="1"/>
  <c r="T330" i="29"/>
  <c r="Z330" i="29"/>
  <c r="Z327" i="29"/>
  <c r="W297" i="29"/>
  <c r="Y280" i="29"/>
  <c r="W265" i="29"/>
  <c r="W257" i="29"/>
  <c r="T240" i="29"/>
  <c r="T228" i="29"/>
  <c r="U310" i="29"/>
  <c r="W310" i="29"/>
  <c r="W284" i="29"/>
  <c r="V281" i="29"/>
  <c r="V265" i="29"/>
  <c r="W256" i="29"/>
  <c r="AA252" i="29"/>
  <c r="Z241" i="29"/>
  <c r="T239" i="29"/>
  <c r="T215" i="29"/>
  <c r="T266" i="29"/>
  <c r="Z266" i="29"/>
  <c r="X255" i="29"/>
  <c r="V250" i="29"/>
  <c r="AA250" i="29"/>
  <c r="X241" i="29"/>
  <c r="W230" i="29"/>
  <c r="Y221" i="29"/>
  <c r="V219" i="29"/>
  <c r="Y218" i="29"/>
  <c r="U196" i="29"/>
  <c r="T189" i="29"/>
  <c r="V167" i="29"/>
  <c r="T161" i="29"/>
  <c r="U156" i="29"/>
  <c r="T129" i="29"/>
  <c r="U124" i="29"/>
  <c r="V119" i="29"/>
  <c r="Y230" i="29"/>
  <c r="V228" i="29"/>
  <c r="Z222" i="29"/>
  <c r="X219" i="29"/>
  <c r="U213" i="29"/>
  <c r="AA212" i="29"/>
  <c r="X196" i="29"/>
  <c r="X192" i="29"/>
  <c r="Y187" i="29"/>
  <c r="X176" i="29"/>
  <c r="X172" i="29"/>
  <c r="Y167" i="29"/>
  <c r="Y163" i="29"/>
  <c r="Y159" i="29"/>
  <c r="Y155" i="29"/>
  <c r="Y151" i="29"/>
  <c r="Y147" i="29"/>
  <c r="X132" i="29"/>
  <c r="X128" i="29"/>
  <c r="X124" i="29"/>
  <c r="X120" i="29"/>
  <c r="X265" i="29"/>
  <c r="Y252" i="29"/>
  <c r="V242" i="29"/>
  <c r="V229" i="29"/>
  <c r="U228" i="29"/>
  <c r="Y216" i="29"/>
  <c r="Y213" i="29"/>
  <c r="V211" i="29"/>
  <c r="X207" i="29"/>
  <c r="W196" i="29"/>
  <c r="AA192" i="29"/>
  <c r="AA188" i="29"/>
  <c r="V185" i="29"/>
  <c r="Z177" i="29"/>
  <c r="W172" i="29"/>
  <c r="T167" i="29"/>
  <c r="W164" i="29"/>
  <c r="V157" i="29"/>
  <c r="AA152" i="29"/>
  <c r="V149" i="29"/>
  <c r="W132" i="29"/>
  <c r="AA128" i="29"/>
  <c r="V125" i="29"/>
  <c r="Z121" i="29"/>
  <c r="Z113" i="29"/>
  <c r="V109" i="29"/>
  <c r="T220" i="29"/>
  <c r="X220" i="29"/>
  <c r="Y217" i="29"/>
  <c r="V206" i="29"/>
  <c r="AA193" i="29"/>
  <c r="B193" i="29" s="1"/>
  <c r="V190" i="29"/>
  <c r="X186" i="29"/>
  <c r="Y177" i="29"/>
  <c r="X165" i="29"/>
  <c r="Y158" i="29"/>
  <c r="AA158" i="29"/>
  <c r="X147" i="29"/>
  <c r="T142" i="29"/>
  <c r="Z142" i="29"/>
  <c r="U133" i="29"/>
  <c r="W129" i="29"/>
  <c r="Y126" i="29"/>
  <c r="AA126" i="29"/>
  <c r="Y118" i="29"/>
  <c r="V116" i="29"/>
  <c r="U105" i="29"/>
  <c r="AA104" i="29"/>
  <c r="U101" i="29"/>
  <c r="U81" i="29"/>
  <c r="T66" i="29"/>
  <c r="U61" i="29"/>
  <c r="V24" i="29"/>
  <c r="U17" i="29"/>
  <c r="V12" i="29"/>
  <c r="B12" i="29" s="1"/>
  <c r="U5" i="29"/>
  <c r="T162" i="29"/>
  <c r="Z162" i="29"/>
  <c r="V244" i="29"/>
  <c r="W217" i="29"/>
  <c r="X212" i="29"/>
  <c r="W205" i="29"/>
  <c r="Y189" i="29"/>
  <c r="T186" i="29"/>
  <c r="Z186" i="29"/>
  <c r="Z171" i="29"/>
  <c r="V170" i="29"/>
  <c r="Y157" i="29"/>
  <c r="T154" i="29"/>
  <c r="Z154" i="29"/>
  <c r="Y152" i="29"/>
  <c r="Y125" i="29"/>
  <c r="Z123" i="29"/>
  <c r="V122" i="29"/>
  <c r="V120" i="29"/>
  <c r="W116" i="29"/>
  <c r="W113" i="29"/>
  <c r="B113" i="29" s="1"/>
  <c r="U108" i="29"/>
  <c r="B108" i="29" s="1"/>
  <c r="Y105" i="29"/>
  <c r="X104" i="29"/>
  <c r="T101" i="29"/>
  <c r="X97" i="29"/>
  <c r="X89" i="29"/>
  <c r="X81" i="29"/>
  <c r="Y76" i="29"/>
  <c r="X69" i="29"/>
  <c r="X61" i="29"/>
  <c r="U40" i="29"/>
  <c r="U24" i="29"/>
  <c r="U16" i="29"/>
  <c r="T9" i="29"/>
  <c r="B9" i="29" s="1"/>
  <c r="T5" i="29"/>
  <c r="T194" i="29"/>
  <c r="Z194" i="29"/>
  <c r="AA149" i="29"/>
  <c r="V146" i="29"/>
  <c r="AA146" i="29"/>
  <c r="U130" i="29"/>
  <c r="W130" i="29"/>
  <c r="T254" i="29"/>
  <c r="V254" i="29"/>
  <c r="W221" i="29"/>
  <c r="Y198" i="29"/>
  <c r="AA198" i="29"/>
  <c r="X187" i="29"/>
  <c r="X171" i="29"/>
  <c r="Z167" i="29"/>
  <c r="Z151" i="29"/>
  <c r="V150" i="29"/>
  <c r="Y148" i="29"/>
  <c r="Y137" i="29"/>
  <c r="T134" i="29"/>
  <c r="V134" i="29"/>
  <c r="Y132" i="29"/>
  <c r="Y121" i="29"/>
  <c r="Y117" i="29"/>
  <c r="W114" i="29"/>
  <c r="Y109" i="29"/>
  <c r="U106" i="29"/>
  <c r="AA97" i="29"/>
  <c r="Z90" i="29"/>
  <c r="AA81" i="29"/>
  <c r="V78" i="29"/>
  <c r="B78" i="29" s="1"/>
  <c r="V70" i="29"/>
  <c r="V66" i="29"/>
  <c r="AA61" i="29"/>
  <c r="AA33" i="29"/>
  <c r="V30" i="29"/>
  <c r="B30" i="29" s="1"/>
  <c r="V18" i="29"/>
  <c r="Z14" i="29"/>
  <c r="V10" i="29"/>
  <c r="Y215" i="29"/>
  <c r="Y90" i="29"/>
  <c r="U87" i="29"/>
  <c r="W87" i="29"/>
  <c r="Y74" i="29"/>
  <c r="U55" i="29"/>
  <c r="B55" i="29" s="1"/>
  <c r="W55" i="29"/>
  <c r="U39" i="29"/>
  <c r="W39" i="29"/>
  <c r="Y10" i="29"/>
  <c r="U7" i="29"/>
  <c r="W7" i="29"/>
  <c r="Z100" i="29"/>
  <c r="V99" i="29"/>
  <c r="V97" i="29"/>
  <c r="W86" i="29"/>
  <c r="B86" i="29" s="1"/>
  <c r="X74" i="29"/>
  <c r="B74" i="29" s="1"/>
  <c r="U67" i="29"/>
  <c r="B67" i="29" s="1"/>
  <c r="W54" i="29"/>
  <c r="U51" i="29"/>
  <c r="B51" i="29" s="1"/>
  <c r="W51" i="29"/>
  <c r="T35" i="29"/>
  <c r="Z35" i="29"/>
  <c r="Y33" i="29"/>
  <c r="X10" i="29"/>
  <c r="T91" i="29"/>
  <c r="AA101" i="29"/>
  <c r="W98" i="29"/>
  <c r="U95" i="29"/>
  <c r="W95" i="29"/>
  <c r="X91" i="29"/>
  <c r="U79" i="29"/>
  <c r="W79" i="29"/>
  <c r="X75" i="29"/>
  <c r="U63" i="29"/>
  <c r="W63" i="29"/>
  <c r="Z16" i="29"/>
  <c r="X4" i="29"/>
  <c r="U91" i="29"/>
  <c r="W91" i="29"/>
  <c r="V75" i="29"/>
  <c r="W14" i="29"/>
  <c r="V11" i="29"/>
  <c r="D15" i="25"/>
  <c r="F14" i="25"/>
  <c r="F8" i="25"/>
  <c r="F9" i="25"/>
  <c r="D3" i="36"/>
  <c r="BF3" i="36"/>
  <c r="BF4" i="36"/>
  <c r="BD26" i="36"/>
  <c r="D57" i="25"/>
  <c r="BD27" i="36"/>
  <c r="BD28" i="36"/>
  <c r="BD33" i="36"/>
  <c r="BD34" i="36"/>
  <c r="BD35" i="36"/>
  <c r="BD36" i="36"/>
  <c r="F37" i="36"/>
  <c r="F38" i="36"/>
  <c r="F43" i="36"/>
  <c r="F44" i="36"/>
  <c r="F45" i="36"/>
  <c r="F46" i="36"/>
  <c r="F47" i="36"/>
  <c r="F48" i="36"/>
  <c r="F53" i="36"/>
  <c r="F54" i="36"/>
  <c r="F55" i="36"/>
  <c r="F56" i="36"/>
  <c r="F57" i="36"/>
  <c r="F58" i="36"/>
  <c r="J96" i="30"/>
  <c r="J100" i="30"/>
  <c r="J105" i="30"/>
  <c r="J110" i="30"/>
  <c r="X2" i="29"/>
  <c r="X3" i="29"/>
  <c r="B3" i="29" s="1"/>
  <c r="AA4" i="29"/>
  <c r="X35" i="29"/>
  <c r="AA36" i="29"/>
  <c r="B36" i="29" s="1"/>
  <c r="W40" i="29"/>
  <c r="X71" i="29"/>
  <c r="B71" i="29" s="1"/>
  <c r="Z76" i="29"/>
  <c r="U82" i="29"/>
  <c r="B82" i="29" s="1"/>
  <c r="U104" i="29"/>
  <c r="V104" i="29"/>
  <c r="V110" i="29"/>
  <c r="B110" i="29" s="1"/>
  <c r="AA113" i="29"/>
  <c r="Z127" i="29"/>
  <c r="W127" i="29"/>
  <c r="W131" i="29"/>
  <c r="AA131" i="29"/>
  <c r="Z131" i="29"/>
  <c r="X137" i="29"/>
  <c r="X143" i="29"/>
  <c r="B143" i="29" s="1"/>
  <c r="AA143" i="29"/>
  <c r="AA159" i="29"/>
  <c r="AA167" i="29"/>
  <c r="X167" i="29"/>
  <c r="AA171" i="29"/>
  <c r="X174" i="29"/>
  <c r="B174" i="29" s="1"/>
  <c r="X198" i="29"/>
  <c r="AA227" i="29"/>
  <c r="B227" i="29" s="1"/>
  <c r="Y240" i="29"/>
  <c r="X277" i="29"/>
  <c r="Y296" i="29"/>
  <c r="B296" i="29" s="1"/>
  <c r="X297" i="29"/>
  <c r="V364" i="29"/>
  <c r="B364" i="29" s="1"/>
  <c r="Y369" i="29"/>
  <c r="B369" i="29" s="1"/>
  <c r="X370" i="29"/>
  <c r="B370" i="29" s="1"/>
  <c r="X374" i="29"/>
  <c r="W421" i="29"/>
  <c r="Z421" i="29"/>
  <c r="X421" i="29"/>
  <c r="Y427" i="29"/>
  <c r="B427" i="29" s="1"/>
  <c r="X430" i="29"/>
  <c r="Z430" i="29"/>
  <c r="B82" i="36"/>
  <c r="BB17" i="36"/>
  <c r="B8" i="36"/>
  <c r="B6" i="36"/>
  <c r="BB33" i="36"/>
  <c r="BB55" i="36"/>
  <c r="B17" i="36"/>
  <c r="BB28" i="36"/>
  <c r="BB53" i="36"/>
  <c r="T308" i="29"/>
  <c r="B308" i="29" s="1"/>
  <c r="T327" i="29"/>
  <c r="V289" i="29"/>
  <c r="U280" i="29"/>
  <c r="V255" i="29"/>
  <c r="U244" i="29"/>
  <c r="U330" i="29"/>
  <c r="W330" i="29"/>
  <c r="T297" i="29"/>
  <c r="B297" i="29" s="1"/>
  <c r="T280" i="29"/>
  <c r="T264" i="29"/>
  <c r="T252" i="29"/>
  <c r="T244" i="29"/>
  <c r="U239" i="29"/>
  <c r="Z323" i="29"/>
  <c r="Y310" i="29"/>
  <c r="AA310" i="29"/>
  <c r="Z281" i="29"/>
  <c r="T255" i="29"/>
  <c r="B255" i="29" s="1"/>
  <c r="W252" i="29"/>
  <c r="V241" i="29"/>
  <c r="AA228" i="29"/>
  <c r="T211" i="29"/>
  <c r="U266" i="29"/>
  <c r="T250" i="29"/>
  <c r="B250" i="29" s="1"/>
  <c r="Z250" i="29"/>
  <c r="X239" i="29"/>
  <c r="X215" i="29"/>
  <c r="V195" i="29"/>
  <c r="U188" i="29"/>
  <c r="T177" i="29"/>
  <c r="U172" i="29"/>
  <c r="T165" i="29"/>
  <c r="V155" i="29"/>
  <c r="T149" i="29"/>
  <c r="T133" i="29"/>
  <c r="U128" i="29"/>
  <c r="V123" i="29"/>
  <c r="T117" i="29"/>
  <c r="V230" i="29"/>
  <c r="Z216" i="29"/>
  <c r="W211" i="29"/>
  <c r="T196" i="29"/>
  <c r="T192" i="29"/>
  <c r="T176" i="29"/>
  <c r="U163" i="29"/>
  <c r="U155" i="29"/>
  <c r="T128" i="29"/>
  <c r="T124" i="29"/>
  <c r="T120" i="29"/>
  <c r="Z280" i="29"/>
  <c r="T242" i="29"/>
  <c r="Z239" i="29"/>
  <c r="X228" i="29"/>
  <c r="T213" i="29"/>
  <c r="Z205" i="29"/>
  <c r="T195" i="29"/>
  <c r="W192" i="29"/>
  <c r="V177" i="29"/>
  <c r="Z165" i="29"/>
  <c r="T163" i="29"/>
  <c r="AA156" i="29"/>
  <c r="W152" i="29"/>
  <c r="Z141" i="29"/>
  <c r="Z133" i="29"/>
  <c r="V121" i="29"/>
  <c r="T107" i="29"/>
  <c r="U220" i="29"/>
  <c r="V215" i="29"/>
  <c r="T206" i="29"/>
  <c r="T190" i="29"/>
  <c r="X154" i="29"/>
  <c r="U142" i="29"/>
  <c r="X133" i="29"/>
  <c r="X122" i="29"/>
  <c r="V100" i="29"/>
  <c r="T90" i="29"/>
  <c r="V64" i="29"/>
  <c r="T10" i="29"/>
  <c r="U162" i="29"/>
  <c r="W162" i="29"/>
  <c r="T217" i="29"/>
  <c r="AA205" i="29"/>
  <c r="U186" i="29"/>
  <c r="T170" i="29"/>
  <c r="W157" i="29"/>
  <c r="U154" i="29"/>
  <c r="Y141" i="29"/>
  <c r="T122" i="29"/>
  <c r="AA116" i="29"/>
  <c r="T97" i="29"/>
  <c r="T81" i="29"/>
  <c r="B81" i="29" s="1"/>
  <c r="T69" i="29"/>
  <c r="B69" i="29" s="1"/>
  <c r="T61" i="29"/>
  <c r="X33" i="29"/>
  <c r="X17" i="29"/>
  <c r="U194" i="29"/>
  <c r="T146" i="29"/>
  <c r="Z146" i="29"/>
  <c r="Y130" i="29"/>
  <c r="X254" i="29"/>
  <c r="Y185" i="29"/>
  <c r="T150" i="29"/>
  <c r="B150" i="29" s="1"/>
  <c r="W137" i="29"/>
  <c r="U134" i="29"/>
  <c r="X125" i="29"/>
  <c r="T114" i="29"/>
  <c r="V107" i="29"/>
  <c r="Y106" i="29"/>
  <c r="T100" i="29"/>
  <c r="W97" i="29"/>
  <c r="V90" i="29"/>
  <c r="T40" i="29"/>
  <c r="W33" i="29"/>
  <c r="AA17" i="29"/>
  <c r="V14" i="29"/>
  <c r="T4" i="29"/>
  <c r="X106" i="29"/>
  <c r="Y87" i="29"/>
  <c r="AA87" i="29"/>
  <c r="Y39" i="29"/>
  <c r="Y7" i="29"/>
  <c r="T99" i="29"/>
  <c r="B99" i="29" s="1"/>
  <c r="Y70" i="29"/>
  <c r="AA54" i="29"/>
  <c r="Y51" i="29"/>
  <c r="U35" i="29"/>
  <c r="W100" i="29"/>
  <c r="Y95" i="29"/>
  <c r="Y79" i="29"/>
  <c r="X70" i="29"/>
  <c r="Z64" i="29"/>
  <c r="Y63" i="29"/>
  <c r="AA63" i="29"/>
  <c r="Y91" i="29"/>
  <c r="D17" i="25"/>
  <c r="F19" i="25"/>
  <c r="A44" i="26"/>
  <c r="A79" i="26" s="1"/>
  <c r="A114" i="26" s="1"/>
  <c r="A149" i="26" s="1"/>
  <c r="A184" i="26" s="1"/>
  <c r="A52" i="26"/>
  <c r="A87" i="26" s="1"/>
  <c r="A122" i="26" s="1"/>
  <c r="A157" i="26" s="1"/>
  <c r="A192" i="26" s="1"/>
  <c r="A67" i="26"/>
  <c r="A102" i="26" s="1"/>
  <c r="A137" i="26" s="1"/>
  <c r="A172" i="26" s="1"/>
  <c r="A207" i="26" s="1"/>
  <c r="BF18" i="36"/>
  <c r="F49" i="25"/>
  <c r="BF23" i="36"/>
  <c r="BF24" i="36"/>
  <c r="BF25" i="36"/>
  <c r="BF26" i="36"/>
  <c r="BF27" i="36"/>
  <c r="F59" i="25"/>
  <c r="BF28" i="36"/>
  <c r="BF33" i="36"/>
  <c r="BF34" i="36"/>
  <c r="BF35" i="36"/>
  <c r="BD37" i="36"/>
  <c r="BD38" i="36"/>
  <c r="BD43" i="36"/>
  <c r="BD44" i="36"/>
  <c r="BD45" i="36"/>
  <c r="BD46" i="36"/>
  <c r="BD47" i="36"/>
  <c r="BD48" i="36"/>
  <c r="BD53" i="36"/>
  <c r="BD54" i="36"/>
  <c r="BD55" i="36"/>
  <c r="BD56" i="36"/>
  <c r="BD57" i="36"/>
  <c r="BD58" i="36"/>
  <c r="J99" i="30"/>
  <c r="J104" i="30"/>
  <c r="J109" i="30"/>
  <c r="Y5" i="29"/>
  <c r="X7" i="29"/>
  <c r="Y29" i="29"/>
  <c r="B29" i="29" s="1"/>
  <c r="Y38" i="29"/>
  <c r="B38" i="29" s="1"/>
  <c r="X39" i="29"/>
  <c r="AA40" i="29"/>
  <c r="W56" i="29"/>
  <c r="X56" i="29"/>
  <c r="AA56" i="29"/>
  <c r="U66" i="29"/>
  <c r="X79" i="29"/>
  <c r="AA92" i="29"/>
  <c r="X92" i="29"/>
  <c r="Z93" i="29"/>
  <c r="B93" i="29" s="1"/>
  <c r="AA96" i="29"/>
  <c r="U98" i="29"/>
  <c r="B98" i="29" s="1"/>
  <c r="X105" i="29"/>
  <c r="U115" i="29"/>
  <c r="AA115" i="29"/>
  <c r="X115" i="29"/>
  <c r="U117" i="29"/>
  <c r="Y128" i="29"/>
  <c r="X130" i="29"/>
  <c r="V132" i="29"/>
  <c r="W147" i="29"/>
  <c r="AA147" i="29"/>
  <c r="Z147" i="29"/>
  <c r="Z160" i="29"/>
  <c r="B160" i="29" s="1"/>
  <c r="X161" i="29"/>
  <c r="U161" i="29"/>
  <c r="U189" i="29"/>
  <c r="Y192" i="29"/>
  <c r="W199" i="29"/>
  <c r="B199" i="29" s="1"/>
  <c r="W207" i="29"/>
  <c r="Y207" i="29"/>
  <c r="X213" i="29"/>
  <c r="Y235" i="29"/>
  <c r="B235" i="29" s="1"/>
  <c r="Z252" i="29"/>
  <c r="X278" i="29"/>
  <c r="B278" i="29" s="1"/>
  <c r="W323" i="29"/>
  <c r="B323" i="29" s="1"/>
  <c r="Z324" i="29"/>
  <c r="B324" i="29" s="1"/>
  <c r="U325" i="29"/>
  <c r="B325" i="29" s="1"/>
  <c r="AA327" i="29"/>
  <c r="X339" i="29"/>
  <c r="Z348" i="29"/>
  <c r="B348" i="29" s="1"/>
  <c r="W353" i="29"/>
  <c r="B353" i="29" s="1"/>
  <c r="U365" i="29"/>
  <c r="B365" i="29" s="1"/>
  <c r="W379" i="29"/>
  <c r="B379" i="29" s="1"/>
  <c r="Z380" i="29"/>
  <c r="AA395" i="29"/>
  <c r="Z395" i="29"/>
  <c r="Z399" i="29"/>
  <c r="Z414" i="29"/>
  <c r="B414" i="29" s="1"/>
  <c r="Z132" i="29"/>
  <c r="Z148" i="29"/>
  <c r="Y264" i="29"/>
  <c r="Y269" i="29"/>
  <c r="B269" i="29" s="1"/>
  <c r="W279" i="29"/>
  <c r="B279" i="29" s="1"/>
  <c r="X327" i="29"/>
  <c r="W339" i="29"/>
  <c r="B339" i="29" s="1"/>
  <c r="X343" i="29"/>
  <c r="B343" i="29" s="1"/>
  <c r="U359" i="29"/>
  <c r="B359" i="29" s="1"/>
  <c r="Y380" i="29"/>
  <c r="B380" i="29" s="1"/>
  <c r="X399" i="29"/>
  <c r="W399" i="29"/>
  <c r="Z443" i="29"/>
  <c r="B443" i="29" s="1"/>
  <c r="W461" i="29"/>
  <c r="B461" i="29" s="1"/>
  <c r="X495" i="29"/>
  <c r="B495" i="29" s="1"/>
  <c r="BV12" i="28"/>
  <c r="U42" i="28"/>
  <c r="U55" i="28"/>
  <c r="BD6" i="36"/>
  <c r="BD7" i="36"/>
  <c r="BD8" i="36"/>
  <c r="C13" i="36"/>
  <c r="BF13" i="36"/>
  <c r="C14" i="36"/>
  <c r="BF14" i="36"/>
  <c r="BD15" i="36"/>
  <c r="BD16" i="36"/>
  <c r="BD17" i="36"/>
  <c r="BD18" i="36"/>
  <c r="C23" i="36"/>
  <c r="C24" i="36"/>
  <c r="C25" i="36"/>
  <c r="F26" i="36"/>
  <c r="F27" i="36"/>
  <c r="BC27" i="36"/>
  <c r="F28" i="36"/>
  <c r="C43" i="36"/>
  <c r="BF43" i="36"/>
  <c r="BF44" i="36"/>
  <c r="BF45" i="36"/>
  <c r="D53" i="36"/>
  <c r="D54" i="36"/>
  <c r="D55" i="36"/>
  <c r="D56" i="36"/>
  <c r="D57" i="36"/>
  <c r="D58" i="36"/>
  <c r="W277" i="29"/>
  <c r="B277" i="29" s="1"/>
  <c r="V470" i="29"/>
  <c r="B470" i="29" s="1"/>
  <c r="V490" i="29"/>
  <c r="B490" i="29" s="1"/>
  <c r="BT5" i="3"/>
  <c r="AM9" i="25"/>
  <c r="C4" i="36"/>
  <c r="C5" i="36"/>
  <c r="BF5" i="36"/>
  <c r="C6" i="36"/>
  <c r="BF6" i="36"/>
  <c r="C7" i="36"/>
  <c r="BF7" i="36"/>
  <c r="C8" i="36"/>
  <c r="BF8" i="36"/>
  <c r="C15" i="36"/>
  <c r="BF15" i="36"/>
  <c r="C16" i="36"/>
  <c r="BF16" i="36"/>
  <c r="C17" i="36"/>
  <c r="BF17" i="36"/>
  <c r="C18" i="36"/>
  <c r="C33" i="36"/>
  <c r="C34" i="36"/>
  <c r="C35" i="36"/>
  <c r="C36" i="36"/>
  <c r="BF36" i="36"/>
  <c r="C37" i="36"/>
  <c r="BF37" i="36"/>
  <c r="C38" i="36"/>
  <c r="BF38" i="36"/>
  <c r="D43" i="36"/>
  <c r="D44" i="36"/>
  <c r="D45" i="36"/>
  <c r="C46" i="36"/>
  <c r="BF46" i="36"/>
  <c r="C47" i="36"/>
  <c r="BF47" i="36"/>
  <c r="C48" i="36"/>
  <c r="BF48" i="36"/>
  <c r="BC53" i="36"/>
  <c r="BC55" i="36"/>
  <c r="BC56" i="36"/>
  <c r="BC57" i="36"/>
  <c r="BC58" i="36"/>
  <c r="C63" i="36"/>
  <c r="C64" i="36"/>
  <c r="C65" i="36"/>
  <c r="C66" i="36"/>
  <c r="C67" i="36"/>
  <c r="C68" i="36"/>
  <c r="C69" i="36"/>
  <c r="C70" i="36"/>
  <c r="C71" i="36"/>
  <c r="C72" i="36"/>
  <c r="C73" i="36"/>
  <c r="C74" i="36"/>
  <c r="C75" i="36"/>
  <c r="C76" i="36"/>
  <c r="C77" i="36"/>
  <c r="C78" i="36"/>
  <c r="C82" i="36"/>
  <c r="Z469" i="29"/>
  <c r="B469" i="29" s="1"/>
  <c r="W493" i="29"/>
  <c r="B493" i="29" s="1"/>
  <c r="T2" i="28"/>
  <c r="CA43" i="28"/>
  <c r="CB5" i="3"/>
  <c r="BC13" i="36"/>
  <c r="BC14" i="36"/>
  <c r="BC23" i="36"/>
  <c r="BC25" i="36"/>
  <c r="C26" i="36"/>
  <c r="C27" i="36"/>
  <c r="C28" i="36"/>
  <c r="D33" i="36"/>
  <c r="D34" i="36"/>
  <c r="D35" i="36"/>
  <c r="D36" i="36"/>
  <c r="D37" i="36"/>
  <c r="D38" i="36"/>
  <c r="BC44" i="36"/>
  <c r="BC45" i="36"/>
  <c r="D46" i="36"/>
  <c r="D47" i="36"/>
  <c r="D48" i="36"/>
  <c r="A39" i="26"/>
  <c r="A74" i="26" s="1"/>
  <c r="A109" i="26" s="1"/>
  <c r="A144" i="26" s="1"/>
  <c r="A179" i="26" s="1"/>
  <c r="A45" i="26"/>
  <c r="A80" i="26" s="1"/>
  <c r="A115" i="26" s="1"/>
  <c r="A150" i="26" s="1"/>
  <c r="A185" i="26" s="1"/>
  <c r="A64" i="26"/>
  <c r="A99" i="26" s="1"/>
  <c r="A134" i="26" s="1"/>
  <c r="A169" i="26" s="1"/>
  <c r="A204" i="26" s="1"/>
  <c r="X363" i="29"/>
  <c r="B363" i="29" s="1"/>
  <c r="Z434" i="29"/>
  <c r="B434" i="29" s="1"/>
  <c r="U46" i="28"/>
  <c r="AB44" i="28" s="1"/>
  <c r="W9" i="25"/>
  <c r="V13" i="3"/>
  <c r="BS24" i="3"/>
  <c r="BD3" i="36"/>
  <c r="F4" i="36"/>
  <c r="BC4" i="36"/>
  <c r="F5" i="36"/>
  <c r="BC5" i="36"/>
  <c r="BC6" i="36"/>
  <c r="BC7" i="36"/>
  <c r="BC8" i="36"/>
  <c r="BD13" i="36"/>
  <c r="BD14" i="36"/>
  <c r="BC15" i="36"/>
  <c r="BC16" i="36"/>
  <c r="BC17" i="36"/>
  <c r="BC18" i="36"/>
  <c r="BD23" i="36"/>
  <c r="BD24" i="36"/>
  <c r="BD25" i="36"/>
  <c r="D27" i="36"/>
  <c r="D28" i="36"/>
  <c r="F33" i="36"/>
  <c r="BC33" i="36"/>
  <c r="F34" i="36"/>
  <c r="BC34" i="36"/>
  <c r="F35" i="36"/>
  <c r="BC35" i="36"/>
  <c r="F36" i="36"/>
  <c r="BC36" i="36"/>
  <c r="BC37" i="36"/>
  <c r="BC38" i="36"/>
  <c r="BC46" i="36"/>
  <c r="BC47" i="36"/>
  <c r="BC48" i="36"/>
  <c r="C53" i="36"/>
  <c r="BF53" i="36"/>
  <c r="C54" i="36"/>
  <c r="BF54" i="36"/>
  <c r="C55" i="36"/>
  <c r="BF55" i="36"/>
  <c r="C56" i="36"/>
  <c r="BF56" i="36"/>
  <c r="C57" i="36"/>
  <c r="BF57" i="36"/>
  <c r="C58" i="36"/>
  <c r="BF58" i="36"/>
  <c r="N9" i="25"/>
  <c r="CA35" i="3"/>
  <c r="CB34" i="3"/>
  <c r="S38" i="28"/>
  <c r="S34" i="28"/>
  <c r="U32" i="28"/>
  <c r="BV48" i="28"/>
  <c r="CB45" i="28" s="1"/>
  <c r="BU45" i="28"/>
  <c r="BV44" i="28"/>
  <c r="S55" i="28"/>
  <c r="V52" i="28"/>
  <c r="S59" i="28"/>
  <c r="BT2" i="3"/>
  <c r="BS7" i="3"/>
  <c r="BS3" i="3"/>
  <c r="O35" i="25"/>
  <c r="BS38" i="3"/>
  <c r="BU32" i="3"/>
  <c r="BS34" i="3"/>
  <c r="CA25" i="28"/>
  <c r="CB23" i="28"/>
  <c r="BU42" i="28"/>
  <c r="BS44" i="28"/>
  <c r="O6" i="25"/>
  <c r="BU35" i="3"/>
  <c r="BV34" i="3"/>
  <c r="H168" i="25"/>
  <c r="CA24" i="3"/>
  <c r="CB23" i="3"/>
  <c r="BT42" i="3"/>
  <c r="BT46" i="3"/>
  <c r="BS43" i="3"/>
  <c r="AB15" i="3"/>
  <c r="AA13" i="3"/>
  <c r="AA43" i="3"/>
  <c r="CB53" i="3"/>
  <c r="BT25" i="28"/>
  <c r="U39" i="28"/>
  <c r="J88" i="3"/>
  <c r="H172" i="25"/>
  <c r="BU17" i="28"/>
  <c r="BU13" i="28"/>
  <c r="H150" i="25"/>
  <c r="CB33" i="3"/>
  <c r="BS4" i="28"/>
  <c r="BU2" i="28"/>
  <c r="H132" i="25"/>
  <c r="U19" i="28"/>
  <c r="AA15" i="28" s="1"/>
  <c r="BT2" i="28"/>
  <c r="BS3" i="28"/>
  <c r="BT6" i="28"/>
  <c r="H98" i="25"/>
  <c r="J69" i="3"/>
  <c r="J68" i="25"/>
  <c r="H118" i="25"/>
  <c r="BT48" i="28"/>
  <c r="BU59" i="28"/>
  <c r="BV54" i="28"/>
  <c r="J108" i="25"/>
  <c r="BT45" i="28"/>
  <c r="J69" i="25"/>
  <c r="BV56" i="28"/>
  <c r="CA13" i="3"/>
  <c r="S18" i="28"/>
  <c r="S14" i="28"/>
  <c r="U12" i="28"/>
  <c r="J132" i="25"/>
  <c r="T16" i="28"/>
  <c r="S13" i="28"/>
  <c r="T12" i="28"/>
  <c r="BV56" i="3"/>
  <c r="V28" i="28"/>
  <c r="V24" i="28"/>
  <c r="U25" i="28"/>
  <c r="V8" i="28"/>
  <c r="U5" i="28"/>
  <c r="V16" i="28"/>
  <c r="AB15" i="28" s="1"/>
  <c r="S15" i="28"/>
  <c r="V12" i="28"/>
  <c r="BT46" i="28"/>
  <c r="BS48" i="28"/>
  <c r="H67" i="25"/>
  <c r="CY84" i="36" l="1"/>
  <c r="AD77" i="25"/>
  <c r="T76" i="25"/>
  <c r="Y108" i="25"/>
  <c r="K198" i="25"/>
  <c r="AY94" i="34"/>
  <c r="AY77" i="36"/>
  <c r="AY93" i="3"/>
  <c r="AD87" i="25"/>
  <c r="O84" i="25"/>
  <c r="AY77" i="34"/>
  <c r="AI75" i="25"/>
  <c r="AY77" i="3"/>
  <c r="AY77" i="28"/>
  <c r="AI98" i="25"/>
  <c r="Z14" i="2"/>
  <c r="AI14" i="25"/>
  <c r="AY93" i="36"/>
  <c r="O15" i="25"/>
  <c r="Y106" i="25"/>
  <c r="O7" i="25"/>
  <c r="Y94" i="25"/>
  <c r="BZ5" i="2"/>
  <c r="AD88" i="25"/>
  <c r="Y16" i="25"/>
  <c r="AI45" i="25"/>
  <c r="Y47" i="25"/>
  <c r="AD68" i="25"/>
  <c r="T26" i="25"/>
  <c r="AI36" i="25"/>
  <c r="AD74" i="25"/>
  <c r="AI79" i="25"/>
  <c r="T68" i="25"/>
  <c r="AY88" i="4"/>
  <c r="AD8" i="25"/>
  <c r="AI108" i="25"/>
  <c r="AI4" i="25"/>
  <c r="AI28" i="25"/>
  <c r="AI48" i="25"/>
  <c r="AD17" i="25"/>
  <c r="Y24" i="25"/>
  <c r="AI99" i="25"/>
  <c r="O26" i="25"/>
  <c r="AI68" i="25"/>
  <c r="AI87" i="25"/>
  <c r="T14" i="25"/>
  <c r="AI74" i="25"/>
  <c r="AI39" i="25"/>
  <c r="AI78" i="25"/>
  <c r="AI8" i="25"/>
  <c r="Y104" i="25"/>
  <c r="Y14" i="25"/>
  <c r="AI65" i="25"/>
  <c r="Y64" i="25"/>
  <c r="AD15" i="25"/>
  <c r="AD14" i="25"/>
  <c r="Y86" i="25"/>
  <c r="T6" i="25"/>
  <c r="AI46" i="25"/>
  <c r="AY85" i="34"/>
  <c r="AI109" i="25"/>
  <c r="Y116" i="25"/>
  <c r="AY85" i="5"/>
  <c r="AY85" i="4"/>
  <c r="BZ25" i="2"/>
  <c r="Y39" i="25"/>
  <c r="CY89" i="4"/>
  <c r="Z24" i="2"/>
  <c r="K144" i="25"/>
  <c r="AC143" i="25" s="1"/>
  <c r="T8" i="25"/>
  <c r="CY89" i="3"/>
  <c r="AY73" i="3"/>
  <c r="Y59" i="25"/>
  <c r="CY89" i="34"/>
  <c r="BZ45" i="2"/>
  <c r="AD18" i="25"/>
  <c r="Y97" i="25"/>
  <c r="CY89" i="36"/>
  <c r="AI18" i="25"/>
  <c r="AD24" i="25"/>
  <c r="Y67" i="25"/>
  <c r="K186" i="25"/>
  <c r="R185" i="25" s="1"/>
  <c r="AI69" i="25"/>
  <c r="T27" i="25"/>
  <c r="CY89" i="28"/>
  <c r="Z22" i="2"/>
  <c r="Y107" i="25"/>
  <c r="AY73" i="34"/>
  <c r="AY73" i="28"/>
  <c r="Z54" i="2"/>
  <c r="AG54" i="2" s="1"/>
  <c r="K164" i="25"/>
  <c r="S163" i="25" s="1"/>
  <c r="AM49" i="25"/>
  <c r="AI64" i="25"/>
  <c r="AI77" i="25"/>
  <c r="AD27" i="25"/>
  <c r="AD16" i="25"/>
  <c r="AI6" i="25"/>
  <c r="AY70" i="28"/>
  <c r="AY85" i="28"/>
  <c r="Y25" i="25"/>
  <c r="Y69" i="25"/>
  <c r="Y18" i="25"/>
  <c r="AY85" i="3"/>
  <c r="AY76" i="34"/>
  <c r="AY76" i="4"/>
  <c r="T25" i="25"/>
  <c r="T78" i="25"/>
  <c r="T16" i="25"/>
  <c r="O87" i="25"/>
  <c r="AY84" i="5"/>
  <c r="AI34" i="25"/>
  <c r="AI105" i="25"/>
  <c r="AI49" i="25"/>
  <c r="AI116" i="25"/>
  <c r="AD49" i="25"/>
  <c r="AD99" i="25"/>
  <c r="AD109" i="25"/>
  <c r="B132" i="29"/>
  <c r="B399" i="29"/>
  <c r="B395" i="29"/>
  <c r="B242" i="29"/>
  <c r="B128" i="29"/>
  <c r="B133" i="29"/>
  <c r="B172" i="29"/>
  <c r="B430" i="29"/>
  <c r="B421" i="29"/>
  <c r="B127" i="29"/>
  <c r="B104" i="29"/>
  <c r="B75" i="29"/>
  <c r="B54" i="29"/>
  <c r="B70" i="29"/>
  <c r="B309" i="29"/>
  <c r="B271" i="29"/>
  <c r="B34" i="29"/>
  <c r="B60" i="29"/>
  <c r="B158" i="29"/>
  <c r="B119" i="29"/>
  <c r="B222" i="29"/>
  <c r="A86" i="4"/>
  <c r="B86" i="2"/>
  <c r="B86" i="4" s="1"/>
  <c r="C86" i="2"/>
  <c r="C86" i="4" s="1"/>
  <c r="AI96" i="25"/>
  <c r="BB38" i="4"/>
  <c r="B99" i="25"/>
  <c r="BB38" i="5"/>
  <c r="BB38" i="34"/>
  <c r="BB34" i="4"/>
  <c r="BB34" i="34"/>
  <c r="BB34" i="5"/>
  <c r="B95" i="25"/>
  <c r="BB33" i="4"/>
  <c r="B94" i="25"/>
  <c r="BB33" i="5"/>
  <c r="BB33" i="34"/>
  <c r="B66" i="29"/>
  <c r="B105" i="29"/>
  <c r="B142" i="29"/>
  <c r="B159" i="29"/>
  <c r="B161" i="29"/>
  <c r="B241" i="29"/>
  <c r="B256" i="29"/>
  <c r="B374" i="29"/>
  <c r="B187" i="29"/>
  <c r="B221" i="29"/>
  <c r="B64" i="29"/>
  <c r="B96" i="29"/>
  <c r="B126" i="29"/>
  <c r="B147" i="29"/>
  <c r="B265" i="29"/>
  <c r="B156" i="29"/>
  <c r="B171" i="29"/>
  <c r="B230" i="29"/>
  <c r="B151" i="29"/>
  <c r="B212" i="29"/>
  <c r="B257" i="29"/>
  <c r="C84" i="4"/>
  <c r="C84" i="5"/>
  <c r="B54" i="4"/>
  <c r="B54" i="34"/>
  <c r="B54" i="5"/>
  <c r="B85" i="25"/>
  <c r="B53" i="4"/>
  <c r="B84" i="25"/>
  <c r="B53" i="5"/>
  <c r="B53" i="34"/>
  <c r="BC82" i="28"/>
  <c r="BA83" i="28"/>
  <c r="BZ43" i="2"/>
  <c r="AD65" i="25"/>
  <c r="AI27" i="25"/>
  <c r="AD75" i="25"/>
  <c r="AD25" i="25"/>
  <c r="AD76" i="25"/>
  <c r="Y66" i="25"/>
  <c r="AY70" i="3"/>
  <c r="AY66" i="3"/>
  <c r="CY84" i="4"/>
  <c r="K130" i="25"/>
  <c r="AC130" i="25" s="1"/>
  <c r="AY66" i="5"/>
  <c r="AY74" i="36"/>
  <c r="T87" i="25"/>
  <c r="AY84" i="36"/>
  <c r="O24" i="25"/>
  <c r="AI58" i="25"/>
  <c r="AD39" i="25"/>
  <c r="CY84" i="3"/>
  <c r="Y56" i="25"/>
  <c r="Y55" i="25"/>
  <c r="T59" i="25"/>
  <c r="AY74" i="4"/>
  <c r="AY84" i="28"/>
  <c r="AY66" i="34"/>
  <c r="AI89" i="25"/>
  <c r="AI25" i="25"/>
  <c r="AI76" i="25"/>
  <c r="Y76" i="25"/>
  <c r="Y79" i="25"/>
  <c r="AY74" i="3"/>
  <c r="AY89" i="3"/>
  <c r="AY66" i="36"/>
  <c r="O16" i="25"/>
  <c r="AY89" i="5"/>
  <c r="AI114" i="25"/>
  <c r="Y48" i="25"/>
  <c r="Y119" i="25"/>
  <c r="Y38" i="25"/>
  <c r="Y35" i="25"/>
  <c r="CY84" i="34"/>
  <c r="Y114" i="25"/>
  <c r="T39" i="25"/>
  <c r="K146" i="25"/>
  <c r="S145" i="25" s="1"/>
  <c r="AY84" i="4"/>
  <c r="AI85" i="25"/>
  <c r="AI84" i="25"/>
  <c r="AD86" i="25"/>
  <c r="AY66" i="28"/>
  <c r="AD6" i="25"/>
  <c r="AY70" i="34"/>
  <c r="Y26" i="25"/>
  <c r="Y15" i="25"/>
  <c r="T88" i="25"/>
  <c r="T75" i="25"/>
  <c r="T15" i="25"/>
  <c r="AY89" i="36"/>
  <c r="AI37" i="25"/>
  <c r="AI104" i="25"/>
  <c r="AI107" i="25"/>
  <c r="Y105" i="25"/>
  <c r="AY93" i="34"/>
  <c r="CY90" i="4"/>
  <c r="AY88" i="36"/>
  <c r="BZ32" i="2"/>
  <c r="Z15" i="2"/>
  <c r="AT14" i="2" s="1"/>
  <c r="K170" i="25"/>
  <c r="AH170" i="25" s="1"/>
  <c r="BZ15" i="2"/>
  <c r="CT12" i="2" s="1"/>
  <c r="AY93" i="4"/>
  <c r="AY70" i="4"/>
  <c r="AY88" i="34"/>
  <c r="AY89" i="4"/>
  <c r="AY84" i="3"/>
  <c r="AY88" i="3"/>
  <c r="K138" i="25"/>
  <c r="S137" i="25" s="1"/>
  <c r="K162" i="25"/>
  <c r="AG162" i="25" s="1"/>
  <c r="AY94" i="5"/>
  <c r="AY70" i="5"/>
  <c r="CY90" i="28"/>
  <c r="CY90" i="36"/>
  <c r="CY94" i="36"/>
  <c r="AY94" i="4"/>
  <c r="CY90" i="34"/>
  <c r="K180" i="25"/>
  <c r="S178" i="25" s="1"/>
  <c r="K196" i="25"/>
  <c r="AY93" i="28"/>
  <c r="AY94" i="3"/>
  <c r="AY89" i="28"/>
  <c r="AY89" i="34"/>
  <c r="K188" i="25"/>
  <c r="S188" i="25" s="1"/>
  <c r="AY94" i="36"/>
  <c r="CY84" i="28"/>
  <c r="AI95" i="25"/>
  <c r="AD5" i="25"/>
  <c r="AD26" i="25"/>
  <c r="O28" i="25"/>
  <c r="O75" i="25"/>
  <c r="AI5" i="25"/>
  <c r="Y75" i="25"/>
  <c r="AD119" i="25"/>
  <c r="BZ35" i="2"/>
  <c r="CO32" i="2" s="1"/>
  <c r="AI67" i="25"/>
  <c r="T66" i="25"/>
  <c r="O27" i="25"/>
  <c r="O78" i="25"/>
  <c r="O17" i="25"/>
  <c r="O86" i="25"/>
  <c r="T109" i="25"/>
  <c r="Z12" i="2"/>
  <c r="AS12" i="2" s="1"/>
  <c r="AI24" i="25"/>
  <c r="AI16" i="25"/>
  <c r="AI88" i="25"/>
  <c r="Y74" i="25"/>
  <c r="Y27" i="25"/>
  <c r="AI59" i="25"/>
  <c r="Z45" i="2"/>
  <c r="AT42" i="2" s="1"/>
  <c r="Y17" i="25"/>
  <c r="AI56" i="25"/>
  <c r="AI55" i="25"/>
  <c r="Y58" i="25"/>
  <c r="Z23" i="2"/>
  <c r="AI23" i="2" s="1"/>
  <c r="Z32" i="2"/>
  <c r="Y4" i="25"/>
  <c r="Y78" i="25"/>
  <c r="Y6" i="25"/>
  <c r="Y37" i="25"/>
  <c r="Z55" i="2"/>
  <c r="BZ24" i="2"/>
  <c r="CH25" i="2" s="1"/>
  <c r="AI66" i="25"/>
  <c r="Y84" i="25"/>
  <c r="Y89" i="25"/>
  <c r="AI44" i="25"/>
  <c r="AI94" i="25"/>
  <c r="AI54" i="25"/>
  <c r="CY94" i="3"/>
  <c r="Y115" i="25"/>
  <c r="Y19" i="25"/>
  <c r="Y5" i="25"/>
  <c r="Y87" i="25"/>
  <c r="CY94" i="28"/>
  <c r="CY94" i="34"/>
  <c r="Y44" i="25"/>
  <c r="AI15" i="25"/>
  <c r="Y28" i="25"/>
  <c r="K193" i="25"/>
  <c r="M192" i="25" s="1"/>
  <c r="AI119" i="25"/>
  <c r="CY94" i="4"/>
  <c r="Y96" i="25"/>
  <c r="Y117" i="25"/>
  <c r="Y109" i="25"/>
  <c r="Y46" i="25"/>
  <c r="AM15" i="25"/>
  <c r="AL49" i="25"/>
  <c r="S49" i="25"/>
  <c r="CC22" i="3"/>
  <c r="J15" i="25"/>
  <c r="M15" i="25"/>
  <c r="AM79" i="25"/>
  <c r="H45" i="25"/>
  <c r="AB29" i="25"/>
  <c r="AC29" i="25"/>
  <c r="N29" i="25"/>
  <c r="W26" i="25"/>
  <c r="AH65" i="25"/>
  <c r="AL45" i="25"/>
  <c r="S45" i="25"/>
  <c r="J29" i="25"/>
  <c r="N45" i="25"/>
  <c r="AH75" i="25"/>
  <c r="AG45" i="25"/>
  <c r="J16" i="25"/>
  <c r="S153" i="25"/>
  <c r="AH16" i="25"/>
  <c r="CC32" i="28"/>
  <c r="AB5" i="25"/>
  <c r="B27" i="26"/>
  <c r="AM132" i="25"/>
  <c r="J35" i="25"/>
  <c r="AC125" i="25"/>
  <c r="R175" i="25"/>
  <c r="AC35" i="25"/>
  <c r="S176" i="25"/>
  <c r="AC65" i="25"/>
  <c r="N65" i="25"/>
  <c r="AC33" i="3"/>
  <c r="AL65" i="25"/>
  <c r="AM35" i="25"/>
  <c r="AG65" i="25"/>
  <c r="M175" i="25"/>
  <c r="R65" i="25"/>
  <c r="N176" i="25"/>
  <c r="N35" i="25"/>
  <c r="M65" i="25"/>
  <c r="M35" i="25"/>
  <c r="M87" i="25"/>
  <c r="W106" i="25"/>
  <c r="AL107" i="25"/>
  <c r="O115" i="25"/>
  <c r="AH107" i="25"/>
  <c r="R87" i="25"/>
  <c r="AC107" i="25"/>
  <c r="AC13" i="3"/>
  <c r="AA14" i="3"/>
  <c r="AC14" i="3" s="1"/>
  <c r="Z15" i="28"/>
  <c r="X4" i="25"/>
  <c r="R123" i="25"/>
  <c r="AB176" i="25"/>
  <c r="N153" i="25"/>
  <c r="AG176" i="25"/>
  <c r="S175" i="25"/>
  <c r="AC176" i="25"/>
  <c r="M177" i="25"/>
  <c r="Z13" i="28"/>
  <c r="AH109" i="25"/>
  <c r="AC154" i="25"/>
  <c r="R15" i="25"/>
  <c r="AH176" i="25"/>
  <c r="N175" i="25"/>
  <c r="AB175" i="25"/>
  <c r="H38" i="25"/>
  <c r="AL86" i="25"/>
  <c r="AC69" i="25"/>
  <c r="M38" i="25"/>
  <c r="M28" i="25"/>
  <c r="R28" i="25"/>
  <c r="O104" i="25"/>
  <c r="AH86" i="25"/>
  <c r="H6" i="25"/>
  <c r="AL6" i="25"/>
  <c r="X96" i="25"/>
  <c r="R6" i="25"/>
  <c r="N141" i="25"/>
  <c r="AG55" i="25"/>
  <c r="W142" i="25"/>
  <c r="M141" i="25"/>
  <c r="AC32" i="3"/>
  <c r="AC24" i="25"/>
  <c r="R149" i="25"/>
  <c r="S150" i="25"/>
  <c r="AB150" i="25"/>
  <c r="AC149" i="25"/>
  <c r="M49" i="25"/>
  <c r="M79" i="25"/>
  <c r="AG49" i="25"/>
  <c r="H49" i="25"/>
  <c r="N79" i="25"/>
  <c r="AG19" i="25"/>
  <c r="AC19" i="25"/>
  <c r="AM7" i="25"/>
  <c r="AB109" i="25"/>
  <c r="W109" i="25"/>
  <c r="X27" i="25"/>
  <c r="T49" i="25"/>
  <c r="BZ12" i="28"/>
  <c r="CA32" i="2"/>
  <c r="AM97" i="25"/>
  <c r="AC182" i="25"/>
  <c r="J4" i="25"/>
  <c r="R4" i="25"/>
  <c r="N150" i="25"/>
  <c r="R99" i="25"/>
  <c r="AB171" i="25"/>
  <c r="R172" i="25"/>
  <c r="AC172" i="25"/>
  <c r="CB45" i="2"/>
  <c r="BZ25" i="3"/>
  <c r="CB35" i="2"/>
  <c r="R171" i="25"/>
  <c r="N171" i="25"/>
  <c r="S171" i="25"/>
  <c r="AG172" i="25"/>
  <c r="N24" i="25"/>
  <c r="T44" i="25"/>
  <c r="S97" i="25"/>
  <c r="X79" i="25"/>
  <c r="W79" i="25"/>
  <c r="W49" i="25"/>
  <c r="AL79" i="25"/>
  <c r="R79" i="25"/>
  <c r="N49" i="25"/>
  <c r="R49" i="25"/>
  <c r="AC79" i="25"/>
  <c r="AC49" i="25"/>
  <c r="J49" i="25"/>
  <c r="X49" i="25"/>
  <c r="AH79" i="25"/>
  <c r="AB79" i="25"/>
  <c r="AL172" i="25"/>
  <c r="M123" i="25"/>
  <c r="M172" i="25"/>
  <c r="AB45" i="25"/>
  <c r="AM75" i="25"/>
  <c r="W75" i="25"/>
  <c r="AB75" i="25"/>
  <c r="W124" i="25"/>
  <c r="J24" i="25"/>
  <c r="M24" i="25"/>
  <c r="R24" i="25"/>
  <c r="W172" i="25"/>
  <c r="AL98" i="25"/>
  <c r="T119" i="25"/>
  <c r="AB15" i="25"/>
  <c r="Z33" i="3"/>
  <c r="AL178" i="25"/>
  <c r="R167" i="25"/>
  <c r="AB167" i="25"/>
  <c r="N168" i="25"/>
  <c r="X36" i="25"/>
  <c r="AC105" i="25"/>
  <c r="O47" i="25"/>
  <c r="CB12" i="2"/>
  <c r="CA5" i="3"/>
  <c r="CC5" i="3" s="1"/>
  <c r="AB168" i="25"/>
  <c r="CA15" i="28"/>
  <c r="CC15" i="28" s="1"/>
  <c r="CB12" i="28"/>
  <c r="CC12" i="28" s="1"/>
  <c r="R142" i="25"/>
  <c r="AG105" i="25"/>
  <c r="AH66" i="25"/>
  <c r="M167" i="25"/>
  <c r="W45" i="25"/>
  <c r="O98" i="25"/>
  <c r="AL168" i="25"/>
  <c r="AB32" i="28"/>
  <c r="AC32" i="28" s="1"/>
  <c r="S168" i="25"/>
  <c r="M66" i="25"/>
  <c r="T36" i="25"/>
  <c r="AC167" i="25"/>
  <c r="AB49" i="25"/>
  <c r="AG79" i="25"/>
  <c r="M96" i="25"/>
  <c r="AH160" i="25"/>
  <c r="AB160" i="25"/>
  <c r="S160" i="25"/>
  <c r="R160" i="25"/>
  <c r="M29" i="25"/>
  <c r="AC33" i="28"/>
  <c r="CA24" i="2"/>
  <c r="R159" i="25"/>
  <c r="M159" i="25"/>
  <c r="M7" i="25"/>
  <c r="M119" i="25"/>
  <c r="N125" i="25"/>
  <c r="CB42" i="3"/>
  <c r="CA44" i="3"/>
  <c r="AC96" i="25"/>
  <c r="N160" i="25"/>
  <c r="W160" i="25"/>
  <c r="AC160" i="25"/>
  <c r="S15" i="25"/>
  <c r="R35" i="25"/>
  <c r="AB65" i="25"/>
  <c r="H35" i="25"/>
  <c r="W65" i="25"/>
  <c r="AL35" i="25"/>
  <c r="S65" i="25"/>
  <c r="AH18" i="25"/>
  <c r="X29" i="25"/>
  <c r="CA43" i="2"/>
  <c r="AB35" i="3"/>
  <c r="AC35" i="3" s="1"/>
  <c r="M105" i="25"/>
  <c r="AL132" i="25"/>
  <c r="AC59" i="25"/>
  <c r="M86" i="25"/>
  <c r="BZ42" i="2"/>
  <c r="AA42" i="2"/>
  <c r="CC22" i="28"/>
  <c r="Z13" i="2"/>
  <c r="Z32" i="3"/>
  <c r="AL84" i="25"/>
  <c r="AC84" i="25"/>
  <c r="N59" i="25"/>
  <c r="M18" i="25"/>
  <c r="AB18" i="25"/>
  <c r="AC55" i="25"/>
  <c r="S131" i="25"/>
  <c r="AB84" i="25"/>
  <c r="AB55" i="2"/>
  <c r="S181" i="25"/>
  <c r="S134" i="25"/>
  <c r="AH59" i="25"/>
  <c r="AB59" i="25"/>
  <c r="AL59" i="25"/>
  <c r="N134" i="25"/>
  <c r="AH106" i="25"/>
  <c r="N106" i="25"/>
  <c r="AG106" i="25"/>
  <c r="Z42" i="28"/>
  <c r="R16" i="25"/>
  <c r="Z22" i="28"/>
  <c r="AB16" i="25"/>
  <c r="AA54" i="2"/>
  <c r="BZ13" i="2"/>
  <c r="CL13" i="2" s="1"/>
  <c r="N16" i="25"/>
  <c r="S16" i="25"/>
  <c r="N86" i="25"/>
  <c r="R86" i="25"/>
  <c r="W86" i="25"/>
  <c r="AL37" i="25"/>
  <c r="M67" i="25"/>
  <c r="AC66" i="25"/>
  <c r="S36" i="25"/>
  <c r="AB86" i="25"/>
  <c r="S86" i="25"/>
  <c r="X86" i="25"/>
  <c r="M17" i="25"/>
  <c r="AL17" i="25"/>
  <c r="R36" i="25"/>
  <c r="M68" i="25"/>
  <c r="M133" i="25"/>
  <c r="X134" i="25"/>
  <c r="AC4" i="25"/>
  <c r="S4" i="25"/>
  <c r="S109" i="25"/>
  <c r="AG109" i="25"/>
  <c r="AC109" i="25"/>
  <c r="M118" i="25"/>
  <c r="X118" i="25"/>
  <c r="BZ13" i="28"/>
  <c r="CC23" i="28"/>
  <c r="O45" i="25"/>
  <c r="AG88" i="25"/>
  <c r="R67" i="25"/>
  <c r="AC118" i="25"/>
  <c r="AB66" i="25"/>
  <c r="AG86" i="25"/>
  <c r="AC133" i="25"/>
  <c r="N36" i="25"/>
  <c r="AM134" i="25"/>
  <c r="R133" i="25"/>
  <c r="N4" i="25"/>
  <c r="AB23" i="3"/>
  <c r="AC23" i="3" s="1"/>
  <c r="AA22" i="3"/>
  <c r="AC22" i="3" s="1"/>
  <c r="AB178" i="25"/>
  <c r="R177" i="25"/>
  <c r="R178" i="25"/>
  <c r="BZ44" i="3"/>
  <c r="BZ32" i="28"/>
  <c r="O95" i="25"/>
  <c r="CA53" i="3"/>
  <c r="CC53" i="3" s="1"/>
  <c r="S142" i="25"/>
  <c r="R85" i="25"/>
  <c r="R26" i="25"/>
  <c r="S126" i="25"/>
  <c r="AC141" i="25"/>
  <c r="AG26" i="25"/>
  <c r="J26" i="25"/>
  <c r="AH26" i="25"/>
  <c r="AM26" i="25"/>
  <c r="AC26" i="25"/>
  <c r="M142" i="25"/>
  <c r="X26" i="25"/>
  <c r="AG142" i="25"/>
  <c r="AB141" i="25"/>
  <c r="R125" i="25"/>
  <c r="M85" i="25"/>
  <c r="M26" i="25"/>
  <c r="AG126" i="25"/>
  <c r="H26" i="25"/>
  <c r="AB26" i="25"/>
  <c r="N152" i="25"/>
  <c r="R141" i="25"/>
  <c r="S141" i="25"/>
  <c r="AB125" i="25"/>
  <c r="AB126" i="25"/>
  <c r="AH126" i="25"/>
  <c r="R168" i="25"/>
  <c r="AC168" i="25"/>
  <c r="W168" i="25"/>
  <c r="S167" i="25"/>
  <c r="N167" i="25"/>
  <c r="X168" i="25"/>
  <c r="AH168" i="25"/>
  <c r="M168" i="25"/>
  <c r="AG168" i="25"/>
  <c r="AM65" i="25"/>
  <c r="AG35" i="25"/>
  <c r="W35" i="25"/>
  <c r="X65" i="25"/>
  <c r="S35" i="25"/>
  <c r="X35" i="25"/>
  <c r="AH35" i="25"/>
  <c r="AM142" i="25"/>
  <c r="X142" i="25"/>
  <c r="M152" i="25"/>
  <c r="N142" i="25"/>
  <c r="N126" i="25"/>
  <c r="AH142" i="25"/>
  <c r="M125" i="25"/>
  <c r="M126" i="25"/>
  <c r="N26" i="25"/>
  <c r="AL26" i="25"/>
  <c r="AG178" i="25"/>
  <c r="W178" i="25"/>
  <c r="AB177" i="25"/>
  <c r="M178" i="25"/>
  <c r="Z2" i="3"/>
  <c r="J39" i="25"/>
  <c r="AL69" i="25"/>
  <c r="AC39" i="25"/>
  <c r="S69" i="25"/>
  <c r="N39" i="25"/>
  <c r="R39" i="25"/>
  <c r="AB69" i="25"/>
  <c r="AH69" i="25"/>
  <c r="N69" i="25"/>
  <c r="AG69" i="25"/>
  <c r="M69" i="25"/>
  <c r="R69" i="25"/>
  <c r="AG39" i="25"/>
  <c r="AB39" i="25"/>
  <c r="N44" i="25"/>
  <c r="W44" i="25"/>
  <c r="AH44" i="25"/>
  <c r="H44" i="25"/>
  <c r="W74" i="25"/>
  <c r="AH74" i="25"/>
  <c r="S44" i="25"/>
  <c r="N74" i="25"/>
  <c r="AB74" i="25"/>
  <c r="X44" i="25"/>
  <c r="AC74" i="25"/>
  <c r="AG44" i="25"/>
  <c r="AG74" i="25"/>
  <c r="AL44" i="25"/>
  <c r="AM44" i="25"/>
  <c r="X74" i="25"/>
  <c r="M44" i="25"/>
  <c r="AL74" i="25"/>
  <c r="M74" i="25"/>
  <c r="R74" i="25"/>
  <c r="AC44" i="25"/>
  <c r="R44" i="25"/>
  <c r="S74" i="25"/>
  <c r="AB44" i="25"/>
  <c r="J44" i="25"/>
  <c r="T45" i="25"/>
  <c r="R130" i="25"/>
  <c r="X39" i="25"/>
  <c r="AL39" i="25"/>
  <c r="S39" i="25"/>
  <c r="S129" i="25"/>
  <c r="Z32" i="28"/>
  <c r="AM74" i="25"/>
  <c r="W27" i="25"/>
  <c r="AB27" i="25"/>
  <c r="N27" i="25"/>
  <c r="AC27" i="25"/>
  <c r="R27" i="25"/>
  <c r="M27" i="25"/>
  <c r="S27" i="25"/>
  <c r="AH27" i="25"/>
  <c r="N84" i="25"/>
  <c r="AG15" i="25"/>
  <c r="H15" i="25"/>
  <c r="N15" i="25"/>
  <c r="AC15" i="25"/>
  <c r="X15" i="25"/>
  <c r="AL15" i="25"/>
  <c r="T47" i="25"/>
  <c r="CA13" i="2"/>
  <c r="Z35" i="28"/>
  <c r="BZ53" i="3"/>
  <c r="AB25" i="2"/>
  <c r="AA24" i="2"/>
  <c r="BZ52" i="3"/>
  <c r="AB197" i="25"/>
  <c r="AH198" i="25"/>
  <c r="AG198" i="25"/>
  <c r="X198" i="25"/>
  <c r="S165" i="25"/>
  <c r="N166" i="25"/>
  <c r="AC166" i="25"/>
  <c r="N165" i="25"/>
  <c r="AG99" i="25"/>
  <c r="BZ3" i="28"/>
  <c r="Y45" i="25"/>
  <c r="M140" i="25"/>
  <c r="N77" i="25"/>
  <c r="T99" i="25"/>
  <c r="AC197" i="25"/>
  <c r="N198" i="25"/>
  <c r="AB151" i="25"/>
  <c r="M165" i="25"/>
  <c r="M99" i="25"/>
  <c r="S166" i="25"/>
  <c r="AB38" i="25"/>
  <c r="AF25" i="2"/>
  <c r="W119" i="25"/>
  <c r="R55" i="25"/>
  <c r="AG59" i="25"/>
  <c r="M59" i="25"/>
  <c r="J59" i="25"/>
  <c r="AM59" i="25"/>
  <c r="W59" i="25"/>
  <c r="Y57" i="25"/>
  <c r="AL94" i="25"/>
  <c r="CB52" i="3"/>
  <c r="AB140" i="25"/>
  <c r="AB166" i="25"/>
  <c r="AB47" i="25"/>
  <c r="R119" i="25"/>
  <c r="O119" i="25"/>
  <c r="R165" i="25"/>
  <c r="AG166" i="25"/>
  <c r="X166" i="25"/>
  <c r="AC165" i="25"/>
  <c r="X99" i="25"/>
  <c r="N99" i="25"/>
  <c r="AC43" i="28"/>
  <c r="AC99" i="25"/>
  <c r="AL152" i="25"/>
  <c r="R151" i="25"/>
  <c r="Y118" i="25"/>
  <c r="R152" i="25"/>
  <c r="M166" i="25"/>
  <c r="AM99" i="25"/>
  <c r="T106" i="25"/>
  <c r="S198" i="25"/>
  <c r="AH166" i="25"/>
  <c r="AB165" i="25"/>
  <c r="AL99" i="25"/>
  <c r="AB99" i="25"/>
  <c r="S99" i="25"/>
  <c r="J55" i="25"/>
  <c r="N96" i="25"/>
  <c r="M149" i="25"/>
  <c r="T94" i="25"/>
  <c r="Z23" i="28"/>
  <c r="O114" i="25"/>
  <c r="M147" i="25"/>
  <c r="BZ5" i="3"/>
  <c r="AC147" i="25"/>
  <c r="R147" i="25"/>
  <c r="AH49" i="25"/>
  <c r="W15" i="25"/>
  <c r="M114" i="25"/>
  <c r="N131" i="25"/>
  <c r="Z34" i="3"/>
  <c r="X85" i="25"/>
  <c r="M132" i="25"/>
  <c r="BZ34" i="28"/>
  <c r="W166" i="25"/>
  <c r="AC52" i="3"/>
  <c r="AC16" i="25"/>
  <c r="AL166" i="25"/>
  <c r="R166" i="25"/>
  <c r="AM166" i="25"/>
  <c r="BZ24" i="28"/>
  <c r="S185" i="25"/>
  <c r="N185" i="25"/>
  <c r="W87" i="25"/>
  <c r="AB87" i="25"/>
  <c r="X87" i="25"/>
  <c r="AC87" i="25"/>
  <c r="AH87" i="25"/>
  <c r="AM87" i="25"/>
  <c r="AL87" i="25"/>
  <c r="N87" i="25"/>
  <c r="AG107" i="25"/>
  <c r="X107" i="25"/>
  <c r="N107" i="25"/>
  <c r="S107" i="25"/>
  <c r="W107" i="25"/>
  <c r="AM107" i="25"/>
  <c r="R107" i="25"/>
  <c r="AB107" i="25"/>
  <c r="AM140" i="25"/>
  <c r="AB186" i="25"/>
  <c r="S87" i="25"/>
  <c r="X154" i="25"/>
  <c r="AG87" i="25"/>
  <c r="AB119" i="25"/>
  <c r="AG24" i="25"/>
  <c r="AB24" i="25"/>
  <c r="X24" i="25"/>
  <c r="AC98" i="25"/>
  <c r="AM36" i="25"/>
  <c r="AL36" i="25"/>
  <c r="M36" i="25"/>
  <c r="Z15" i="3"/>
  <c r="AH4" i="25"/>
  <c r="W4" i="25"/>
  <c r="AM176" i="25"/>
  <c r="AC175" i="25"/>
  <c r="R176" i="25"/>
  <c r="W176" i="25"/>
  <c r="AM109" i="25"/>
  <c r="AL109" i="25"/>
  <c r="N109" i="25"/>
  <c r="R109" i="25"/>
  <c r="M109" i="25"/>
  <c r="X150" i="25"/>
  <c r="AB172" i="25"/>
  <c r="AM27" i="25"/>
  <c r="H27" i="25"/>
  <c r="X109" i="25"/>
  <c r="AL176" i="25"/>
  <c r="AM45" i="25"/>
  <c r="N172" i="25"/>
  <c r="AB134" i="25"/>
  <c r="AC142" i="25"/>
  <c r="AB142" i="25"/>
  <c r="AL142" i="25"/>
  <c r="BZ55" i="3"/>
  <c r="CB5" i="28"/>
  <c r="CC5" i="28" s="1"/>
  <c r="BZ35" i="28"/>
  <c r="J54" i="25"/>
  <c r="AB7" i="25"/>
  <c r="X68" i="25"/>
  <c r="O36" i="25"/>
  <c r="R7" i="25"/>
  <c r="AL68" i="25"/>
  <c r="AD36" i="25"/>
  <c r="Z54" i="3"/>
  <c r="X176" i="25"/>
  <c r="AC89" i="25"/>
  <c r="AB14" i="25"/>
  <c r="N68" i="25"/>
  <c r="S38" i="25"/>
  <c r="AB68" i="25"/>
  <c r="AC37" i="25"/>
  <c r="N38" i="25"/>
  <c r="AH67" i="25"/>
  <c r="S67" i="25"/>
  <c r="H59" i="25"/>
  <c r="CA5" i="2"/>
  <c r="N67" i="25"/>
  <c r="AB37" i="25"/>
  <c r="AL38" i="25"/>
  <c r="S139" i="25"/>
  <c r="AL89" i="25"/>
  <c r="W152" i="25"/>
  <c r="N151" i="25"/>
  <c r="AC151" i="25"/>
  <c r="S105" i="25"/>
  <c r="W114" i="25"/>
  <c r="M19" i="25"/>
  <c r="S55" i="25"/>
  <c r="S152" i="25"/>
  <c r="X58" i="25"/>
  <c r="X75" i="25"/>
  <c r="J45" i="25"/>
  <c r="AL75" i="25"/>
  <c r="S75" i="25"/>
  <c r="AB149" i="25"/>
  <c r="AH150" i="25"/>
  <c r="N149" i="25"/>
  <c r="M150" i="25"/>
  <c r="W150" i="25"/>
  <c r="R150" i="25"/>
  <c r="AC150" i="25"/>
  <c r="AG150" i="25"/>
  <c r="O8" i="25"/>
  <c r="O57" i="25"/>
  <c r="M151" i="25"/>
  <c r="N105" i="25"/>
  <c r="J19" i="25"/>
  <c r="AL55" i="25"/>
  <c r="AB55" i="25"/>
  <c r="AC114" i="25"/>
  <c r="AG152" i="25"/>
  <c r="S151" i="25"/>
  <c r="R105" i="25"/>
  <c r="BZ53" i="2"/>
  <c r="AM58" i="25"/>
  <c r="M55" i="25"/>
  <c r="AH152" i="25"/>
  <c r="AB105" i="25"/>
  <c r="AM152" i="25"/>
  <c r="H55" i="25"/>
  <c r="AH55" i="25"/>
  <c r="AH172" i="25"/>
  <c r="S172" i="25"/>
  <c r="W39" i="25"/>
  <c r="X69" i="25"/>
  <c r="M39" i="25"/>
  <c r="AM39" i="25"/>
  <c r="AH39" i="25"/>
  <c r="M171" i="25"/>
  <c r="AG27" i="25"/>
  <c r="J27" i="25"/>
  <c r="H39" i="25"/>
  <c r="AB3" i="3"/>
  <c r="AC3" i="3" s="1"/>
  <c r="W69" i="25"/>
  <c r="X172" i="25"/>
  <c r="AC171" i="25"/>
  <c r="AC45" i="25"/>
  <c r="AC36" i="25"/>
  <c r="AA53" i="2"/>
  <c r="N17" i="25"/>
  <c r="AH37" i="25"/>
  <c r="N66" i="25"/>
  <c r="AH45" i="25"/>
  <c r="S149" i="25"/>
  <c r="CC54" i="3"/>
  <c r="BZ23" i="3"/>
  <c r="H25" i="25"/>
  <c r="X34" i="25"/>
  <c r="AC34" i="25"/>
  <c r="AB25" i="25"/>
  <c r="S64" i="25"/>
  <c r="AL24" i="25"/>
  <c r="H24" i="25"/>
  <c r="W24" i="25"/>
  <c r="AM24" i="25"/>
  <c r="S24" i="25"/>
  <c r="AH24" i="25"/>
  <c r="AB34" i="25"/>
  <c r="X25" i="25"/>
  <c r="S25" i="25"/>
  <c r="CC33" i="28"/>
  <c r="R96" i="25"/>
  <c r="N197" i="25"/>
  <c r="W99" i="25"/>
  <c r="AH99" i="25"/>
  <c r="R97" i="25"/>
  <c r="AB97" i="25"/>
  <c r="Z14" i="28"/>
  <c r="AG34" i="25"/>
  <c r="M64" i="25"/>
  <c r="AD104" i="25"/>
  <c r="R66" i="25"/>
  <c r="W36" i="25"/>
  <c r="H36" i="25"/>
  <c r="AB36" i="25"/>
  <c r="AM66" i="25"/>
  <c r="W66" i="25"/>
  <c r="AG36" i="25"/>
  <c r="J36" i="25"/>
  <c r="T114" i="25"/>
  <c r="AA25" i="2"/>
  <c r="M45" i="25"/>
  <c r="X45" i="25"/>
  <c r="AC2" i="28"/>
  <c r="O94" i="25"/>
  <c r="AB3" i="28"/>
  <c r="AC3" i="28" s="1"/>
  <c r="CC24" i="28"/>
  <c r="AG75" i="25"/>
  <c r="O56" i="25"/>
  <c r="AC2" i="3"/>
  <c r="AD116" i="25"/>
  <c r="T56" i="25"/>
  <c r="N116" i="25"/>
  <c r="N88" i="25"/>
  <c r="AC88" i="25"/>
  <c r="AB88" i="25"/>
  <c r="AC124" i="25"/>
  <c r="N124" i="25"/>
  <c r="AH124" i="25"/>
  <c r="N123" i="25"/>
  <c r="S123" i="25"/>
  <c r="AB124" i="25"/>
  <c r="AB123" i="25"/>
  <c r="AG124" i="25"/>
  <c r="AM124" i="25"/>
  <c r="X6" i="25"/>
  <c r="AB6" i="25"/>
  <c r="AH6" i="25"/>
  <c r="AG6" i="25"/>
  <c r="J6" i="25"/>
  <c r="S6" i="25"/>
  <c r="AM6" i="25"/>
  <c r="N6" i="25"/>
  <c r="M6" i="25"/>
  <c r="W6" i="25"/>
  <c r="AC6" i="25"/>
  <c r="S54" i="25"/>
  <c r="M127" i="25"/>
  <c r="R127" i="25"/>
  <c r="N127" i="25"/>
  <c r="AG128" i="25"/>
  <c r="AH128" i="25"/>
  <c r="R128" i="25"/>
  <c r="S127" i="25"/>
  <c r="W128" i="25"/>
  <c r="N128" i="25"/>
  <c r="AC127" i="25"/>
  <c r="S128" i="25"/>
  <c r="X128" i="25"/>
  <c r="AB127" i="25"/>
  <c r="N94" i="25"/>
  <c r="AB94" i="25"/>
  <c r="S94" i="25"/>
  <c r="X94" i="25"/>
  <c r="R94" i="25"/>
  <c r="M94" i="25"/>
  <c r="S124" i="25"/>
  <c r="O4" i="25"/>
  <c r="O46" i="25"/>
  <c r="AA55" i="2"/>
  <c r="AL160" i="25"/>
  <c r="M160" i="25"/>
  <c r="N159" i="25"/>
  <c r="X160" i="25"/>
  <c r="AG160" i="25"/>
  <c r="S159" i="25"/>
  <c r="AH97" i="25"/>
  <c r="X97" i="25"/>
  <c r="N97" i="25"/>
  <c r="AG97" i="25"/>
  <c r="O106" i="25"/>
  <c r="O85" i="25"/>
  <c r="CA12" i="2"/>
  <c r="T24" i="25"/>
  <c r="AB159" i="25"/>
  <c r="W97" i="25"/>
  <c r="BZ55" i="28"/>
  <c r="BZ15" i="28"/>
  <c r="W182" i="25"/>
  <c r="S84" i="25"/>
  <c r="R84" i="25"/>
  <c r="AM84" i="25"/>
  <c r="M84" i="25"/>
  <c r="M154" i="25"/>
  <c r="N181" i="25"/>
  <c r="X59" i="25"/>
  <c r="S59" i="25"/>
  <c r="CA45" i="2"/>
  <c r="AC18" i="25"/>
  <c r="AM119" i="25"/>
  <c r="X119" i="25"/>
  <c r="AH119" i="25"/>
  <c r="AC119" i="25"/>
  <c r="N119" i="25"/>
  <c r="S119" i="25"/>
  <c r="AG119" i="25"/>
  <c r="X126" i="25"/>
  <c r="CB13" i="2"/>
  <c r="AA2" i="2"/>
  <c r="BZ54" i="3"/>
  <c r="CS55" i="3" s="1"/>
  <c r="W118" i="25"/>
  <c r="AG66" i="25"/>
  <c r="S66" i="25"/>
  <c r="M75" i="25"/>
  <c r="Z4" i="3"/>
  <c r="BZ22" i="3"/>
  <c r="R45" i="25"/>
  <c r="H4" i="25"/>
  <c r="AG4" i="25"/>
  <c r="AL4" i="25"/>
  <c r="AB4" i="25"/>
  <c r="Z44" i="28"/>
  <c r="R124" i="25"/>
  <c r="AC123" i="25"/>
  <c r="M124" i="25"/>
  <c r="AL124" i="25"/>
  <c r="X124" i="25"/>
  <c r="R75" i="25"/>
  <c r="N75" i="25"/>
  <c r="AC159" i="25"/>
  <c r="AM160" i="25"/>
  <c r="AL97" i="25"/>
  <c r="M97" i="25"/>
  <c r="AC97" i="25"/>
  <c r="AL119" i="25"/>
  <c r="R126" i="25"/>
  <c r="S125" i="25"/>
  <c r="AL126" i="25"/>
  <c r="AM126" i="25"/>
  <c r="W126" i="25"/>
  <c r="AC126" i="25"/>
  <c r="N37" i="25"/>
  <c r="M198" i="25"/>
  <c r="R197" i="25"/>
  <c r="AB198" i="25"/>
  <c r="AC198" i="25"/>
  <c r="M197" i="25"/>
  <c r="R198" i="25"/>
  <c r="AB22" i="28"/>
  <c r="AA25" i="28"/>
  <c r="W7" i="25"/>
  <c r="X7" i="25"/>
  <c r="S7" i="25"/>
  <c r="AC7" i="25"/>
  <c r="AG37" i="25"/>
  <c r="AB67" i="25"/>
  <c r="M37" i="25"/>
  <c r="R37" i="25"/>
  <c r="W37" i="25"/>
  <c r="AM67" i="25"/>
  <c r="AC67" i="25"/>
  <c r="AL67" i="25"/>
  <c r="S88" i="25"/>
  <c r="W88" i="25"/>
  <c r="AD34" i="25"/>
  <c r="CB53" i="28"/>
  <c r="CC53" i="28" s="1"/>
  <c r="Z54" i="28"/>
  <c r="AB42" i="2"/>
  <c r="R154" i="25"/>
  <c r="T89" i="25"/>
  <c r="BZ5" i="28"/>
  <c r="BZ14" i="28"/>
  <c r="Z35" i="3"/>
  <c r="BZ2" i="28"/>
  <c r="AM95" i="25"/>
  <c r="AB138" i="25"/>
  <c r="AM138" i="25"/>
  <c r="X106" i="25"/>
  <c r="AC106" i="25"/>
  <c r="M106" i="25"/>
  <c r="AL106" i="25"/>
  <c r="S182" i="25"/>
  <c r="AG182" i="25"/>
  <c r="AH182" i="25"/>
  <c r="AM182" i="25"/>
  <c r="AL182" i="25"/>
  <c r="AB182" i="25"/>
  <c r="X182" i="25"/>
  <c r="AC181" i="25"/>
  <c r="CC34" i="28"/>
  <c r="AB106" i="25"/>
  <c r="R182" i="25"/>
  <c r="AB181" i="25"/>
  <c r="T69" i="25"/>
  <c r="M181" i="25"/>
  <c r="M137" i="25"/>
  <c r="AM106" i="25"/>
  <c r="J56" i="25"/>
  <c r="Z43" i="28"/>
  <c r="M182" i="25"/>
  <c r="N182" i="25"/>
  <c r="H7" i="25"/>
  <c r="J7" i="25"/>
  <c r="AH7" i="25"/>
  <c r="AG7" i="25"/>
  <c r="R88" i="25"/>
  <c r="M88" i="25"/>
  <c r="R181" i="25"/>
  <c r="AH96" i="25"/>
  <c r="R106" i="25"/>
  <c r="R25" i="25"/>
  <c r="M25" i="25"/>
  <c r="Z53" i="28"/>
  <c r="Z3" i="3"/>
  <c r="AC86" i="25"/>
  <c r="AM86" i="25"/>
  <c r="CC25" i="3"/>
  <c r="AL29" i="25"/>
  <c r="AH29" i="25"/>
  <c r="H29" i="25"/>
  <c r="AG29" i="25"/>
  <c r="R29" i="25"/>
  <c r="W29" i="25"/>
  <c r="AC25" i="25"/>
  <c r="W25" i="25"/>
  <c r="J25" i="25"/>
  <c r="AM25" i="25"/>
  <c r="N25" i="25"/>
  <c r="AH25" i="25"/>
  <c r="AG25" i="25"/>
  <c r="R114" i="25"/>
  <c r="AM94" i="25"/>
  <c r="AG94" i="25"/>
  <c r="W94" i="25"/>
  <c r="AH94" i="25"/>
  <c r="R153" i="25"/>
  <c r="AB153" i="25"/>
  <c r="AH154" i="25"/>
  <c r="AL154" i="25"/>
  <c r="S154" i="25"/>
  <c r="W154" i="25"/>
  <c r="AC153" i="25"/>
  <c r="M153" i="25"/>
  <c r="AG154" i="25"/>
  <c r="AM154" i="25"/>
  <c r="N154" i="25"/>
  <c r="AB154" i="25"/>
  <c r="AO22" i="2"/>
  <c r="X152" i="25"/>
  <c r="H46" i="25"/>
  <c r="AL78" i="25"/>
  <c r="AB48" i="25"/>
  <c r="AG116" i="25"/>
  <c r="BZ45" i="3"/>
  <c r="AL48" i="25"/>
  <c r="AC5" i="25"/>
  <c r="AL5" i="25"/>
  <c r="CA33" i="2"/>
  <c r="M16" i="25"/>
  <c r="O38" i="25"/>
  <c r="AH115" i="25"/>
  <c r="S115" i="25"/>
  <c r="AG78" i="25"/>
  <c r="X5" i="25"/>
  <c r="AL116" i="25"/>
  <c r="AA34" i="2"/>
  <c r="S117" i="25"/>
  <c r="AC46" i="25"/>
  <c r="AB44" i="2"/>
  <c r="Z44" i="2"/>
  <c r="M46" i="25"/>
  <c r="Z14" i="3"/>
  <c r="BZ23" i="28"/>
  <c r="T46" i="25"/>
  <c r="AD46" i="25"/>
  <c r="N5" i="25"/>
  <c r="AD48" i="25"/>
  <c r="M76" i="25"/>
  <c r="R76" i="25"/>
  <c r="AA44" i="3"/>
  <c r="AB24" i="2"/>
  <c r="CC25" i="28"/>
  <c r="X77" i="25"/>
  <c r="AG108" i="25"/>
  <c r="N108" i="25"/>
  <c r="AB108" i="25"/>
  <c r="AB28" i="25"/>
  <c r="N28" i="25"/>
  <c r="S28" i="25"/>
  <c r="AH77" i="25"/>
  <c r="N47" i="25"/>
  <c r="AL47" i="25"/>
  <c r="W77" i="25"/>
  <c r="J47" i="25"/>
  <c r="AC77" i="25"/>
  <c r="M77" i="25"/>
  <c r="CC23" i="3"/>
  <c r="AB77" i="25"/>
  <c r="W47" i="25"/>
  <c r="S47" i="25"/>
  <c r="M139" i="25"/>
  <c r="AH140" i="25"/>
  <c r="Y95" i="25"/>
  <c r="T85" i="25"/>
  <c r="AD59" i="25"/>
  <c r="AM47" i="25"/>
  <c r="R47" i="25"/>
  <c r="W116" i="25"/>
  <c r="M116" i="25"/>
  <c r="R116" i="25"/>
  <c r="AB116" i="25"/>
  <c r="AM116" i="25"/>
  <c r="AC116" i="25"/>
  <c r="AA14" i="2"/>
  <c r="AB53" i="2"/>
  <c r="CB34" i="2"/>
  <c r="Z43" i="3"/>
  <c r="AB54" i="2"/>
  <c r="CB32" i="2"/>
  <c r="T37" i="25"/>
  <c r="Z52" i="3"/>
  <c r="BZ33" i="2"/>
  <c r="CA25" i="2"/>
  <c r="CC45" i="3"/>
  <c r="O58" i="25"/>
  <c r="CB5" i="2"/>
  <c r="AC24" i="3"/>
  <c r="AC45" i="28"/>
  <c r="O89" i="25"/>
  <c r="AB14" i="2"/>
  <c r="Z5" i="3"/>
  <c r="CB55" i="2"/>
  <c r="AH89" i="25"/>
  <c r="BZ22" i="2"/>
  <c r="CF25" i="2" s="1"/>
  <c r="Z3" i="28"/>
  <c r="BZ22" i="28"/>
  <c r="AC48" i="25"/>
  <c r="S78" i="25"/>
  <c r="M98" i="25"/>
  <c r="AC15" i="28"/>
  <c r="R46" i="25"/>
  <c r="W76" i="25"/>
  <c r="AM46" i="25"/>
  <c r="N76" i="25"/>
  <c r="S76" i="25"/>
  <c r="J46" i="25"/>
  <c r="R89" i="25"/>
  <c r="M89" i="25"/>
  <c r="AH85" i="25"/>
  <c r="AL85" i="25"/>
  <c r="AM85" i="25"/>
  <c r="AG85" i="25"/>
  <c r="W85" i="25"/>
  <c r="AB85" i="25"/>
  <c r="AC85" i="25"/>
  <c r="N85" i="25"/>
  <c r="S85" i="25"/>
  <c r="O65" i="25"/>
  <c r="AL104" i="25"/>
  <c r="Z12" i="3"/>
  <c r="BZ43" i="28"/>
  <c r="BZ33" i="28"/>
  <c r="S77" i="25"/>
  <c r="AH47" i="25"/>
  <c r="AL77" i="25"/>
  <c r="AM77" i="25"/>
  <c r="AC47" i="25"/>
  <c r="R77" i="25"/>
  <c r="AG47" i="25"/>
  <c r="M47" i="25"/>
  <c r="AG77" i="25"/>
  <c r="X47" i="25"/>
  <c r="H47" i="25"/>
  <c r="Z43" i="2"/>
  <c r="T19" i="25"/>
  <c r="O37" i="25"/>
  <c r="Z4" i="28"/>
  <c r="AL16" i="25"/>
  <c r="AG148" i="25"/>
  <c r="AC68" i="25"/>
  <c r="BZ4" i="3"/>
  <c r="X16" i="25"/>
  <c r="H16" i="25"/>
  <c r="AG16" i="25"/>
  <c r="M157" i="25"/>
  <c r="AH116" i="25"/>
  <c r="AM38" i="25"/>
  <c r="J38" i="25"/>
  <c r="W16" i="25"/>
  <c r="AM128" i="25"/>
  <c r="AB128" i="25"/>
  <c r="AC128" i="25"/>
  <c r="AL128" i="25"/>
  <c r="M128" i="25"/>
  <c r="AH84" i="25"/>
  <c r="AG84" i="25"/>
  <c r="X84" i="25"/>
  <c r="W84" i="25"/>
  <c r="AL134" i="25"/>
  <c r="AC134" i="25"/>
  <c r="M134" i="25"/>
  <c r="S133" i="25"/>
  <c r="AG134" i="25"/>
  <c r="AB133" i="25"/>
  <c r="R134" i="25"/>
  <c r="W134" i="25"/>
  <c r="N133" i="25"/>
  <c r="AH134" i="25"/>
  <c r="AM8" i="25"/>
  <c r="R8" i="25"/>
  <c r="AA42" i="3"/>
  <c r="AC42" i="3" s="1"/>
  <c r="AB43" i="3"/>
  <c r="AC43" i="3" s="1"/>
  <c r="J58" i="25"/>
  <c r="AQ25" i="2"/>
  <c r="AI22" i="2"/>
  <c r="AL25" i="2"/>
  <c r="AT22" i="2"/>
  <c r="W34" i="25"/>
  <c r="M34" i="25"/>
  <c r="AM64" i="25"/>
  <c r="J34" i="25"/>
  <c r="AH34" i="25"/>
  <c r="R34" i="25"/>
  <c r="W64" i="25"/>
  <c r="AG64" i="25"/>
  <c r="AC64" i="25"/>
  <c r="R64" i="25"/>
  <c r="H34" i="25"/>
  <c r="AB64" i="25"/>
  <c r="AL34" i="25"/>
  <c r="AH64" i="25"/>
  <c r="AL64" i="25"/>
  <c r="S34" i="25"/>
  <c r="N64" i="25"/>
  <c r="Z52" i="28"/>
  <c r="N58" i="25"/>
  <c r="AA54" i="3"/>
  <c r="AC54" i="3" s="1"/>
  <c r="N54" i="25"/>
  <c r="X132" i="25"/>
  <c r="N132" i="25"/>
  <c r="W132" i="25"/>
  <c r="AG132" i="25"/>
  <c r="AB131" i="25"/>
  <c r="R132" i="25"/>
  <c r="AH132" i="25"/>
  <c r="AC132" i="25"/>
  <c r="S132" i="25"/>
  <c r="AC131" i="25"/>
  <c r="M131" i="25"/>
  <c r="AB132" i="25"/>
  <c r="R131" i="25"/>
  <c r="AA53" i="28"/>
  <c r="AC53" i="28" s="1"/>
  <c r="AB55" i="28"/>
  <c r="R58" i="25"/>
  <c r="W58" i="25"/>
  <c r="M58" i="25"/>
  <c r="S58" i="25"/>
  <c r="AL58" i="25"/>
  <c r="AG58" i="25"/>
  <c r="AC58" i="25"/>
  <c r="AB58" i="25"/>
  <c r="AH58" i="25"/>
  <c r="BZ25" i="28"/>
  <c r="AD54" i="25"/>
  <c r="AM17" i="25"/>
  <c r="S17" i="25"/>
  <c r="AB17" i="25"/>
  <c r="R17" i="25"/>
  <c r="AH108" i="25"/>
  <c r="AL108" i="25"/>
  <c r="S98" i="25"/>
  <c r="AM98" i="25"/>
  <c r="R98" i="25"/>
  <c r="H58" i="25"/>
  <c r="O108" i="25"/>
  <c r="T96" i="25"/>
  <c r="AB2" i="2"/>
  <c r="S37" i="25"/>
  <c r="X37" i="25"/>
  <c r="AG67" i="25"/>
  <c r="H37" i="25"/>
  <c r="AM37" i="25"/>
  <c r="W67" i="25"/>
  <c r="X67" i="25"/>
  <c r="J37" i="25"/>
  <c r="AL88" i="25"/>
  <c r="X88" i="25"/>
  <c r="AM88" i="25"/>
  <c r="AH88" i="25"/>
  <c r="AM198" i="25"/>
  <c r="S197" i="25"/>
  <c r="W198" i="25"/>
  <c r="AL198" i="25"/>
  <c r="H28" i="25"/>
  <c r="J28" i="25"/>
  <c r="AG28" i="25"/>
  <c r="AC28" i="25"/>
  <c r="AH28" i="25"/>
  <c r="W28" i="25"/>
  <c r="X28" i="25"/>
  <c r="AM28" i="25"/>
  <c r="AL28" i="25"/>
  <c r="Z53" i="3"/>
  <c r="T28" i="25"/>
  <c r="BZ33" i="3"/>
  <c r="O118" i="25"/>
  <c r="T118" i="25"/>
  <c r="AD38" i="25"/>
  <c r="T65" i="25"/>
  <c r="N7" i="25"/>
  <c r="AL7" i="25"/>
  <c r="AB96" i="25"/>
  <c r="S96" i="25"/>
  <c r="AM96" i="25"/>
  <c r="W96" i="25"/>
  <c r="AL96" i="25"/>
  <c r="AG96" i="25"/>
  <c r="H19" i="25"/>
  <c r="W19" i="25"/>
  <c r="X19" i="25"/>
  <c r="AH19" i="25"/>
  <c r="AB34" i="3"/>
  <c r="AC34" i="3" s="1"/>
  <c r="CC13" i="3"/>
  <c r="CA55" i="28"/>
  <c r="W136" i="25"/>
  <c r="BZ4" i="28"/>
  <c r="BZ44" i="28"/>
  <c r="T54" i="25"/>
  <c r="AB135" i="25"/>
  <c r="T18" i="25"/>
  <c r="AB45" i="2"/>
  <c r="S104" i="25"/>
  <c r="M136" i="25"/>
  <c r="N104" i="25"/>
  <c r="Z44" i="3"/>
  <c r="CA4" i="28"/>
  <c r="R19" i="25"/>
  <c r="AB19" i="25"/>
  <c r="AA5" i="28"/>
  <c r="Z25" i="28"/>
  <c r="X136" i="25"/>
  <c r="S95" i="25"/>
  <c r="AL95" i="25"/>
  <c r="T34" i="25"/>
  <c r="CB24" i="2"/>
  <c r="N117" i="25"/>
  <c r="N95" i="25"/>
  <c r="AA45" i="3"/>
  <c r="CA14" i="3"/>
  <c r="Z3" i="2"/>
  <c r="AL3" i="2" s="1"/>
  <c r="AM19" i="25"/>
  <c r="Z5" i="2"/>
  <c r="AO2" i="2" s="1"/>
  <c r="T55" i="25"/>
  <c r="AB104" i="25"/>
  <c r="AC53" i="3"/>
  <c r="S19" i="25"/>
  <c r="AA22" i="28"/>
  <c r="S14" i="25"/>
  <c r="J14" i="25"/>
  <c r="N14" i="25"/>
  <c r="AM14" i="25"/>
  <c r="W14" i="25"/>
  <c r="AL14" i="25"/>
  <c r="R14" i="25"/>
  <c r="AG14" i="25"/>
  <c r="AH14" i="25"/>
  <c r="AC14" i="25"/>
  <c r="X14" i="25"/>
  <c r="H14" i="25"/>
  <c r="M14" i="25"/>
  <c r="AH36" i="25"/>
  <c r="AL66" i="25"/>
  <c r="X66" i="25"/>
  <c r="W105" i="25"/>
  <c r="AH105" i="25"/>
  <c r="AL105" i="25"/>
  <c r="X105" i="25"/>
  <c r="N55" i="25"/>
  <c r="W55" i="25"/>
  <c r="X55" i="25"/>
  <c r="AG104" i="25"/>
  <c r="Z5" i="28"/>
  <c r="AI115" i="25"/>
  <c r="O68" i="25"/>
  <c r="W104" i="25"/>
  <c r="X95" i="25"/>
  <c r="BZ3" i="3"/>
  <c r="Y34" i="25"/>
  <c r="N163" i="25"/>
  <c r="Z33" i="28"/>
  <c r="AD58" i="25"/>
  <c r="R136" i="25"/>
  <c r="BZ2" i="2"/>
  <c r="N19" i="25"/>
  <c r="AL19" i="25"/>
  <c r="AM104" i="25"/>
  <c r="X64" i="25"/>
  <c r="AM34" i="25"/>
  <c r="AL136" i="25"/>
  <c r="N136" i="25"/>
  <c r="AC135" i="25"/>
  <c r="S136" i="25"/>
  <c r="AL164" i="25"/>
  <c r="CA3" i="28"/>
  <c r="CB4" i="28"/>
  <c r="AG164" i="25"/>
  <c r="R48" i="25"/>
  <c r="M48" i="25"/>
  <c r="AM48" i="25"/>
  <c r="N78" i="25"/>
  <c r="R57" i="25"/>
  <c r="AC57" i="25"/>
  <c r="M57" i="25"/>
  <c r="BZ24" i="3"/>
  <c r="R78" i="25"/>
  <c r="AC164" i="25"/>
  <c r="M78" i="25"/>
  <c r="AM170" i="25"/>
  <c r="AH136" i="25"/>
  <c r="Z55" i="3"/>
  <c r="S118" i="25"/>
  <c r="AB118" i="25"/>
  <c r="AM118" i="25"/>
  <c r="AG118" i="25"/>
  <c r="AH118" i="25"/>
  <c r="R118" i="25"/>
  <c r="N118" i="25"/>
  <c r="AC139" i="25"/>
  <c r="AL140" i="25"/>
  <c r="X140" i="25"/>
  <c r="R139" i="25"/>
  <c r="R140" i="25"/>
  <c r="AB139" i="25"/>
  <c r="W140" i="25"/>
  <c r="AG140" i="25"/>
  <c r="S140" i="25"/>
  <c r="N140" i="25"/>
  <c r="N139" i="25"/>
  <c r="AC140" i="25"/>
  <c r="AA15" i="3"/>
  <c r="AC15" i="3" s="1"/>
  <c r="AB12" i="3"/>
  <c r="AC12" i="3" s="1"/>
  <c r="Z22" i="3"/>
  <c r="BZ3" i="2"/>
  <c r="BZ53" i="28"/>
  <c r="CC4" i="3"/>
  <c r="Z33" i="2"/>
  <c r="BZ52" i="2"/>
  <c r="AB23" i="28"/>
  <c r="AC23" i="28" s="1"/>
  <c r="AL54" i="25"/>
  <c r="AL46" i="25"/>
  <c r="AM5" i="25"/>
  <c r="CB54" i="2"/>
  <c r="CA14" i="2"/>
  <c r="AA45" i="2"/>
  <c r="BZ15" i="3"/>
  <c r="Z52" i="2"/>
  <c r="Z25" i="3"/>
  <c r="BZ23" i="2"/>
  <c r="R18" i="25"/>
  <c r="S18" i="25"/>
  <c r="H18" i="25"/>
  <c r="AG18" i="25"/>
  <c r="J18" i="25"/>
  <c r="AM18" i="25"/>
  <c r="N18" i="25"/>
  <c r="W18" i="25"/>
  <c r="X18" i="25"/>
  <c r="N98" i="25"/>
  <c r="W98" i="25"/>
  <c r="AB98" i="25"/>
  <c r="X98" i="25"/>
  <c r="AH98" i="25"/>
  <c r="AG98" i="25"/>
  <c r="AL158" i="25"/>
  <c r="X158" i="25"/>
  <c r="Z13" i="3"/>
  <c r="BZ52" i="28"/>
  <c r="CA54" i="2"/>
  <c r="AB158" i="25"/>
  <c r="AM158" i="25"/>
  <c r="AH117" i="25"/>
  <c r="M117" i="25"/>
  <c r="W117" i="25"/>
  <c r="X117" i="25"/>
  <c r="AC117" i="25"/>
  <c r="AM117" i="25"/>
  <c r="AG117" i="25"/>
  <c r="R117" i="25"/>
  <c r="AL117" i="25"/>
  <c r="AB117" i="25"/>
  <c r="BZ32" i="3"/>
  <c r="AB148" i="25"/>
  <c r="AL8" i="25"/>
  <c r="R157" i="25"/>
  <c r="BZ13" i="3"/>
  <c r="X148" i="25"/>
  <c r="AH148" i="25"/>
  <c r="Z24" i="28"/>
  <c r="BZ42" i="3"/>
  <c r="M148" i="25"/>
  <c r="Z2" i="28"/>
  <c r="M8" i="25"/>
  <c r="AC148" i="25"/>
  <c r="R54" i="25"/>
  <c r="AG54" i="25"/>
  <c r="AC54" i="25"/>
  <c r="W54" i="25"/>
  <c r="X54" i="25"/>
  <c r="AH54" i="25"/>
  <c r="H54" i="25"/>
  <c r="M54" i="25"/>
  <c r="AB54" i="25"/>
  <c r="Z23" i="3"/>
  <c r="Z42" i="3"/>
  <c r="R179" i="25"/>
  <c r="AC108" i="25"/>
  <c r="M108" i="25"/>
  <c r="S108" i="25"/>
  <c r="R108" i="25"/>
  <c r="X108" i="25"/>
  <c r="W108" i="25"/>
  <c r="R135" i="25"/>
  <c r="AB136" i="25"/>
  <c r="S135" i="25"/>
  <c r="AG136" i="25"/>
  <c r="M135" i="25"/>
  <c r="N135" i="25"/>
  <c r="AC136" i="25"/>
  <c r="N57" i="25"/>
  <c r="AB57" i="25"/>
  <c r="H57" i="25"/>
  <c r="AM57" i="25"/>
  <c r="J57" i="25"/>
  <c r="AG57" i="25"/>
  <c r="W57" i="25"/>
  <c r="S57" i="25"/>
  <c r="X57" i="25"/>
  <c r="N114" i="25"/>
  <c r="AB114" i="25"/>
  <c r="AM114" i="25"/>
  <c r="X114" i="25"/>
  <c r="AH114" i="25"/>
  <c r="S114" i="25"/>
  <c r="AG114" i="25"/>
  <c r="AL76" i="25"/>
  <c r="AL57" i="25"/>
  <c r="AC152" i="25"/>
  <c r="AB152" i="25"/>
  <c r="R5" i="25"/>
  <c r="J5" i="25"/>
  <c r="AH5" i="25"/>
  <c r="H5" i="25"/>
  <c r="S5" i="25"/>
  <c r="AG5" i="25"/>
  <c r="M5" i="25"/>
  <c r="W5" i="25"/>
  <c r="BZ54" i="2"/>
  <c r="CC35" i="28"/>
  <c r="T57" i="25"/>
  <c r="X46" i="25"/>
  <c r="AB76" i="25"/>
  <c r="AC76" i="25"/>
  <c r="N46" i="25"/>
  <c r="S46" i="25"/>
  <c r="AH76" i="25"/>
  <c r="AG46" i="25"/>
  <c r="W46" i="25"/>
  <c r="AM76" i="25"/>
  <c r="X76" i="25"/>
  <c r="AH46" i="25"/>
  <c r="AG76" i="25"/>
  <c r="AB46" i="25"/>
  <c r="S68" i="25"/>
  <c r="R38" i="25"/>
  <c r="R68" i="25"/>
  <c r="W38" i="25"/>
  <c r="W68" i="25"/>
  <c r="X38" i="25"/>
  <c r="AH38" i="25"/>
  <c r="AH68" i="25"/>
  <c r="AC38" i="25"/>
  <c r="AG38" i="25"/>
  <c r="AG68" i="25"/>
  <c r="J17" i="25"/>
  <c r="AC17" i="25"/>
  <c r="H17" i="25"/>
  <c r="X17" i="25"/>
  <c r="AG17" i="25"/>
  <c r="W17" i="25"/>
  <c r="AH17" i="25"/>
  <c r="N89" i="25"/>
  <c r="S89" i="25"/>
  <c r="X89" i="25"/>
  <c r="AB89" i="25"/>
  <c r="AG89" i="25"/>
  <c r="W89" i="25"/>
  <c r="AM136" i="25"/>
  <c r="AC104" i="25"/>
  <c r="X104" i="25"/>
  <c r="R104" i="25"/>
  <c r="M104" i="25"/>
  <c r="AH104" i="25"/>
  <c r="AM89" i="25"/>
  <c r="AL114" i="25"/>
  <c r="AA34" i="28"/>
  <c r="Z34" i="28"/>
  <c r="CB14" i="2"/>
  <c r="AM56" i="25"/>
  <c r="BZ14" i="3"/>
  <c r="Z35" i="2"/>
  <c r="Z4" i="2"/>
  <c r="AB45" i="3"/>
  <c r="CB33" i="2"/>
  <c r="S56" i="25"/>
  <c r="N56" i="25"/>
  <c r="BZ34" i="2"/>
  <c r="J48" i="25"/>
  <c r="N48" i="25"/>
  <c r="AC78" i="25"/>
  <c r="AB78" i="25"/>
  <c r="H48" i="25"/>
  <c r="X78" i="25"/>
  <c r="X48" i="25"/>
  <c r="S48" i="25"/>
  <c r="AH78" i="25"/>
  <c r="W78" i="25"/>
  <c r="W48" i="25"/>
  <c r="AG48" i="25"/>
  <c r="AH48" i="25"/>
  <c r="AM78" i="25"/>
  <c r="CB12" i="3"/>
  <c r="BZ35" i="3"/>
  <c r="CA15" i="2"/>
  <c r="Z45" i="28"/>
  <c r="BZ4" i="2"/>
  <c r="CI4" i="2" s="1"/>
  <c r="R56" i="25"/>
  <c r="AG56" i="25"/>
  <c r="H56" i="25"/>
  <c r="W56" i="25"/>
  <c r="AH56" i="25"/>
  <c r="X56" i="25"/>
  <c r="M56" i="25"/>
  <c r="AC56" i="25"/>
  <c r="AB56" i="25"/>
  <c r="AL56" i="25"/>
  <c r="S157" i="25"/>
  <c r="R158" i="25"/>
  <c r="S158" i="25"/>
  <c r="N157" i="25"/>
  <c r="AC157" i="25"/>
  <c r="M158" i="25"/>
  <c r="AG158" i="25"/>
  <c r="AB157" i="25"/>
  <c r="AH158" i="25"/>
  <c r="W158" i="25"/>
  <c r="N158" i="25"/>
  <c r="AC158" i="25"/>
  <c r="N148" i="25"/>
  <c r="N147" i="25"/>
  <c r="AB147" i="25"/>
  <c r="R148" i="25"/>
  <c r="S147" i="25"/>
  <c r="S148" i="25"/>
  <c r="W148" i="25"/>
  <c r="AL148" i="25"/>
  <c r="S8" i="25"/>
  <c r="AH8" i="25"/>
  <c r="AB8" i="25"/>
  <c r="N8" i="25"/>
  <c r="J8" i="25"/>
  <c r="AG8" i="25"/>
  <c r="W8" i="25"/>
  <c r="AC8" i="25"/>
  <c r="H8" i="25"/>
  <c r="X8" i="25"/>
  <c r="S116" i="25"/>
  <c r="X116" i="25"/>
  <c r="M115" i="25"/>
  <c r="R115" i="25"/>
  <c r="X115" i="25"/>
  <c r="AC115" i="25"/>
  <c r="AB115" i="25"/>
  <c r="AG115" i="25"/>
  <c r="AL115" i="25"/>
  <c r="N115" i="25"/>
  <c r="W115" i="25"/>
  <c r="N164" i="25"/>
  <c r="AH164" i="25"/>
  <c r="M163" i="25"/>
  <c r="AB163" i="25"/>
  <c r="R164" i="25"/>
  <c r="W164" i="25"/>
  <c r="S170" i="25"/>
  <c r="R169" i="25"/>
  <c r="BZ44" i="2"/>
  <c r="BZ12" i="3"/>
  <c r="BZ45" i="28"/>
  <c r="AT53" i="2"/>
  <c r="AI53" i="2"/>
  <c r="AA3" i="2"/>
  <c r="CA34" i="2"/>
  <c r="Z34" i="2"/>
  <c r="CB44" i="2"/>
  <c r="CB15" i="2"/>
  <c r="AB5" i="2"/>
  <c r="BZ14" i="2"/>
  <c r="BZ55" i="2"/>
  <c r="CB4" i="2"/>
  <c r="AA43" i="2"/>
  <c r="Z24" i="3"/>
  <c r="R95" i="25"/>
  <c r="AC95" i="25"/>
  <c r="W95" i="25"/>
  <c r="AH95" i="25"/>
  <c r="AB95" i="25"/>
  <c r="M95" i="25"/>
  <c r="AG95" i="25"/>
  <c r="CB44" i="3"/>
  <c r="AB15" i="2"/>
  <c r="AA35" i="2"/>
  <c r="CA55" i="2"/>
  <c r="CB14" i="3"/>
  <c r="CA15" i="3"/>
  <c r="CC24" i="3"/>
  <c r="CC45" i="28"/>
  <c r="AB25" i="3"/>
  <c r="AC25" i="3" s="1"/>
  <c r="CB2" i="2"/>
  <c r="CA3" i="2"/>
  <c r="AB33" i="2"/>
  <c r="CB53" i="2"/>
  <c r="CA52" i="2"/>
  <c r="AB22" i="2"/>
  <c r="AA23" i="2"/>
  <c r="AB13" i="2"/>
  <c r="AA12" i="2"/>
  <c r="AA5" i="2"/>
  <c r="AA15" i="2"/>
  <c r="CB43" i="2"/>
  <c r="AA52" i="2"/>
  <c r="CA22" i="2"/>
  <c r="CB23" i="2"/>
  <c r="AA44" i="28"/>
  <c r="AC44" i="28" s="1"/>
  <c r="AB42" i="28"/>
  <c r="AB23" i="2"/>
  <c r="AA22" i="2"/>
  <c r="AA33" i="2"/>
  <c r="AB43" i="2"/>
  <c r="AA44" i="2"/>
  <c r="A87" i="2"/>
  <c r="CB15" i="3"/>
  <c r="CA12" i="3"/>
  <c r="BZ42" i="28"/>
  <c r="CA35" i="2"/>
  <c r="AB34" i="2"/>
  <c r="AB12" i="2"/>
  <c r="AA13" i="2"/>
  <c r="CA42" i="2"/>
  <c r="CA33" i="3"/>
  <c r="CC33" i="3" s="1"/>
  <c r="CB35" i="3"/>
  <c r="CC35" i="3" s="1"/>
  <c r="Z45" i="3"/>
  <c r="AB44" i="3"/>
  <c r="CA2" i="2"/>
  <c r="CB3" i="2"/>
  <c r="CA53" i="2"/>
  <c r="CB52" i="2"/>
  <c r="CB25" i="2"/>
  <c r="AB52" i="2"/>
  <c r="AA4" i="2"/>
  <c r="AB3" i="2"/>
  <c r="CA23" i="2"/>
  <c r="CB22" i="2"/>
  <c r="BZ54" i="28"/>
  <c r="BZ43" i="3"/>
  <c r="BZ2" i="3"/>
  <c r="AC55" i="3"/>
  <c r="AB32" i="2"/>
  <c r="AB4" i="2"/>
  <c r="CA4" i="2"/>
  <c r="CA44" i="2"/>
  <c r="CB42" i="2"/>
  <c r="AB35" i="2"/>
  <c r="AA32" i="2"/>
  <c r="AA52" i="28"/>
  <c r="AB54" i="28"/>
  <c r="AC54" i="28" s="1"/>
  <c r="AL18" i="25"/>
  <c r="J164" i="25"/>
  <c r="AA5" i="3"/>
  <c r="AC5" i="3" s="1"/>
  <c r="AB4" i="3"/>
  <c r="AC4" i="3" s="1"/>
  <c r="J193" i="25"/>
  <c r="AM115" i="25"/>
  <c r="AM4" i="25"/>
  <c r="B29" i="26"/>
  <c r="B25" i="26"/>
  <c r="B13" i="26"/>
  <c r="B8" i="26"/>
  <c r="B2" i="26"/>
  <c r="B24" i="26"/>
  <c r="C87" i="26"/>
  <c r="C122" i="26" s="1"/>
  <c r="C17" i="26"/>
  <c r="C192" i="26" s="1"/>
  <c r="B192" i="26" s="1"/>
  <c r="C11" i="26"/>
  <c r="C186" i="26" s="1"/>
  <c r="B186" i="26" s="1"/>
  <c r="C81" i="26"/>
  <c r="C116" i="26" s="1"/>
  <c r="B192" i="29"/>
  <c r="B252" i="29"/>
  <c r="C14" i="26"/>
  <c r="C189" i="26" s="1"/>
  <c r="B189" i="26" s="1"/>
  <c r="C84" i="26"/>
  <c r="C119" i="26" s="1"/>
  <c r="B220" i="29"/>
  <c r="B33" i="26"/>
  <c r="B3" i="26"/>
  <c r="B11" i="29"/>
  <c r="B87" i="29"/>
  <c r="B89" i="29"/>
  <c r="B130" i="29"/>
  <c r="B33" i="29"/>
  <c r="B109" i="29"/>
  <c r="B141" i="29"/>
  <c r="B219" i="29"/>
  <c r="B30" i="26"/>
  <c r="C18" i="26"/>
  <c r="C193" i="26" s="1"/>
  <c r="B193" i="26" s="1"/>
  <c r="C88" i="26"/>
  <c r="C123" i="26" s="1"/>
  <c r="B19" i="26"/>
  <c r="C7" i="26"/>
  <c r="C182" i="26" s="1"/>
  <c r="B182" i="26" s="1"/>
  <c r="C77" i="26"/>
  <c r="C112" i="26" s="1"/>
  <c r="Z55" i="28"/>
  <c r="B31" i="26"/>
  <c r="C27" i="26"/>
  <c r="C202" i="26" s="1"/>
  <c r="B202" i="26" s="1"/>
  <c r="C97" i="26"/>
  <c r="C132" i="26" s="1"/>
  <c r="C89" i="26"/>
  <c r="C124" i="26" s="1"/>
  <c r="C19" i="26"/>
  <c r="C194" i="26" s="1"/>
  <c r="B194" i="26" s="1"/>
  <c r="C12" i="26"/>
  <c r="C187" i="26" s="1"/>
  <c r="B187" i="26" s="1"/>
  <c r="C82" i="26"/>
  <c r="C99" i="26"/>
  <c r="C134" i="26" s="1"/>
  <c r="C29" i="26"/>
  <c r="C204" i="26" s="1"/>
  <c r="B204" i="26" s="1"/>
  <c r="C95" i="26"/>
  <c r="C130" i="26" s="1"/>
  <c r="C25" i="26"/>
  <c r="C200" i="26" s="1"/>
  <c r="B200" i="26" s="1"/>
  <c r="C13" i="26"/>
  <c r="C188" i="26" s="1"/>
  <c r="B188" i="26" s="1"/>
  <c r="C83" i="26"/>
  <c r="C118" i="26" s="1"/>
  <c r="C78" i="26"/>
  <c r="C113" i="26" s="1"/>
  <c r="C8" i="26"/>
  <c r="C183" i="26" s="1"/>
  <c r="B183" i="26" s="1"/>
  <c r="C2" i="26"/>
  <c r="C177" i="26" s="1"/>
  <c r="B177" i="26" s="1"/>
  <c r="C72" i="26"/>
  <c r="C107" i="26" s="1"/>
  <c r="B56" i="29"/>
  <c r="C94" i="26"/>
  <c r="C129" i="26" s="1"/>
  <c r="C24" i="26"/>
  <c r="C199" i="26" s="1"/>
  <c r="B199" i="26" s="1"/>
  <c r="B15" i="26"/>
  <c r="B114" i="29"/>
  <c r="B97" i="29"/>
  <c r="B10" i="29"/>
  <c r="B190" i="29"/>
  <c r="B107" i="29"/>
  <c r="B213" i="29"/>
  <c r="B196" i="29"/>
  <c r="B117" i="29"/>
  <c r="B149" i="29"/>
  <c r="B177" i="29"/>
  <c r="B211" i="29"/>
  <c r="B264" i="29"/>
  <c r="B23" i="26"/>
  <c r="B6" i="26"/>
  <c r="B63" i="29"/>
  <c r="B205" i="29"/>
  <c r="B17" i="29"/>
  <c r="B266" i="29"/>
  <c r="B228" i="29"/>
  <c r="B330" i="29"/>
  <c r="B289" i="29"/>
  <c r="C33" i="26"/>
  <c r="C208" i="26" s="1"/>
  <c r="B208" i="26" s="1"/>
  <c r="C103" i="26"/>
  <c r="C138" i="26" s="1"/>
  <c r="C73" i="26"/>
  <c r="C108" i="26" s="1"/>
  <c r="C3" i="26"/>
  <c r="C178" i="26" s="1"/>
  <c r="B178" i="26" s="1"/>
  <c r="B39" i="29"/>
  <c r="B16" i="29"/>
  <c r="B92" i="29"/>
  <c r="B77" i="29"/>
  <c r="B115" i="29"/>
  <c r="B207" i="29"/>
  <c r="B135" i="29"/>
  <c r="B164" i="29"/>
  <c r="B169" i="29"/>
  <c r="B218" i="29"/>
  <c r="B216" i="29"/>
  <c r="C30" i="26"/>
  <c r="C205" i="26" s="1"/>
  <c r="B205" i="26" s="1"/>
  <c r="C100" i="26"/>
  <c r="C135" i="26" s="1"/>
  <c r="B20" i="26"/>
  <c r="B9" i="26"/>
  <c r="AA32" i="6"/>
  <c r="CB54" i="28"/>
  <c r="CC54" i="28" s="1"/>
  <c r="C31" i="26"/>
  <c r="C206" i="26" s="1"/>
  <c r="B206" i="26" s="1"/>
  <c r="C101" i="26"/>
  <c r="C136" i="26" s="1"/>
  <c r="B21" i="26"/>
  <c r="B16" i="26"/>
  <c r="B28" i="26"/>
  <c r="B22" i="26"/>
  <c r="B10" i="26"/>
  <c r="B4" i="26"/>
  <c r="B32" i="26"/>
  <c r="C85" i="26"/>
  <c r="C120" i="26" s="1"/>
  <c r="C15" i="26"/>
  <c r="C190" i="26" s="1"/>
  <c r="B190" i="26" s="1"/>
  <c r="B100" i="29"/>
  <c r="B146" i="29"/>
  <c r="B61" i="29"/>
  <c r="B217" i="29"/>
  <c r="B206" i="29"/>
  <c r="B121" i="29"/>
  <c r="B120" i="29"/>
  <c r="B280" i="29"/>
  <c r="B327" i="29"/>
  <c r="C93" i="26"/>
  <c r="C128" i="26" s="1"/>
  <c r="C23" i="26"/>
  <c r="C198" i="26" s="1"/>
  <c r="B198" i="26" s="1"/>
  <c r="C6" i="26"/>
  <c r="C181" i="26" s="1"/>
  <c r="B181" i="26" s="1"/>
  <c r="C76" i="26"/>
  <c r="C111" i="26" s="1"/>
  <c r="B91" i="29"/>
  <c r="B35" i="29"/>
  <c r="B194" i="29"/>
  <c r="B101" i="29"/>
  <c r="B154" i="29"/>
  <c r="B162" i="29"/>
  <c r="B129" i="29"/>
  <c r="B189" i="29"/>
  <c r="B215" i="29"/>
  <c r="B240" i="29"/>
  <c r="B5" i="26"/>
  <c r="B79" i="29"/>
  <c r="B7" i="29"/>
  <c r="B2" i="29"/>
  <c r="B198" i="29"/>
  <c r="B14" i="29"/>
  <c r="B118" i="29"/>
  <c r="B155" i="29"/>
  <c r="B229" i="29"/>
  <c r="B148" i="29"/>
  <c r="B125" i="29"/>
  <c r="B185" i="29"/>
  <c r="B281" i="29"/>
  <c r="B26" i="26"/>
  <c r="C20" i="26"/>
  <c r="C195" i="26" s="1"/>
  <c r="B195" i="26" s="1"/>
  <c r="C90" i="26"/>
  <c r="C125" i="26" s="1"/>
  <c r="C79" i="26"/>
  <c r="C114" i="26" s="1"/>
  <c r="C9" i="26"/>
  <c r="C184" i="26" s="1"/>
  <c r="B184" i="26" s="1"/>
  <c r="A85" i="36"/>
  <c r="A85" i="5"/>
  <c r="A164" i="25"/>
  <c r="A85" i="34"/>
  <c r="B86" i="3"/>
  <c r="C86" i="3"/>
  <c r="A87" i="3"/>
  <c r="AA42" i="28"/>
  <c r="B12" i="26"/>
  <c r="C21" i="26"/>
  <c r="C196" i="26" s="1"/>
  <c r="B196" i="26" s="1"/>
  <c r="C91" i="26"/>
  <c r="C126" i="26" s="1"/>
  <c r="C86" i="26"/>
  <c r="C121" i="26" s="1"/>
  <c r="C16" i="26"/>
  <c r="C191" i="26" s="1"/>
  <c r="B191" i="26" s="1"/>
  <c r="B7" i="26"/>
  <c r="C98" i="26"/>
  <c r="C133" i="26" s="1"/>
  <c r="C28" i="26"/>
  <c r="C203" i="26" s="1"/>
  <c r="B203" i="26" s="1"/>
  <c r="C22" i="26"/>
  <c r="C197" i="26" s="1"/>
  <c r="B197" i="26" s="1"/>
  <c r="C92" i="26"/>
  <c r="C127" i="26" s="1"/>
  <c r="C10" i="26"/>
  <c r="C185" i="26" s="1"/>
  <c r="B185" i="26" s="1"/>
  <c r="C80" i="26"/>
  <c r="C115" i="26" s="1"/>
  <c r="C74" i="26"/>
  <c r="C109" i="26" s="1"/>
  <c r="C4" i="26"/>
  <c r="C179" i="26" s="1"/>
  <c r="B179" i="26" s="1"/>
  <c r="C102" i="26"/>
  <c r="C137" i="26" s="1"/>
  <c r="C32" i="26"/>
  <c r="C207" i="26" s="1"/>
  <c r="B207" i="26" s="1"/>
  <c r="B17" i="26"/>
  <c r="B11" i="26"/>
  <c r="B4" i="29"/>
  <c r="B40" i="29"/>
  <c r="B122" i="29"/>
  <c r="B170" i="29"/>
  <c r="B90" i="29"/>
  <c r="B163" i="29"/>
  <c r="B195" i="29"/>
  <c r="B124" i="29"/>
  <c r="B176" i="29"/>
  <c r="B165" i="29"/>
  <c r="B244" i="29"/>
  <c r="B131" i="29"/>
  <c r="B14" i="26"/>
  <c r="B95" i="29"/>
  <c r="B134" i="29"/>
  <c r="B254" i="29"/>
  <c r="B5" i="29"/>
  <c r="B186" i="29"/>
  <c r="B167" i="29"/>
  <c r="B239" i="29"/>
  <c r="C5" i="26"/>
  <c r="C180" i="26" s="1"/>
  <c r="B180" i="26" s="1"/>
  <c r="C75" i="26"/>
  <c r="C110" i="26" s="1"/>
  <c r="B24" i="29"/>
  <c r="B76" i="29"/>
  <c r="B106" i="29"/>
  <c r="B116" i="29"/>
  <c r="B18" i="29"/>
  <c r="B123" i="29"/>
  <c r="B137" i="29"/>
  <c r="B152" i="29"/>
  <c r="B188" i="29"/>
  <c r="B157" i="29"/>
  <c r="B284" i="29"/>
  <c r="B310" i="29"/>
  <c r="B83" i="36"/>
  <c r="B83" i="5"/>
  <c r="B83" i="34"/>
  <c r="B160" i="25"/>
  <c r="C96" i="26"/>
  <c r="C131" i="26" s="1"/>
  <c r="C26" i="26"/>
  <c r="C201" i="26" s="1"/>
  <c r="B201" i="26" s="1"/>
  <c r="B18" i="26"/>
  <c r="B84" i="36"/>
  <c r="B84" i="34"/>
  <c r="B162" i="25"/>
  <c r="B84" i="5"/>
  <c r="AA31" i="6"/>
  <c r="AM150" i="25"/>
  <c r="J150" i="25"/>
  <c r="AM16" i="25"/>
  <c r="CA3" i="3"/>
  <c r="CC3" i="3" s="1"/>
  <c r="CB2" i="3"/>
  <c r="CC2" i="3" s="1"/>
  <c r="CB43" i="3"/>
  <c r="CC43" i="3" s="1"/>
  <c r="CA42" i="3"/>
  <c r="AM69" i="25"/>
  <c r="AB14" i="28"/>
  <c r="AM168" i="25"/>
  <c r="J168" i="25"/>
  <c r="CA13" i="28"/>
  <c r="CC13" i="28" s="1"/>
  <c r="CB14" i="28"/>
  <c r="CC14" i="28" s="1"/>
  <c r="AA55" i="28"/>
  <c r="AB52" i="28"/>
  <c r="BZ34" i="3"/>
  <c r="AM108" i="25"/>
  <c r="AM29" i="25"/>
  <c r="AM68" i="25"/>
  <c r="CA34" i="3"/>
  <c r="CC34" i="3" s="1"/>
  <c r="CB32" i="3"/>
  <c r="CC32" i="3" s="1"/>
  <c r="CA2" i="28"/>
  <c r="CC2" i="28" s="1"/>
  <c r="CB3" i="28"/>
  <c r="CB55" i="28"/>
  <c r="CA52" i="28"/>
  <c r="CC52" i="28" s="1"/>
  <c r="J172" i="25"/>
  <c r="AM172" i="25"/>
  <c r="AB34" i="28"/>
  <c r="AA35" i="28"/>
  <c r="AC35" i="28" s="1"/>
  <c r="AB5" i="28"/>
  <c r="AA4" i="28"/>
  <c r="AC4" i="28" s="1"/>
  <c r="CB43" i="28"/>
  <c r="CC43" i="28" s="1"/>
  <c r="CA42" i="28"/>
  <c r="AB25" i="28"/>
  <c r="AA24" i="28"/>
  <c r="AC24" i="28" s="1"/>
  <c r="CA52" i="3"/>
  <c r="CB55" i="3"/>
  <c r="CC55" i="3" s="1"/>
  <c r="AB12" i="28"/>
  <c r="AA14" i="28"/>
  <c r="CA44" i="28"/>
  <c r="CC44" i="28" s="1"/>
  <c r="CB42" i="28"/>
  <c r="Z12" i="28"/>
  <c r="AA12" i="28"/>
  <c r="AB13" i="28"/>
  <c r="AC13" i="28" s="1"/>
  <c r="AL24" i="2" l="1"/>
  <c r="CM5" i="2"/>
  <c r="CF5" i="2"/>
  <c r="AI14" i="2"/>
  <c r="AH188" i="25"/>
  <c r="AO14" i="2"/>
  <c r="AL188" i="25"/>
  <c r="AS15" i="2"/>
  <c r="R188" i="25"/>
  <c r="AC187" i="25"/>
  <c r="AM144" i="25"/>
  <c r="AH144" i="25"/>
  <c r="W144" i="25"/>
  <c r="X144" i="25"/>
  <c r="M144" i="25"/>
  <c r="AI24" i="2"/>
  <c r="N144" i="25"/>
  <c r="S144" i="25"/>
  <c r="N143" i="25"/>
  <c r="AB144" i="25"/>
  <c r="AL144" i="25"/>
  <c r="R144" i="25"/>
  <c r="AB143" i="25"/>
  <c r="R143" i="25"/>
  <c r="AC144" i="25"/>
  <c r="AG144" i="25"/>
  <c r="S143" i="25"/>
  <c r="M143" i="25"/>
  <c r="R137" i="25"/>
  <c r="AB185" i="25"/>
  <c r="AC138" i="25"/>
  <c r="AH138" i="25"/>
  <c r="S186" i="25"/>
  <c r="AG138" i="25"/>
  <c r="M138" i="25"/>
  <c r="M185" i="25"/>
  <c r="W138" i="25"/>
  <c r="R138" i="25"/>
  <c r="AG186" i="25"/>
  <c r="M186" i="25"/>
  <c r="AM186" i="25"/>
  <c r="X186" i="25"/>
  <c r="AC137" i="25"/>
  <c r="AC185" i="25"/>
  <c r="AL186" i="25"/>
  <c r="X138" i="25"/>
  <c r="AL138" i="25"/>
  <c r="W186" i="25"/>
  <c r="AH186" i="25"/>
  <c r="AB137" i="25"/>
  <c r="N137" i="25"/>
  <c r="S138" i="25"/>
  <c r="N138" i="25"/>
  <c r="N186" i="25"/>
  <c r="R186" i="25"/>
  <c r="AC186" i="25"/>
  <c r="AL162" i="25"/>
  <c r="CM45" i="2"/>
  <c r="AF24" i="2"/>
  <c r="CT43" i="2"/>
  <c r="AN25" i="2"/>
  <c r="CR45" i="2"/>
  <c r="CL43" i="2"/>
  <c r="CG45" i="2"/>
  <c r="AO24" i="2"/>
  <c r="AH22" i="2"/>
  <c r="AS25" i="2"/>
  <c r="CI43" i="2"/>
  <c r="CO43" i="2"/>
  <c r="AM25" i="2"/>
  <c r="AQ24" i="2"/>
  <c r="AT24" i="2"/>
  <c r="AN22" i="2"/>
  <c r="AS22" i="2"/>
  <c r="CR44" i="2"/>
  <c r="AH25" i="2"/>
  <c r="AQ23" i="2"/>
  <c r="AS53" i="2"/>
  <c r="AN53" i="2"/>
  <c r="M129" i="25"/>
  <c r="AH130" i="25"/>
  <c r="AH53" i="2"/>
  <c r="N129" i="25"/>
  <c r="AG130" i="25"/>
  <c r="AB129" i="25"/>
  <c r="AT54" i="2"/>
  <c r="AB130" i="25"/>
  <c r="AC129" i="25"/>
  <c r="N130" i="25"/>
  <c r="M130" i="25"/>
  <c r="S130" i="25"/>
  <c r="X130" i="25"/>
  <c r="AM54" i="2"/>
  <c r="W130" i="25"/>
  <c r="AR54" i="2"/>
  <c r="AL130" i="25"/>
  <c r="AM130" i="25"/>
  <c r="R129" i="25"/>
  <c r="AS55" i="2"/>
  <c r="AG146" i="25"/>
  <c r="AF55" i="2"/>
  <c r="AC170" i="25"/>
  <c r="AO53" i="2"/>
  <c r="S169" i="25"/>
  <c r="CI12" i="2"/>
  <c r="AG170" i="25"/>
  <c r="M170" i="25"/>
  <c r="R170" i="25"/>
  <c r="AH55" i="2"/>
  <c r="AC169" i="25"/>
  <c r="AO54" i="2"/>
  <c r="AG55" i="2"/>
  <c r="AB170" i="25"/>
  <c r="AL170" i="25"/>
  <c r="AR55" i="2"/>
  <c r="AN55" i="2"/>
  <c r="M169" i="25"/>
  <c r="AM55" i="2"/>
  <c r="N170" i="25"/>
  <c r="W170" i="25"/>
  <c r="AI54" i="2"/>
  <c r="N169" i="25"/>
  <c r="X170" i="25"/>
  <c r="AB169" i="25"/>
  <c r="AM164" i="25"/>
  <c r="S164" i="25"/>
  <c r="R163" i="25"/>
  <c r="AB164" i="25"/>
  <c r="M164" i="25"/>
  <c r="AC163" i="25"/>
  <c r="AH15" i="2"/>
  <c r="AN15" i="2"/>
  <c r="R146" i="25"/>
  <c r="S146" i="25"/>
  <c r="AM32" i="2"/>
  <c r="X164" i="25"/>
  <c r="N145" i="25"/>
  <c r="X180" i="25"/>
  <c r="AC188" i="25"/>
  <c r="W188" i="25"/>
  <c r="AB187" i="25"/>
  <c r="X188" i="25"/>
  <c r="AC161" i="25"/>
  <c r="M187" i="25"/>
  <c r="AC177" i="25"/>
  <c r="R180" i="25"/>
  <c r="AM188" i="25"/>
  <c r="M188" i="25"/>
  <c r="AG188" i="25"/>
  <c r="N187" i="25"/>
  <c r="S187" i="25"/>
  <c r="AB188" i="25"/>
  <c r="R187" i="25"/>
  <c r="N188" i="25"/>
  <c r="BC83" i="28"/>
  <c r="BA84" i="28"/>
  <c r="BB83" i="28"/>
  <c r="A87" i="4"/>
  <c r="B87" i="2"/>
  <c r="B87" i="4" s="1"/>
  <c r="C87" i="2"/>
  <c r="C87" i="4" s="1"/>
  <c r="AC178" i="25"/>
  <c r="CQ15" i="2"/>
  <c r="AL146" i="25"/>
  <c r="M146" i="25"/>
  <c r="N146" i="25"/>
  <c r="W146" i="25"/>
  <c r="AC146" i="25"/>
  <c r="AH180" i="25"/>
  <c r="AB145" i="25"/>
  <c r="X162" i="25"/>
  <c r="M162" i="25"/>
  <c r="AB161" i="25"/>
  <c r="N177" i="25"/>
  <c r="AM146" i="25"/>
  <c r="M145" i="25"/>
  <c r="AH146" i="25"/>
  <c r="R145" i="25"/>
  <c r="N180" i="25"/>
  <c r="S161" i="25"/>
  <c r="S177" i="25"/>
  <c r="AB180" i="25"/>
  <c r="X146" i="25"/>
  <c r="AB146" i="25"/>
  <c r="AC145" i="25"/>
  <c r="CL15" i="2"/>
  <c r="CF15" i="2"/>
  <c r="X178" i="25"/>
  <c r="W180" i="25"/>
  <c r="W162" i="25"/>
  <c r="R162" i="25"/>
  <c r="CT32" i="2"/>
  <c r="AH12" i="2"/>
  <c r="N192" i="25"/>
  <c r="CF35" i="2"/>
  <c r="CH32" i="2"/>
  <c r="M179" i="25"/>
  <c r="N179" i="25"/>
  <c r="AG180" i="25"/>
  <c r="CO12" i="2"/>
  <c r="AN12" i="2"/>
  <c r="AL180" i="25"/>
  <c r="AH178" i="25"/>
  <c r="S180" i="25"/>
  <c r="N178" i="25"/>
  <c r="AB162" i="25"/>
  <c r="M161" i="25"/>
  <c r="R161" i="25"/>
  <c r="AC162" i="25"/>
  <c r="S162" i="25"/>
  <c r="AH162" i="25"/>
  <c r="CQ35" i="2"/>
  <c r="AR22" i="2"/>
  <c r="AU22" i="2" s="1"/>
  <c r="AI42" i="2"/>
  <c r="S179" i="25"/>
  <c r="AC180" i="25"/>
  <c r="AM180" i="25"/>
  <c r="AG25" i="2"/>
  <c r="AG45" i="2"/>
  <c r="AM178" i="25"/>
  <c r="AC179" i="25"/>
  <c r="AB179" i="25"/>
  <c r="M180" i="25"/>
  <c r="AM162" i="25"/>
  <c r="N161" i="25"/>
  <c r="N162" i="25"/>
  <c r="AL23" i="2"/>
  <c r="AM22" i="2"/>
  <c r="CI32" i="2"/>
  <c r="AH23" i="2"/>
  <c r="AS23" i="2"/>
  <c r="AL14" i="2"/>
  <c r="AT23" i="2"/>
  <c r="AF23" i="2"/>
  <c r="CL35" i="2"/>
  <c r="AF15" i="2"/>
  <c r="AL15" i="2"/>
  <c r="AQ15" i="2"/>
  <c r="AO23" i="2"/>
  <c r="AR24" i="2"/>
  <c r="AQ14" i="2"/>
  <c r="CT33" i="2"/>
  <c r="AN23" i="2"/>
  <c r="N193" i="25"/>
  <c r="AM12" i="2"/>
  <c r="AI12" i="2"/>
  <c r="AT12" i="2"/>
  <c r="AO12" i="2"/>
  <c r="AG24" i="2"/>
  <c r="AR25" i="2"/>
  <c r="AF14" i="2"/>
  <c r="AM24" i="2"/>
  <c r="AP24" i="2" s="1"/>
  <c r="AG22" i="2"/>
  <c r="AJ22" i="2" s="1"/>
  <c r="AL193" i="25"/>
  <c r="AO42" i="2"/>
  <c r="X193" i="25"/>
  <c r="AL45" i="2"/>
  <c r="AF45" i="2"/>
  <c r="CI24" i="2"/>
  <c r="AT44" i="2"/>
  <c r="R192" i="25"/>
  <c r="AQ45" i="2"/>
  <c r="CS25" i="2"/>
  <c r="AG193" i="25"/>
  <c r="AC192" i="25"/>
  <c r="AC193" i="25"/>
  <c r="R193" i="25"/>
  <c r="CN25" i="2"/>
  <c r="CT24" i="2"/>
  <c r="CN23" i="2"/>
  <c r="M193" i="25"/>
  <c r="AB192" i="25"/>
  <c r="W193" i="25"/>
  <c r="AH193" i="25"/>
  <c r="AM193" i="25"/>
  <c r="CO24" i="2"/>
  <c r="S193" i="25"/>
  <c r="AB193" i="25"/>
  <c r="S192" i="25"/>
  <c r="CL15" i="28"/>
  <c r="CL13" i="28"/>
  <c r="CI12" i="28"/>
  <c r="CH12" i="28"/>
  <c r="AQ35" i="28"/>
  <c r="CC45" i="2"/>
  <c r="CN45" i="3"/>
  <c r="CG12" i="28"/>
  <c r="CN22" i="28"/>
  <c r="B82" i="26"/>
  <c r="C117" i="26"/>
  <c r="AR15" i="28"/>
  <c r="AT14" i="28"/>
  <c r="AT13" i="28"/>
  <c r="AI13" i="28"/>
  <c r="AF33" i="3"/>
  <c r="CN42" i="3"/>
  <c r="CT53" i="3"/>
  <c r="CC44" i="3"/>
  <c r="CQ13" i="28"/>
  <c r="CM12" i="28"/>
  <c r="AQ33" i="3"/>
  <c r="CF13" i="28"/>
  <c r="CR12" i="28"/>
  <c r="AH33" i="3"/>
  <c r="AR22" i="28"/>
  <c r="AG15" i="28"/>
  <c r="AO13" i="28"/>
  <c r="AM15" i="28"/>
  <c r="AM32" i="3"/>
  <c r="CC32" i="2"/>
  <c r="AC42" i="2"/>
  <c r="AL33" i="3"/>
  <c r="AI14" i="28"/>
  <c r="AG32" i="3"/>
  <c r="AR32" i="3"/>
  <c r="CN5" i="3"/>
  <c r="CT22" i="3"/>
  <c r="AC55" i="2"/>
  <c r="CR25" i="3"/>
  <c r="CR15" i="28"/>
  <c r="CO12" i="28"/>
  <c r="AO34" i="3"/>
  <c r="CG15" i="28"/>
  <c r="CO13" i="28"/>
  <c r="CT13" i="2"/>
  <c r="CR15" i="2"/>
  <c r="CR55" i="3"/>
  <c r="CM55" i="3"/>
  <c r="CM25" i="3"/>
  <c r="CO52" i="3"/>
  <c r="CC42" i="3"/>
  <c r="CO53" i="3"/>
  <c r="CI53" i="3"/>
  <c r="CC35" i="2"/>
  <c r="CC43" i="2"/>
  <c r="CI52" i="3"/>
  <c r="CG55" i="3"/>
  <c r="CG25" i="3"/>
  <c r="CO23" i="3"/>
  <c r="AN15" i="28"/>
  <c r="AG14" i="28"/>
  <c r="CC12" i="2"/>
  <c r="AC53" i="2"/>
  <c r="AN13" i="2"/>
  <c r="AF44" i="28"/>
  <c r="AG15" i="2"/>
  <c r="AL13" i="2"/>
  <c r="CG15" i="2"/>
  <c r="CH23" i="28"/>
  <c r="CQ45" i="2"/>
  <c r="AG14" i="2"/>
  <c r="AM15" i="2"/>
  <c r="CR12" i="2"/>
  <c r="AS3" i="28"/>
  <c r="CM32" i="28"/>
  <c r="AQ13" i="2"/>
  <c r="AR12" i="2"/>
  <c r="CQ13" i="2"/>
  <c r="CO13" i="2"/>
  <c r="CT42" i="2"/>
  <c r="AR14" i="2"/>
  <c r="AU14" i="2" s="1"/>
  <c r="AF13" i="2"/>
  <c r="CF43" i="2"/>
  <c r="CC24" i="2"/>
  <c r="CQ43" i="2"/>
  <c r="CL45" i="2"/>
  <c r="AH13" i="2"/>
  <c r="CF45" i="2"/>
  <c r="AR15" i="2"/>
  <c r="AO13" i="2"/>
  <c r="CF13" i="2"/>
  <c r="AI13" i="2"/>
  <c r="CI13" i="2"/>
  <c r="AS13" i="2"/>
  <c r="CR42" i="2"/>
  <c r="CM12" i="2"/>
  <c r="AG12" i="2"/>
  <c r="CM15" i="2"/>
  <c r="CI42" i="2"/>
  <c r="CG12" i="2"/>
  <c r="CF33" i="28"/>
  <c r="CO32" i="28"/>
  <c r="AT13" i="2"/>
  <c r="CN13" i="2"/>
  <c r="AM14" i="2"/>
  <c r="CG42" i="2"/>
  <c r="CM42" i="2"/>
  <c r="CO42" i="2"/>
  <c r="AO32" i="28"/>
  <c r="AC54" i="2"/>
  <c r="AO14" i="28"/>
  <c r="CF24" i="28"/>
  <c r="AR35" i="28"/>
  <c r="CO22" i="28"/>
  <c r="AS13" i="28"/>
  <c r="AH13" i="28"/>
  <c r="AS15" i="28"/>
  <c r="CT13" i="28"/>
  <c r="CF15" i="28"/>
  <c r="AR14" i="28"/>
  <c r="CM15" i="28"/>
  <c r="AF35" i="28"/>
  <c r="CQ15" i="28"/>
  <c r="AM14" i="28"/>
  <c r="CI13" i="28"/>
  <c r="CT12" i="28"/>
  <c r="CF43" i="28"/>
  <c r="CH22" i="28"/>
  <c r="AN13" i="28"/>
  <c r="AH15" i="28"/>
  <c r="AL14" i="28"/>
  <c r="CO43" i="28"/>
  <c r="AS52" i="28"/>
  <c r="CF44" i="3"/>
  <c r="AI32" i="28"/>
  <c r="AT32" i="28"/>
  <c r="AG54" i="3"/>
  <c r="CF53" i="3"/>
  <c r="AL35" i="28"/>
  <c r="AT34" i="28"/>
  <c r="AC25" i="2"/>
  <c r="CF55" i="3"/>
  <c r="CT52" i="3"/>
  <c r="CM52" i="3"/>
  <c r="AF5" i="3"/>
  <c r="AQ4" i="3"/>
  <c r="CR52" i="3"/>
  <c r="CQ53" i="3"/>
  <c r="CL53" i="3"/>
  <c r="CL55" i="3"/>
  <c r="CG52" i="3"/>
  <c r="CQ55" i="3"/>
  <c r="CL24" i="3"/>
  <c r="AR2" i="3"/>
  <c r="CC13" i="2"/>
  <c r="CO34" i="28"/>
  <c r="AF54" i="28"/>
  <c r="CC52" i="3"/>
  <c r="CI23" i="3"/>
  <c r="CN32" i="28"/>
  <c r="CL34" i="28"/>
  <c r="AM22" i="28"/>
  <c r="CT23" i="3"/>
  <c r="CQ34" i="28"/>
  <c r="CS32" i="28"/>
  <c r="CF34" i="28"/>
  <c r="AL23" i="28"/>
  <c r="CM34" i="28"/>
  <c r="AG22" i="28"/>
  <c r="AF23" i="28"/>
  <c r="AN23" i="28"/>
  <c r="CS35" i="28"/>
  <c r="AC24" i="2"/>
  <c r="CN35" i="28"/>
  <c r="CH32" i="28"/>
  <c r="AQ23" i="28"/>
  <c r="CT52" i="2"/>
  <c r="CH52" i="2"/>
  <c r="AI23" i="28"/>
  <c r="CL3" i="28"/>
  <c r="AG25" i="28"/>
  <c r="CL25" i="2"/>
  <c r="CT2" i="3"/>
  <c r="AM15" i="3"/>
  <c r="AL25" i="28"/>
  <c r="AF35" i="3"/>
  <c r="AS33" i="3"/>
  <c r="CS23" i="28"/>
  <c r="CM52" i="2"/>
  <c r="CR5" i="3"/>
  <c r="AT22" i="28"/>
  <c r="CM22" i="3"/>
  <c r="AQ34" i="3"/>
  <c r="AF25" i="28"/>
  <c r="CH52" i="3"/>
  <c r="AG34" i="3"/>
  <c r="AL15" i="3"/>
  <c r="AH52" i="3"/>
  <c r="AQ54" i="28"/>
  <c r="AF3" i="3"/>
  <c r="AN42" i="2"/>
  <c r="AH42" i="2"/>
  <c r="AL54" i="28"/>
  <c r="CT54" i="28"/>
  <c r="AS42" i="2"/>
  <c r="AM42" i="3"/>
  <c r="CI52" i="28"/>
  <c r="AR4" i="28"/>
  <c r="AS23" i="28"/>
  <c r="AN52" i="28"/>
  <c r="CI32" i="28"/>
  <c r="AN3" i="3"/>
  <c r="AG12" i="3"/>
  <c r="AC44" i="3"/>
  <c r="AC34" i="2"/>
  <c r="AS45" i="2"/>
  <c r="AH45" i="2"/>
  <c r="CC33" i="2"/>
  <c r="AG2" i="3"/>
  <c r="AR12" i="3"/>
  <c r="AM5" i="28"/>
  <c r="CT34" i="28"/>
  <c r="CM35" i="28"/>
  <c r="AQ3" i="3"/>
  <c r="CO33" i="28"/>
  <c r="AC14" i="2"/>
  <c r="AS52" i="3"/>
  <c r="CC3" i="28"/>
  <c r="CL35" i="28"/>
  <c r="AL3" i="3"/>
  <c r="AN45" i="2"/>
  <c r="AL44" i="2"/>
  <c r="AQ44" i="2"/>
  <c r="AF44" i="2"/>
  <c r="AQ3" i="28"/>
  <c r="CI33" i="28"/>
  <c r="AG44" i="3"/>
  <c r="AM54" i="28"/>
  <c r="AF24" i="28"/>
  <c r="AH52" i="28"/>
  <c r="CF35" i="28"/>
  <c r="CQ35" i="28"/>
  <c r="CT32" i="28"/>
  <c r="AM2" i="3"/>
  <c r="AI44" i="2"/>
  <c r="AO44" i="2"/>
  <c r="CG55" i="28"/>
  <c r="AS55" i="3"/>
  <c r="CR35" i="28"/>
  <c r="CC5" i="2"/>
  <c r="CH53" i="2"/>
  <c r="AQ15" i="3"/>
  <c r="AF34" i="3"/>
  <c r="AF15" i="3"/>
  <c r="AN32" i="3"/>
  <c r="AL34" i="3"/>
  <c r="CR2" i="28"/>
  <c r="AM35" i="3"/>
  <c r="AM34" i="3"/>
  <c r="AT12" i="3"/>
  <c r="CO3" i="2"/>
  <c r="AI34" i="3"/>
  <c r="AR34" i="3"/>
  <c r="CF23" i="3"/>
  <c r="CQ3" i="28"/>
  <c r="AT13" i="3"/>
  <c r="AI12" i="3"/>
  <c r="AS32" i="3"/>
  <c r="AF53" i="28"/>
  <c r="CF3" i="28"/>
  <c r="AR54" i="28"/>
  <c r="AH42" i="28"/>
  <c r="AI33" i="3"/>
  <c r="CO22" i="3"/>
  <c r="AN33" i="3"/>
  <c r="AO12" i="3"/>
  <c r="CT3" i="2"/>
  <c r="AQ35" i="3"/>
  <c r="AH32" i="3"/>
  <c r="AG52" i="28"/>
  <c r="AL44" i="28"/>
  <c r="CG5" i="2"/>
  <c r="CR24" i="28"/>
  <c r="CS53" i="3"/>
  <c r="CI34" i="28"/>
  <c r="AL54" i="3"/>
  <c r="CR34" i="28"/>
  <c r="CC55" i="2"/>
  <c r="AN52" i="3"/>
  <c r="CH33" i="28"/>
  <c r="CL24" i="28"/>
  <c r="CL23" i="28"/>
  <c r="CO24" i="28"/>
  <c r="CL33" i="28"/>
  <c r="CG32" i="28"/>
  <c r="CR32" i="28"/>
  <c r="AF54" i="3"/>
  <c r="CG34" i="28"/>
  <c r="AC44" i="2"/>
  <c r="AQ54" i="3"/>
  <c r="CS22" i="28"/>
  <c r="CH43" i="28"/>
  <c r="CI54" i="3"/>
  <c r="CQ33" i="28"/>
  <c r="CS33" i="28"/>
  <c r="CN33" i="28"/>
  <c r="CQ24" i="28"/>
  <c r="CT33" i="28"/>
  <c r="AM32" i="28"/>
  <c r="CI3" i="2"/>
  <c r="CR5" i="2"/>
  <c r="CH35" i="28"/>
  <c r="AQ24" i="28"/>
  <c r="CH22" i="3"/>
  <c r="AI13" i="3"/>
  <c r="CT14" i="3"/>
  <c r="AN12" i="3"/>
  <c r="CT42" i="3"/>
  <c r="AI43" i="2"/>
  <c r="AF34" i="28"/>
  <c r="CM25" i="28"/>
  <c r="AM54" i="3"/>
  <c r="CC54" i="2"/>
  <c r="CS42" i="3"/>
  <c r="CQ44" i="3"/>
  <c r="CT23" i="28"/>
  <c r="AL5" i="3"/>
  <c r="CC55" i="28"/>
  <c r="CH42" i="3"/>
  <c r="CR25" i="28"/>
  <c r="CF43" i="3"/>
  <c r="AI4" i="3"/>
  <c r="CL44" i="3"/>
  <c r="CT22" i="28"/>
  <c r="CM44" i="2"/>
  <c r="AI24" i="3"/>
  <c r="CO44" i="2"/>
  <c r="CC14" i="2"/>
  <c r="CS2" i="3"/>
  <c r="AT22" i="3"/>
  <c r="CR22" i="28"/>
  <c r="AO22" i="3"/>
  <c r="AL53" i="3"/>
  <c r="AR2" i="2"/>
  <c r="CC34" i="2"/>
  <c r="CQ25" i="2"/>
  <c r="AL33" i="2"/>
  <c r="CF15" i="3"/>
  <c r="AN35" i="3"/>
  <c r="AT44" i="28"/>
  <c r="CO33" i="3"/>
  <c r="AG52" i="3"/>
  <c r="CN23" i="28"/>
  <c r="CF23" i="28"/>
  <c r="CM54" i="3"/>
  <c r="CO54" i="3"/>
  <c r="CN2" i="28"/>
  <c r="CM22" i="28"/>
  <c r="CM24" i="28"/>
  <c r="AQ14" i="3"/>
  <c r="AR44" i="28"/>
  <c r="CL5" i="28"/>
  <c r="AN5" i="28"/>
  <c r="AC25" i="28"/>
  <c r="CR22" i="3"/>
  <c r="CG22" i="3"/>
  <c r="AL35" i="3"/>
  <c r="AI32" i="3"/>
  <c r="AL53" i="28"/>
  <c r="CI24" i="28"/>
  <c r="CQ25" i="28"/>
  <c r="CF25" i="28"/>
  <c r="CH25" i="28"/>
  <c r="CM2" i="28"/>
  <c r="AR54" i="3"/>
  <c r="AH53" i="28"/>
  <c r="AN53" i="3"/>
  <c r="AM55" i="28"/>
  <c r="AS42" i="28"/>
  <c r="CS25" i="3"/>
  <c r="AM52" i="3"/>
  <c r="AF53" i="3"/>
  <c r="CL25" i="3"/>
  <c r="AQ53" i="3"/>
  <c r="AH5" i="28"/>
  <c r="CN52" i="3"/>
  <c r="CH23" i="3"/>
  <c r="CG24" i="3"/>
  <c r="AR52" i="28"/>
  <c r="AM52" i="28"/>
  <c r="CL25" i="28"/>
  <c r="CN25" i="28"/>
  <c r="CS25" i="28"/>
  <c r="CO23" i="28"/>
  <c r="AF33" i="28"/>
  <c r="AN42" i="3"/>
  <c r="AH53" i="3"/>
  <c r="AS53" i="28"/>
  <c r="AN53" i="28"/>
  <c r="AL45" i="28"/>
  <c r="AN42" i="28"/>
  <c r="CQ24" i="3"/>
  <c r="AG35" i="3"/>
  <c r="CG2" i="28"/>
  <c r="CQ25" i="3"/>
  <c r="CF25" i="3"/>
  <c r="AR35" i="3"/>
  <c r="AR44" i="3"/>
  <c r="CG24" i="28"/>
  <c r="AO33" i="28"/>
  <c r="AG35" i="2"/>
  <c r="CG22" i="28"/>
  <c r="CR32" i="3"/>
  <c r="CN55" i="3"/>
  <c r="CH53" i="3"/>
  <c r="CQ23" i="28"/>
  <c r="AS5" i="28"/>
  <c r="CL54" i="3"/>
  <c r="CS52" i="3"/>
  <c r="CQ23" i="3"/>
  <c r="CL23" i="3"/>
  <c r="CT24" i="28"/>
  <c r="AO32" i="3"/>
  <c r="AT32" i="3"/>
  <c r="AQ53" i="28"/>
  <c r="CI22" i="28"/>
  <c r="CG25" i="28"/>
  <c r="CI23" i="28"/>
  <c r="AG54" i="28"/>
  <c r="CQ54" i="3"/>
  <c r="AS53" i="3"/>
  <c r="CG54" i="3"/>
  <c r="AQ44" i="28"/>
  <c r="AT33" i="3"/>
  <c r="CI22" i="3"/>
  <c r="AM44" i="3"/>
  <c r="AO33" i="3"/>
  <c r="AS35" i="3"/>
  <c r="AR52" i="3"/>
  <c r="CR54" i="3"/>
  <c r="AT34" i="3"/>
  <c r="AH35" i="3"/>
  <c r="AC2" i="2"/>
  <c r="AN22" i="28"/>
  <c r="AM24" i="28"/>
  <c r="AH23" i="28"/>
  <c r="CO3" i="28"/>
  <c r="AI14" i="3"/>
  <c r="CO44" i="3"/>
  <c r="CI2" i="28"/>
  <c r="AS43" i="28"/>
  <c r="AT4" i="3"/>
  <c r="AN43" i="2"/>
  <c r="AL4" i="3"/>
  <c r="AQ5" i="3"/>
  <c r="AN45" i="28"/>
  <c r="AF14" i="3"/>
  <c r="AO32" i="2"/>
  <c r="AG44" i="2"/>
  <c r="AT43" i="2"/>
  <c r="CR54" i="2"/>
  <c r="CM54" i="2"/>
  <c r="AM5" i="3"/>
  <c r="AL55" i="3"/>
  <c r="AH2" i="3"/>
  <c r="AH22" i="28"/>
  <c r="CS5" i="28"/>
  <c r="CN12" i="28"/>
  <c r="AR4" i="3"/>
  <c r="CM2" i="2"/>
  <c r="AT2" i="3"/>
  <c r="CT3" i="28"/>
  <c r="CG35" i="2"/>
  <c r="AQ35" i="2"/>
  <c r="CS53" i="2"/>
  <c r="CN53" i="2"/>
  <c r="CR32" i="2"/>
  <c r="AR24" i="28"/>
  <c r="AS22" i="28"/>
  <c r="CL45" i="3"/>
  <c r="CM14" i="28"/>
  <c r="CH15" i="28"/>
  <c r="AG24" i="28"/>
  <c r="AL24" i="28"/>
  <c r="AS35" i="28"/>
  <c r="CM5" i="28"/>
  <c r="AS12" i="3"/>
  <c r="AR42" i="28"/>
  <c r="AM44" i="28"/>
  <c r="AL35" i="2"/>
  <c r="AN5" i="3"/>
  <c r="AN35" i="2"/>
  <c r="CG32" i="2"/>
  <c r="AM45" i="2"/>
  <c r="CG54" i="2"/>
  <c r="AF43" i="3"/>
  <c r="AM4" i="28"/>
  <c r="AH15" i="3"/>
  <c r="CH45" i="3"/>
  <c r="CF45" i="3"/>
  <c r="CI42" i="3"/>
  <c r="CI3" i="28"/>
  <c r="CG14" i="28"/>
  <c r="CH13" i="28"/>
  <c r="CO2" i="28"/>
  <c r="CQ5" i="28"/>
  <c r="CN15" i="28"/>
  <c r="CS15" i="28"/>
  <c r="CS12" i="28"/>
  <c r="CQ14" i="28"/>
  <c r="AL14" i="3"/>
  <c r="AS3" i="3"/>
  <c r="AO3" i="3"/>
  <c r="AN13" i="3"/>
  <c r="AO4" i="3"/>
  <c r="CC25" i="2"/>
  <c r="AG44" i="28"/>
  <c r="AT3" i="3"/>
  <c r="AN2" i="3"/>
  <c r="AS43" i="2"/>
  <c r="AL43" i="2"/>
  <c r="AM42" i="2"/>
  <c r="AR42" i="2"/>
  <c r="AC45" i="3"/>
  <c r="AH5" i="2"/>
  <c r="CM45" i="28"/>
  <c r="AT14" i="3"/>
  <c r="AO14" i="3"/>
  <c r="AS15" i="3"/>
  <c r="CI44" i="3"/>
  <c r="CT44" i="3"/>
  <c r="CO42" i="3"/>
  <c r="CR5" i="28"/>
  <c r="CR14" i="28"/>
  <c r="CS13" i="28"/>
  <c r="CF5" i="28"/>
  <c r="CT2" i="28"/>
  <c r="CO14" i="28"/>
  <c r="CI14" i="28"/>
  <c r="CL14" i="28"/>
  <c r="AH12" i="3"/>
  <c r="AH3" i="3"/>
  <c r="AM4" i="3"/>
  <c r="AG42" i="28"/>
  <c r="AL43" i="28"/>
  <c r="AN43" i="28"/>
  <c r="AH43" i="28"/>
  <c r="AS5" i="3"/>
  <c r="AR44" i="2"/>
  <c r="AI3" i="3"/>
  <c r="AO2" i="3"/>
  <c r="AI43" i="28"/>
  <c r="CM32" i="2"/>
  <c r="AR45" i="2"/>
  <c r="CR35" i="2"/>
  <c r="CL33" i="2"/>
  <c r="AI2" i="3"/>
  <c r="AF43" i="2"/>
  <c r="AG42" i="2"/>
  <c r="AH43" i="2"/>
  <c r="CF3" i="2"/>
  <c r="CI53" i="28"/>
  <c r="AL5" i="2"/>
  <c r="CO33" i="2"/>
  <c r="CI33" i="2"/>
  <c r="AC22" i="28"/>
  <c r="AN15" i="3"/>
  <c r="CQ45" i="3"/>
  <c r="CS45" i="3"/>
  <c r="CG5" i="28"/>
  <c r="CN13" i="28"/>
  <c r="CT14" i="28"/>
  <c r="CF14" i="28"/>
  <c r="AF3" i="28"/>
  <c r="AG4" i="3"/>
  <c r="AF43" i="28"/>
  <c r="AQ43" i="28"/>
  <c r="AM42" i="28"/>
  <c r="AG5" i="3"/>
  <c r="AS2" i="3"/>
  <c r="AR5" i="3"/>
  <c r="AF4" i="3"/>
  <c r="AH5" i="3"/>
  <c r="AM44" i="2"/>
  <c r="CF33" i="2"/>
  <c r="AO43" i="2"/>
  <c r="AQ43" i="2"/>
  <c r="AQ5" i="2"/>
  <c r="CQ33" i="2"/>
  <c r="AL25" i="3"/>
  <c r="CH55" i="3"/>
  <c r="CT54" i="3"/>
  <c r="CF54" i="3"/>
  <c r="CN53" i="3"/>
  <c r="AS32" i="28"/>
  <c r="AO33" i="2"/>
  <c r="AO44" i="28"/>
  <c r="AR45" i="28"/>
  <c r="AF35" i="2"/>
  <c r="CO13" i="3"/>
  <c r="CG42" i="28"/>
  <c r="AR34" i="28"/>
  <c r="AT42" i="28"/>
  <c r="AH45" i="28"/>
  <c r="AI44" i="28"/>
  <c r="AT32" i="2"/>
  <c r="AM45" i="28"/>
  <c r="AQ23" i="3"/>
  <c r="CL4" i="28"/>
  <c r="CQ33" i="3"/>
  <c r="CM25" i="2"/>
  <c r="CO53" i="28"/>
  <c r="CT53" i="28"/>
  <c r="AO54" i="3"/>
  <c r="AF54" i="2"/>
  <c r="AT2" i="2"/>
  <c r="AF5" i="2"/>
  <c r="CF4" i="2"/>
  <c r="AI52" i="3"/>
  <c r="CC4" i="28"/>
  <c r="CN3" i="28"/>
  <c r="AF55" i="28"/>
  <c r="AN55" i="3"/>
  <c r="CR2" i="2"/>
  <c r="AF53" i="2"/>
  <c r="CG2" i="2"/>
  <c r="AI2" i="2"/>
  <c r="AT3" i="2"/>
  <c r="CQ4" i="28"/>
  <c r="CL33" i="3"/>
  <c r="CQ3" i="2"/>
  <c r="CL3" i="2"/>
  <c r="CC53" i="2"/>
  <c r="AR5" i="2"/>
  <c r="AL55" i="2"/>
  <c r="CG32" i="3"/>
  <c r="AQ53" i="2"/>
  <c r="AU53" i="2" s="1"/>
  <c r="AN3" i="28"/>
  <c r="CM35" i="2"/>
  <c r="AQ45" i="28"/>
  <c r="AI42" i="28"/>
  <c r="AO42" i="28"/>
  <c r="AG45" i="28"/>
  <c r="AT43" i="28"/>
  <c r="CM24" i="2"/>
  <c r="CS23" i="2"/>
  <c r="CI23" i="2"/>
  <c r="AF45" i="28"/>
  <c r="CN43" i="2"/>
  <c r="AS45" i="28"/>
  <c r="AO43" i="28"/>
  <c r="AQ25" i="3"/>
  <c r="CR22" i="2"/>
  <c r="CM24" i="3"/>
  <c r="AG15" i="3"/>
  <c r="CS3" i="3"/>
  <c r="AR14" i="3"/>
  <c r="CS22" i="3"/>
  <c r="AF13" i="3"/>
  <c r="AO13" i="3"/>
  <c r="AL13" i="3"/>
  <c r="CT24" i="3"/>
  <c r="CO24" i="3"/>
  <c r="CF24" i="3"/>
  <c r="CR44" i="28"/>
  <c r="CQ24" i="2"/>
  <c r="CT44" i="2"/>
  <c r="CN42" i="2"/>
  <c r="CF24" i="2"/>
  <c r="CN22" i="2"/>
  <c r="CS22" i="2"/>
  <c r="CO4" i="3"/>
  <c r="AR22" i="3"/>
  <c r="CH5" i="3"/>
  <c r="CN23" i="3"/>
  <c r="CS23" i="3"/>
  <c r="CT4" i="3"/>
  <c r="AG14" i="3"/>
  <c r="AM14" i="3"/>
  <c r="AQ13" i="3"/>
  <c r="AS13" i="3"/>
  <c r="CH25" i="3"/>
  <c r="CN25" i="3"/>
  <c r="CL44" i="2"/>
  <c r="CL23" i="2"/>
  <c r="CH22" i="2"/>
  <c r="CI22" i="2"/>
  <c r="CO22" i="2"/>
  <c r="CT22" i="2"/>
  <c r="AF25" i="3"/>
  <c r="CR4" i="3"/>
  <c r="AC5" i="28"/>
  <c r="CR24" i="3"/>
  <c r="AR15" i="3"/>
  <c r="AC55" i="28"/>
  <c r="CL4" i="3"/>
  <c r="CO54" i="28"/>
  <c r="AI22" i="3"/>
  <c r="CS5" i="3"/>
  <c r="CN22" i="3"/>
  <c r="AM12" i="3"/>
  <c r="AH13" i="3"/>
  <c r="CI24" i="3"/>
  <c r="CQ23" i="2"/>
  <c r="CL24" i="2"/>
  <c r="CS35" i="2"/>
  <c r="CS42" i="2"/>
  <c r="AQ24" i="3"/>
  <c r="CG22" i="2"/>
  <c r="CM22" i="2"/>
  <c r="CI4" i="3"/>
  <c r="AF23" i="3"/>
  <c r="AC45" i="2"/>
  <c r="AR55" i="28"/>
  <c r="AN22" i="3"/>
  <c r="CL43" i="28"/>
  <c r="AL55" i="28"/>
  <c r="CM42" i="28"/>
  <c r="AM24" i="3"/>
  <c r="CC2" i="2"/>
  <c r="AH25" i="3"/>
  <c r="AI32" i="2"/>
  <c r="AT4" i="2"/>
  <c r="AG42" i="3"/>
  <c r="AL43" i="3"/>
  <c r="AH3" i="28"/>
  <c r="AI52" i="28"/>
  <c r="CG42" i="3"/>
  <c r="CN42" i="28"/>
  <c r="CI2" i="3"/>
  <c r="AS22" i="3"/>
  <c r="AH23" i="3"/>
  <c r="AS25" i="3"/>
  <c r="CC15" i="2"/>
  <c r="AG4" i="28"/>
  <c r="AH22" i="3"/>
  <c r="AL24" i="3"/>
  <c r="CG35" i="28"/>
  <c r="CF54" i="2"/>
  <c r="CL53" i="28"/>
  <c r="AI3" i="2"/>
  <c r="AI3" i="28"/>
  <c r="AO3" i="28"/>
  <c r="AO4" i="28"/>
  <c r="CO32" i="3"/>
  <c r="CN32" i="3"/>
  <c r="CS42" i="28"/>
  <c r="CN43" i="28"/>
  <c r="AQ33" i="28"/>
  <c r="CT53" i="2"/>
  <c r="CL53" i="2"/>
  <c r="AH45" i="3"/>
  <c r="AO52" i="2"/>
  <c r="CR55" i="2"/>
  <c r="CO54" i="2"/>
  <c r="AR34" i="2"/>
  <c r="AN33" i="2"/>
  <c r="AS43" i="3"/>
  <c r="AN43" i="3"/>
  <c r="AM2" i="2"/>
  <c r="AL53" i="2"/>
  <c r="AL54" i="2"/>
  <c r="AQ54" i="2"/>
  <c r="AR52" i="2"/>
  <c r="CG52" i="2"/>
  <c r="AG5" i="2"/>
  <c r="AI33" i="28"/>
  <c r="AG35" i="28"/>
  <c r="AT23" i="3"/>
  <c r="AM22" i="3"/>
  <c r="AG5" i="28"/>
  <c r="AT4" i="28"/>
  <c r="AR5" i="28"/>
  <c r="CF44" i="28"/>
  <c r="AG32" i="28"/>
  <c r="AR32" i="28"/>
  <c r="CG54" i="28"/>
  <c r="CF33" i="3"/>
  <c r="AS23" i="3"/>
  <c r="CG35" i="3"/>
  <c r="CO53" i="2"/>
  <c r="CM44" i="28"/>
  <c r="CN52" i="2"/>
  <c r="CQ53" i="2"/>
  <c r="AQ55" i="2"/>
  <c r="CR52" i="2"/>
  <c r="AM34" i="2"/>
  <c r="CS52" i="2"/>
  <c r="AH43" i="3"/>
  <c r="AQ44" i="3"/>
  <c r="AF44" i="3"/>
  <c r="CF23" i="2"/>
  <c r="AF3" i="2"/>
  <c r="CF53" i="2"/>
  <c r="AI52" i="2"/>
  <c r="AG52" i="2"/>
  <c r="AM52" i="2"/>
  <c r="AQ3" i="2"/>
  <c r="AO3" i="2"/>
  <c r="CR24" i="2"/>
  <c r="AG25" i="3"/>
  <c r="CG25" i="2"/>
  <c r="CJ25" i="2" s="1"/>
  <c r="CR25" i="2"/>
  <c r="AR25" i="3"/>
  <c r="CS43" i="28"/>
  <c r="AT3" i="28"/>
  <c r="AI4" i="28"/>
  <c r="AC34" i="28"/>
  <c r="CG44" i="28"/>
  <c r="AG34" i="28"/>
  <c r="AL33" i="28"/>
  <c r="CF35" i="3"/>
  <c r="CI33" i="3"/>
  <c r="CM32" i="3"/>
  <c r="AL44" i="3"/>
  <c r="AN23" i="3"/>
  <c r="CQ54" i="2"/>
  <c r="AT52" i="2"/>
  <c r="CO23" i="2"/>
  <c r="CL54" i="2"/>
  <c r="CT23" i="2"/>
  <c r="CM55" i="28"/>
  <c r="AH42" i="3"/>
  <c r="AS42" i="3"/>
  <c r="AG2" i="2"/>
  <c r="CR55" i="28"/>
  <c r="AH52" i="2"/>
  <c r="AN52" i="2"/>
  <c r="AS52" i="2"/>
  <c r="AT33" i="28"/>
  <c r="AM5" i="2"/>
  <c r="CH23" i="2"/>
  <c r="CG24" i="2"/>
  <c r="AL23" i="3"/>
  <c r="AM35" i="28"/>
  <c r="AT24" i="28"/>
  <c r="AN25" i="28"/>
  <c r="AQ25" i="28"/>
  <c r="AH25" i="28"/>
  <c r="AS25" i="28"/>
  <c r="CL55" i="28"/>
  <c r="CN3" i="3"/>
  <c r="CH5" i="28"/>
  <c r="CG4" i="28"/>
  <c r="CN5" i="28"/>
  <c r="CT3" i="3"/>
  <c r="CI32" i="3"/>
  <c r="CS3" i="28"/>
  <c r="CI3" i="3"/>
  <c r="CO3" i="3"/>
  <c r="CG4" i="3"/>
  <c r="CM35" i="3"/>
  <c r="AS2" i="28"/>
  <c r="CT33" i="3"/>
  <c r="AC32" i="2"/>
  <c r="AH55" i="3"/>
  <c r="AG55" i="3"/>
  <c r="CC12" i="3"/>
  <c r="CO12" i="3"/>
  <c r="AI54" i="3"/>
  <c r="CC14" i="3"/>
  <c r="AT33" i="2"/>
  <c r="AR35" i="2"/>
  <c r="AI33" i="2"/>
  <c r="AG32" i="2"/>
  <c r="CR35" i="3"/>
  <c r="AH2" i="2"/>
  <c r="AF4" i="2"/>
  <c r="AO52" i="3"/>
  <c r="CL5" i="2"/>
  <c r="CT2" i="2"/>
  <c r="CI2" i="2"/>
  <c r="CO2" i="2"/>
  <c r="AI2" i="28"/>
  <c r="AI22" i="28"/>
  <c r="AM25" i="28"/>
  <c r="AO22" i="28"/>
  <c r="CM4" i="28"/>
  <c r="CF4" i="28"/>
  <c r="CH2" i="28"/>
  <c r="CG5" i="3"/>
  <c r="CR4" i="28"/>
  <c r="AC52" i="28"/>
  <c r="CM5" i="3"/>
  <c r="CQ35" i="3"/>
  <c r="CS2" i="28"/>
  <c r="AM2" i="28"/>
  <c r="AT53" i="3"/>
  <c r="CG15" i="3"/>
  <c r="AM35" i="2"/>
  <c r="CI12" i="3"/>
  <c r="AO53" i="3"/>
  <c r="AT54" i="3"/>
  <c r="CH35" i="2"/>
  <c r="CS32" i="2"/>
  <c r="AR32" i="2"/>
  <c r="AQ33" i="2"/>
  <c r="AT52" i="3"/>
  <c r="CQ5" i="2"/>
  <c r="AQ5" i="28"/>
  <c r="AI24" i="28"/>
  <c r="AO24" i="28"/>
  <c r="AO23" i="28"/>
  <c r="AT23" i="28"/>
  <c r="AR25" i="28"/>
  <c r="CI4" i="28"/>
  <c r="CT4" i="28"/>
  <c r="CO4" i="28"/>
  <c r="CT32" i="3"/>
  <c r="CH3" i="28"/>
  <c r="CH3" i="3"/>
  <c r="CL35" i="3"/>
  <c r="CQ55" i="28"/>
  <c r="CS15" i="2"/>
  <c r="CR15" i="3"/>
  <c r="AR55" i="3"/>
  <c r="CN35" i="2"/>
  <c r="CT13" i="3"/>
  <c r="AC15" i="2"/>
  <c r="CN32" i="2"/>
  <c r="AF33" i="2"/>
  <c r="AS5" i="2"/>
  <c r="AI53" i="3"/>
  <c r="AQ55" i="3"/>
  <c r="AF55" i="3"/>
  <c r="AM55" i="3"/>
  <c r="CM4" i="3"/>
  <c r="CH45" i="28"/>
  <c r="CM42" i="3"/>
  <c r="CG44" i="3"/>
  <c r="CS53" i="28"/>
  <c r="CR54" i="28"/>
  <c r="CT43" i="3"/>
  <c r="CH55" i="28"/>
  <c r="CN55" i="28"/>
  <c r="CC44" i="2"/>
  <c r="CC4" i="2"/>
  <c r="CT14" i="2"/>
  <c r="CN53" i="28"/>
  <c r="CG45" i="3"/>
  <c r="CH53" i="28"/>
  <c r="CL43" i="3"/>
  <c r="CH52" i="28"/>
  <c r="CC23" i="2"/>
  <c r="CR45" i="28"/>
  <c r="CT42" i="28"/>
  <c r="AS33" i="28"/>
  <c r="AI34" i="28"/>
  <c r="AN32" i="28"/>
  <c r="CQ43" i="3"/>
  <c r="AH33" i="28"/>
  <c r="CO43" i="3"/>
  <c r="CH43" i="3"/>
  <c r="CL54" i="28"/>
  <c r="AL3" i="28"/>
  <c r="AT44" i="3"/>
  <c r="CM15" i="3"/>
  <c r="CI44" i="28"/>
  <c r="CH13" i="3"/>
  <c r="CR12" i="3"/>
  <c r="CT52" i="28"/>
  <c r="CG45" i="28"/>
  <c r="CQ44" i="28"/>
  <c r="CQ43" i="28"/>
  <c r="CR42" i="3"/>
  <c r="CI42" i="28"/>
  <c r="CR42" i="28"/>
  <c r="AQ34" i="28"/>
  <c r="AO34" i="28"/>
  <c r="AL34" i="28"/>
  <c r="CI43" i="3"/>
  <c r="CR44" i="3"/>
  <c r="CR45" i="3"/>
  <c r="CT43" i="28"/>
  <c r="CI54" i="28"/>
  <c r="CF54" i="28"/>
  <c r="CN52" i="28"/>
  <c r="CQ54" i="28"/>
  <c r="AG2" i="28"/>
  <c r="AF4" i="28"/>
  <c r="AH2" i="28"/>
  <c r="AI44" i="3"/>
  <c r="CO14" i="2"/>
  <c r="CQ15" i="3"/>
  <c r="CN15" i="3"/>
  <c r="AR24" i="3"/>
  <c r="CI14" i="3"/>
  <c r="CN15" i="2"/>
  <c r="CT12" i="3"/>
  <c r="AC22" i="2"/>
  <c r="AH35" i="28"/>
  <c r="CI13" i="3"/>
  <c r="CF53" i="28"/>
  <c r="CG52" i="28"/>
  <c r="AM25" i="3"/>
  <c r="AI23" i="3"/>
  <c r="AG22" i="3"/>
  <c r="CF45" i="28"/>
  <c r="AQ4" i="28"/>
  <c r="AL4" i="28"/>
  <c r="CN45" i="28"/>
  <c r="AC3" i="2"/>
  <c r="CM52" i="28"/>
  <c r="CQ53" i="28"/>
  <c r="CN13" i="3"/>
  <c r="AO2" i="28"/>
  <c r="AT2" i="28"/>
  <c r="AL5" i="28"/>
  <c r="AF5" i="28"/>
  <c r="CO52" i="28"/>
  <c r="CS52" i="28"/>
  <c r="CQ45" i="28"/>
  <c r="CL45" i="28"/>
  <c r="CL44" i="28"/>
  <c r="CO44" i="28"/>
  <c r="CM45" i="3"/>
  <c r="CO42" i="28"/>
  <c r="CH42" i="28"/>
  <c r="AN35" i="28"/>
  <c r="AM34" i="28"/>
  <c r="AN33" i="28"/>
  <c r="CI43" i="28"/>
  <c r="AH32" i="28"/>
  <c r="CN43" i="3"/>
  <c r="CM44" i="3"/>
  <c r="CS43" i="3"/>
  <c r="CS55" i="28"/>
  <c r="CM54" i="28"/>
  <c r="CF55" i="28"/>
  <c r="AN2" i="28"/>
  <c r="AR2" i="28"/>
  <c r="AG24" i="3"/>
  <c r="CS45" i="28"/>
  <c r="CL15" i="3"/>
  <c r="CT44" i="28"/>
  <c r="CO14" i="3"/>
  <c r="CS15" i="3"/>
  <c r="CH5" i="2"/>
  <c r="CH3" i="2"/>
  <c r="CH15" i="3"/>
  <c r="CR52" i="28"/>
  <c r="CR14" i="3"/>
  <c r="AO23" i="3"/>
  <c r="AQ43" i="3"/>
  <c r="AR42" i="3"/>
  <c r="AS3" i="2"/>
  <c r="CR4" i="2"/>
  <c r="CO4" i="2"/>
  <c r="CQ4" i="2"/>
  <c r="AS2" i="2"/>
  <c r="AR4" i="2"/>
  <c r="AI4" i="2"/>
  <c r="CF3" i="3"/>
  <c r="CO2" i="3"/>
  <c r="AC14" i="28"/>
  <c r="CH32" i="3"/>
  <c r="CM2" i="3"/>
  <c r="CQ5" i="3"/>
  <c r="CN2" i="3"/>
  <c r="CQ3" i="3"/>
  <c r="AC42" i="28"/>
  <c r="CM4" i="2"/>
  <c r="AC33" i="2"/>
  <c r="CN5" i="2"/>
  <c r="AO4" i="2"/>
  <c r="CS5" i="2"/>
  <c r="CT4" i="2"/>
  <c r="CH2" i="2"/>
  <c r="AL4" i="2"/>
  <c r="AN2" i="2"/>
  <c r="AH3" i="2"/>
  <c r="CS33" i="2"/>
  <c r="CI34" i="2"/>
  <c r="CQ34" i="2"/>
  <c r="CR34" i="2"/>
  <c r="CL34" i="2"/>
  <c r="CN33" i="2"/>
  <c r="CO34" i="2"/>
  <c r="CG34" i="2"/>
  <c r="CH33" i="2"/>
  <c r="CT34" i="2"/>
  <c r="CM34" i="2"/>
  <c r="CF34" i="2"/>
  <c r="CL3" i="3"/>
  <c r="CL5" i="3"/>
  <c r="CH2" i="3"/>
  <c r="CR2" i="3"/>
  <c r="CG2" i="3"/>
  <c r="CF5" i="3"/>
  <c r="AN3" i="2"/>
  <c r="CL4" i="2"/>
  <c r="AC43" i="2"/>
  <c r="CS2" i="2"/>
  <c r="CN3" i="2"/>
  <c r="AM4" i="2"/>
  <c r="CN2" i="2"/>
  <c r="CS3" i="2"/>
  <c r="CG4" i="2"/>
  <c r="AQ4" i="2"/>
  <c r="AN5" i="2"/>
  <c r="AG4" i="2"/>
  <c r="CM14" i="3"/>
  <c r="CG14" i="3"/>
  <c r="CS13" i="3"/>
  <c r="CF13" i="3"/>
  <c r="CQ13" i="3"/>
  <c r="AS33" i="2"/>
  <c r="AS35" i="2"/>
  <c r="CH42" i="2"/>
  <c r="CI44" i="2"/>
  <c r="CS43" i="2"/>
  <c r="CS45" i="2"/>
  <c r="CG44" i="2"/>
  <c r="CN45" i="2"/>
  <c r="CQ44" i="2"/>
  <c r="CH45" i="2"/>
  <c r="CF44" i="2"/>
  <c r="CH43" i="2"/>
  <c r="CM55" i="2"/>
  <c r="AH33" i="2"/>
  <c r="CL14" i="3"/>
  <c r="CS12" i="3"/>
  <c r="CM12" i="3"/>
  <c r="CF14" i="3"/>
  <c r="CH12" i="3"/>
  <c r="CL13" i="3"/>
  <c r="CG12" i="3"/>
  <c r="CQ14" i="3"/>
  <c r="CN12" i="3"/>
  <c r="AC13" i="2"/>
  <c r="CG55" i="2"/>
  <c r="CS55" i="2"/>
  <c r="CQ55" i="2"/>
  <c r="CH55" i="2"/>
  <c r="CL55" i="2"/>
  <c r="CN55" i="2"/>
  <c r="CF55" i="2"/>
  <c r="CI53" i="2"/>
  <c r="CI54" i="2"/>
  <c r="CI52" i="2"/>
  <c r="AC5" i="2"/>
  <c r="CQ14" i="2"/>
  <c r="CH13" i="2"/>
  <c r="CR14" i="2"/>
  <c r="CL14" i="2"/>
  <c r="CS13" i="2"/>
  <c r="CN12" i="2"/>
  <c r="CM14" i="2"/>
  <c r="CF14" i="2"/>
  <c r="CH15" i="2"/>
  <c r="CS12" i="2"/>
  <c r="CG14" i="2"/>
  <c r="CI14" i="2"/>
  <c r="CH12" i="2"/>
  <c r="CT54" i="2"/>
  <c r="CO52" i="2"/>
  <c r="AC12" i="2"/>
  <c r="CC15" i="3"/>
  <c r="AH32" i="2"/>
  <c r="AO34" i="2"/>
  <c r="AL34" i="2"/>
  <c r="AS32" i="2"/>
  <c r="AI34" i="2"/>
  <c r="AF34" i="2"/>
  <c r="AG34" i="2"/>
  <c r="AN32" i="2"/>
  <c r="AT34" i="2"/>
  <c r="AQ34" i="2"/>
  <c r="AH35" i="2"/>
  <c r="AO24" i="3"/>
  <c r="AT24" i="3"/>
  <c r="AN25" i="3"/>
  <c r="AF24" i="3"/>
  <c r="CC52" i="2"/>
  <c r="CC3" i="2"/>
  <c r="CC42" i="2"/>
  <c r="A88" i="2"/>
  <c r="CC22" i="2"/>
  <c r="AC52" i="2"/>
  <c r="CQ4" i="3"/>
  <c r="CF4" i="3"/>
  <c r="AC4" i="2"/>
  <c r="AC23" i="2"/>
  <c r="AQ45" i="3"/>
  <c r="AL45" i="3"/>
  <c r="AI43" i="3"/>
  <c r="AT43" i="3"/>
  <c r="AG45" i="3"/>
  <c r="AM45" i="3"/>
  <c r="AO42" i="3"/>
  <c r="AN45" i="3"/>
  <c r="AI42" i="3"/>
  <c r="AS45" i="3"/>
  <c r="AR45" i="3"/>
  <c r="AO43" i="3"/>
  <c r="AF45" i="3"/>
  <c r="AT42" i="3"/>
  <c r="AC35" i="2"/>
  <c r="AO44" i="3"/>
  <c r="AG55" i="28"/>
  <c r="AH55" i="28"/>
  <c r="AT53" i="28"/>
  <c r="AI54" i="28"/>
  <c r="AN55" i="28"/>
  <c r="AI53" i="28"/>
  <c r="AO54" i="28"/>
  <c r="AQ55" i="28"/>
  <c r="AT52" i="28"/>
  <c r="AT54" i="28"/>
  <c r="AO53" i="28"/>
  <c r="AS55" i="28"/>
  <c r="AO52" i="28"/>
  <c r="B75" i="26"/>
  <c r="B80" i="26"/>
  <c r="B86" i="26"/>
  <c r="A86" i="36"/>
  <c r="A86" i="5"/>
  <c r="A166" i="25"/>
  <c r="A86" i="34"/>
  <c r="B79" i="26"/>
  <c r="B103" i="26"/>
  <c r="B99" i="26"/>
  <c r="B89" i="26"/>
  <c r="B84" i="26"/>
  <c r="B81" i="26"/>
  <c r="B102" i="26"/>
  <c r="B98" i="26"/>
  <c r="B91" i="26"/>
  <c r="A88" i="3"/>
  <c r="C87" i="3"/>
  <c r="B87" i="3"/>
  <c r="C85" i="36"/>
  <c r="C85" i="34"/>
  <c r="C85" i="5"/>
  <c r="C164" i="25"/>
  <c r="B90" i="26"/>
  <c r="B85" i="26"/>
  <c r="AC32" i="6"/>
  <c r="AE32" i="6"/>
  <c r="AD32" i="6"/>
  <c r="B100" i="26"/>
  <c r="B94" i="26"/>
  <c r="B97" i="26"/>
  <c r="B92" i="26"/>
  <c r="B93" i="26"/>
  <c r="B101" i="26"/>
  <c r="B78" i="26"/>
  <c r="B95" i="26"/>
  <c r="B77" i="26"/>
  <c r="B88" i="26"/>
  <c r="AQ13" i="28"/>
  <c r="AE31" i="6"/>
  <c r="AD31" i="6"/>
  <c r="AC31" i="6"/>
  <c r="B96" i="26"/>
  <c r="B74" i="26"/>
  <c r="B85" i="36"/>
  <c r="B85" i="34"/>
  <c r="B164" i="25"/>
  <c r="B85" i="5"/>
  <c r="B76" i="26"/>
  <c r="B73" i="26"/>
  <c r="B72" i="26"/>
  <c r="B83" i="26"/>
  <c r="B87" i="26"/>
  <c r="CO34" i="3"/>
  <c r="CT34" i="3"/>
  <c r="CI34" i="3"/>
  <c r="CQ34" i="3"/>
  <c r="CL34" i="3"/>
  <c r="CF34" i="3"/>
  <c r="CM34" i="3"/>
  <c r="CR34" i="3"/>
  <c r="CN33" i="3"/>
  <c r="CH33" i="3"/>
  <c r="CS33" i="3"/>
  <c r="CG34" i="3"/>
  <c r="CS35" i="3"/>
  <c r="CH35" i="3"/>
  <c r="AC12" i="28"/>
  <c r="CN35" i="3"/>
  <c r="CS32" i="3"/>
  <c r="AQ14" i="28"/>
  <c r="AQ15" i="28"/>
  <c r="AF13" i="28"/>
  <c r="AF15" i="28"/>
  <c r="AM12" i="28"/>
  <c r="AG12" i="28"/>
  <c r="AO12" i="28"/>
  <c r="AI12" i="28"/>
  <c r="AS12" i="28"/>
  <c r="AT12" i="28"/>
  <c r="AR12" i="28"/>
  <c r="AN12" i="28"/>
  <c r="AH12" i="28"/>
  <c r="AF14" i="28"/>
  <c r="CC42" i="28"/>
  <c r="AL13" i="28"/>
  <c r="AL15" i="28"/>
  <c r="AP22" i="2" l="1"/>
  <c r="AJ24" i="2"/>
  <c r="AJ54" i="2"/>
  <c r="AU24" i="2"/>
  <c r="AJ25" i="2"/>
  <c r="AP12" i="2"/>
  <c r="AU55" i="2"/>
  <c r="AP53" i="2"/>
  <c r="AU25" i="2"/>
  <c r="CP43" i="2"/>
  <c r="AJ55" i="2"/>
  <c r="AP54" i="2"/>
  <c r="AP25" i="2"/>
  <c r="AJ53" i="2"/>
  <c r="AP55" i="2"/>
  <c r="AJ14" i="2"/>
  <c r="AP23" i="2"/>
  <c r="AU54" i="2"/>
  <c r="AU23" i="2"/>
  <c r="AJ23" i="2"/>
  <c r="A88" i="4"/>
  <c r="B88" i="2"/>
  <c r="B88" i="4" s="1"/>
  <c r="C88" i="2"/>
  <c r="C88" i="4" s="1"/>
  <c r="BC84" i="28"/>
  <c r="BA85" i="28"/>
  <c r="BB84" i="28"/>
  <c r="AP15" i="2"/>
  <c r="CJ12" i="2"/>
  <c r="CJ15" i="2"/>
  <c r="AJ15" i="2"/>
  <c r="CJ12" i="28"/>
  <c r="CJ32" i="2"/>
  <c r="AP14" i="2"/>
  <c r="AU12" i="2"/>
  <c r="AJ12" i="2"/>
  <c r="AD12" i="2" s="1"/>
  <c r="AU15" i="2"/>
  <c r="AJ45" i="2"/>
  <c r="AU44" i="2"/>
  <c r="CU15" i="2"/>
  <c r="AP15" i="28"/>
  <c r="AU14" i="28"/>
  <c r="AJ33" i="3"/>
  <c r="AP33" i="3"/>
  <c r="CP13" i="28"/>
  <c r="AP13" i="28"/>
  <c r="AU35" i="28"/>
  <c r="CP53" i="3"/>
  <c r="CJ13" i="28"/>
  <c r="CP12" i="28"/>
  <c r="AJ14" i="28"/>
  <c r="AU15" i="28"/>
  <c r="CU12" i="2"/>
  <c r="CU43" i="2"/>
  <c r="CP15" i="28"/>
  <c r="CJ52" i="3"/>
  <c r="AU22" i="28"/>
  <c r="CU55" i="3"/>
  <c r="CP13" i="2"/>
  <c r="CP22" i="28"/>
  <c r="CU45" i="2"/>
  <c r="CJ55" i="3"/>
  <c r="AU45" i="2"/>
  <c r="AP14" i="28"/>
  <c r="AJ13" i="28"/>
  <c r="CJ45" i="2"/>
  <c r="CP12" i="2"/>
  <c r="AP13" i="2"/>
  <c r="AJ13" i="2"/>
  <c r="CP15" i="2"/>
  <c r="CP32" i="28"/>
  <c r="CU13" i="2"/>
  <c r="CP45" i="2"/>
  <c r="AU13" i="2"/>
  <c r="CJ13" i="2"/>
  <c r="CJ15" i="28"/>
  <c r="CJ43" i="2"/>
  <c r="CU42" i="2"/>
  <c r="CP42" i="2"/>
  <c r="AU13" i="28"/>
  <c r="CJ42" i="2"/>
  <c r="CU15" i="28"/>
  <c r="CU12" i="28"/>
  <c r="AJ15" i="28"/>
  <c r="CU13" i="28"/>
  <c r="CJ53" i="3"/>
  <c r="CP25" i="2"/>
  <c r="CP55" i="3"/>
  <c r="CP52" i="3"/>
  <c r="CU35" i="28"/>
  <c r="CU2" i="3"/>
  <c r="AJ54" i="3"/>
  <c r="CU52" i="3"/>
  <c r="CP32" i="2"/>
  <c r="CU34" i="28"/>
  <c r="CU53" i="3"/>
  <c r="CP34" i="28"/>
  <c r="AJ44" i="2"/>
  <c r="AP52" i="28"/>
  <c r="AJ23" i="3"/>
  <c r="AP33" i="2"/>
  <c r="AU2" i="3"/>
  <c r="AJ23" i="28"/>
  <c r="CJ24" i="28"/>
  <c r="AJ54" i="28"/>
  <c r="CJ5" i="2"/>
  <c r="CJ44" i="3"/>
  <c r="AP23" i="28"/>
  <c r="CJ35" i="28"/>
  <c r="CP3" i="28"/>
  <c r="CJ22" i="3"/>
  <c r="CJ32" i="28"/>
  <c r="CP35" i="28"/>
  <c r="AP54" i="28"/>
  <c r="AU53" i="28"/>
  <c r="CJ25" i="3"/>
  <c r="CP23" i="3"/>
  <c r="AU43" i="28"/>
  <c r="AU33" i="3"/>
  <c r="AP32" i="28"/>
  <c r="CU32" i="28"/>
  <c r="AU12" i="3"/>
  <c r="AJ3" i="3"/>
  <c r="CJ3" i="2"/>
  <c r="AU23" i="28"/>
  <c r="AJ25" i="28"/>
  <c r="AU54" i="28"/>
  <c r="CJ43" i="28"/>
  <c r="AJ24" i="28"/>
  <c r="CP22" i="3"/>
  <c r="CJ45" i="3"/>
  <c r="AP45" i="2"/>
  <c r="AU3" i="28"/>
  <c r="AP15" i="3"/>
  <c r="AP34" i="3"/>
  <c r="AJ42" i="2"/>
  <c r="AP3" i="3"/>
  <c r="CP24" i="28"/>
  <c r="AP44" i="2"/>
  <c r="CP33" i="28"/>
  <c r="AU42" i="2"/>
  <c r="CU42" i="3"/>
  <c r="CJ35" i="2"/>
  <c r="CU24" i="28"/>
  <c r="CJ23" i="3"/>
  <c r="CJ33" i="28"/>
  <c r="AJ52" i="28"/>
  <c r="AP42" i="2"/>
  <c r="AJ12" i="3"/>
  <c r="CJ34" i="28"/>
  <c r="AJ34" i="3"/>
  <c r="AU34" i="3"/>
  <c r="AP32" i="3"/>
  <c r="AJ32" i="3"/>
  <c r="AU5" i="28"/>
  <c r="AJ22" i="28"/>
  <c r="CU25" i="2"/>
  <c r="AU52" i="28"/>
  <c r="CJ4" i="2"/>
  <c r="CP3" i="2"/>
  <c r="AP12" i="3"/>
  <c r="AP54" i="3"/>
  <c r="AU42" i="28"/>
  <c r="AU32" i="3"/>
  <c r="CU33" i="28"/>
  <c r="AU35" i="3"/>
  <c r="AP32" i="2"/>
  <c r="AP53" i="3"/>
  <c r="CU22" i="28"/>
  <c r="AP43" i="28"/>
  <c r="CU14" i="28"/>
  <c r="CU5" i="28"/>
  <c r="AU44" i="28"/>
  <c r="CJ23" i="28"/>
  <c r="AU52" i="3"/>
  <c r="AJ5" i="3"/>
  <c r="AJ2" i="3"/>
  <c r="AD24" i="2"/>
  <c r="CU25" i="3"/>
  <c r="CU23" i="28"/>
  <c r="CP33" i="2"/>
  <c r="AJ53" i="3"/>
  <c r="CJ3" i="28"/>
  <c r="CU2" i="28"/>
  <c r="AP52" i="3"/>
  <c r="CP5" i="28"/>
  <c r="CP44" i="2"/>
  <c r="CU22" i="3"/>
  <c r="CJ54" i="3"/>
  <c r="CP33" i="3"/>
  <c r="CU45" i="3"/>
  <c r="AU24" i="28"/>
  <c r="AU15" i="3"/>
  <c r="AD22" i="2"/>
  <c r="CU44" i="2"/>
  <c r="AP5" i="3"/>
  <c r="AP43" i="2"/>
  <c r="CJ25" i="28"/>
  <c r="AJ53" i="28"/>
  <c r="CJ2" i="28"/>
  <c r="CP54" i="2"/>
  <c r="AJ44" i="28"/>
  <c r="AP44" i="28"/>
  <c r="AJ4" i="3"/>
  <c r="AP42" i="3"/>
  <c r="AP4" i="28"/>
  <c r="AU34" i="28"/>
  <c r="AU53" i="3"/>
  <c r="CP44" i="3"/>
  <c r="CU32" i="2"/>
  <c r="AJ42" i="28"/>
  <c r="AJ52" i="3"/>
  <c r="AP42" i="28"/>
  <c r="AP2" i="3"/>
  <c r="CJ14" i="28"/>
  <c r="CP54" i="3"/>
  <c r="CP23" i="28"/>
  <c r="AP33" i="28"/>
  <c r="AP24" i="3"/>
  <c r="AP35" i="28"/>
  <c r="CJ24" i="2"/>
  <c r="CP24" i="3"/>
  <c r="CU42" i="28"/>
  <c r="AU22" i="3"/>
  <c r="AJ15" i="3"/>
  <c r="CP2" i="28"/>
  <c r="CJ5" i="28"/>
  <c r="AJ43" i="2"/>
  <c r="AJ43" i="28"/>
  <c r="AP4" i="3"/>
  <c r="CU44" i="3"/>
  <c r="AU43" i="2"/>
  <c r="AU3" i="3"/>
  <c r="AP45" i="28"/>
  <c r="CU54" i="3"/>
  <c r="CJ22" i="28"/>
  <c r="AJ35" i="3"/>
  <c r="CP25" i="28"/>
  <c r="CU25" i="28"/>
  <c r="AP35" i="3"/>
  <c r="CP43" i="3"/>
  <c r="CU4" i="28"/>
  <c r="AU32" i="28"/>
  <c r="CP24" i="2"/>
  <c r="CU23" i="3"/>
  <c r="AU45" i="28"/>
  <c r="CJ4" i="3"/>
  <c r="CP52" i="2"/>
  <c r="CJ33" i="2"/>
  <c r="CU33" i="2"/>
  <c r="CP45" i="3"/>
  <c r="CP35" i="2"/>
  <c r="AP35" i="2"/>
  <c r="CP25" i="3"/>
  <c r="AU5" i="3"/>
  <c r="AJ42" i="3"/>
  <c r="CU4" i="3"/>
  <c r="AJ35" i="2"/>
  <c r="CJ32" i="3"/>
  <c r="AP5" i="28"/>
  <c r="AP24" i="28"/>
  <c r="AU54" i="3"/>
  <c r="AP22" i="28"/>
  <c r="AU14" i="3"/>
  <c r="AP53" i="28"/>
  <c r="AP44" i="3"/>
  <c r="CJ52" i="2"/>
  <c r="AU35" i="2"/>
  <c r="CU3" i="2"/>
  <c r="CU2" i="2"/>
  <c r="CU5" i="3"/>
  <c r="AP55" i="3"/>
  <c r="CU3" i="28"/>
  <c r="AJ14" i="3"/>
  <c r="CP14" i="28"/>
  <c r="CJ4" i="28"/>
  <c r="AU23" i="3"/>
  <c r="AU4" i="3"/>
  <c r="AU5" i="2"/>
  <c r="AJ5" i="2"/>
  <c r="CJ42" i="3"/>
  <c r="AP3" i="2"/>
  <c r="CU5" i="2"/>
  <c r="CJ42" i="28"/>
  <c r="CP42" i="3"/>
  <c r="CJ54" i="2"/>
  <c r="AP5" i="2"/>
  <c r="CU35" i="2"/>
  <c r="AP14" i="3"/>
  <c r="AP25" i="3"/>
  <c r="CJ54" i="28"/>
  <c r="AP22" i="3"/>
  <c r="CP43" i="28"/>
  <c r="CU22" i="2"/>
  <c r="AU13" i="3"/>
  <c r="CJ24" i="3"/>
  <c r="AP13" i="3"/>
  <c r="AJ45" i="28"/>
  <c r="AU2" i="2"/>
  <c r="AU44" i="3"/>
  <c r="CP23" i="2"/>
  <c r="CJ53" i="2"/>
  <c r="CP53" i="28"/>
  <c r="AU42" i="3"/>
  <c r="AU3" i="2"/>
  <c r="AJ5" i="28"/>
  <c r="CP4" i="3"/>
  <c r="CU23" i="2"/>
  <c r="CP53" i="2"/>
  <c r="CU52" i="2"/>
  <c r="CP22" i="2"/>
  <c r="AJ13" i="3"/>
  <c r="AJ2" i="2"/>
  <c r="CJ44" i="28"/>
  <c r="AJ33" i="28"/>
  <c r="AJ3" i="28"/>
  <c r="CJ22" i="2"/>
  <c r="CU24" i="3"/>
  <c r="AU24" i="3"/>
  <c r="CU15" i="3"/>
  <c r="AJ24" i="3"/>
  <c r="AU32" i="2"/>
  <c r="CU54" i="2"/>
  <c r="AP2" i="2"/>
  <c r="AU4" i="28"/>
  <c r="AJ44" i="3"/>
  <c r="AP25" i="28"/>
  <c r="CP42" i="28"/>
  <c r="AJ25" i="3"/>
  <c r="CP35" i="3"/>
  <c r="CJ33" i="3"/>
  <c r="CJ15" i="3"/>
  <c r="AJ32" i="28"/>
  <c r="CJ52" i="28"/>
  <c r="AJ55" i="3"/>
  <c r="CP32" i="3"/>
  <c r="CU24" i="2"/>
  <c r="CJ23" i="2"/>
  <c r="CU53" i="2"/>
  <c r="AU33" i="28"/>
  <c r="CU35" i="3"/>
  <c r="AP55" i="28"/>
  <c r="AJ22" i="3"/>
  <c r="AJ35" i="28"/>
  <c r="AP3" i="28"/>
  <c r="CP4" i="28"/>
  <c r="AU25" i="3"/>
  <c r="CJ45" i="28"/>
  <c r="CP52" i="28"/>
  <c r="CJ43" i="3"/>
  <c r="AP52" i="2"/>
  <c r="CP2" i="3"/>
  <c r="CU55" i="28"/>
  <c r="CP5" i="3"/>
  <c r="CU3" i="3"/>
  <c r="AU25" i="28"/>
  <c r="AU52" i="2"/>
  <c r="AU55" i="28"/>
  <c r="AP43" i="3"/>
  <c r="AJ3" i="2"/>
  <c r="CU45" i="28"/>
  <c r="CP45" i="28"/>
  <c r="AJ4" i="28"/>
  <c r="CJ3" i="3"/>
  <c r="AJ52" i="2"/>
  <c r="AJ43" i="3"/>
  <c r="CJ5" i="3"/>
  <c r="CP5" i="2"/>
  <c r="CJ55" i="28"/>
  <c r="AU55" i="3"/>
  <c r="AJ45" i="3"/>
  <c r="CJ35" i="3"/>
  <c r="AJ55" i="28"/>
  <c r="CU12" i="3"/>
  <c r="AU33" i="2"/>
  <c r="CP3" i="3"/>
  <c r="AP23" i="3"/>
  <c r="CU54" i="28"/>
  <c r="AP34" i="28"/>
  <c r="CU52" i="28"/>
  <c r="CP54" i="28"/>
  <c r="AJ34" i="28"/>
  <c r="CU43" i="3"/>
  <c r="AU43" i="3"/>
  <c r="CU55" i="2"/>
  <c r="CU43" i="28"/>
  <c r="CU32" i="3"/>
  <c r="CU33" i="3"/>
  <c r="AJ32" i="2"/>
  <c r="AJ33" i="2"/>
  <c r="CJ13" i="3"/>
  <c r="AJ4" i="2"/>
  <c r="CJ2" i="2"/>
  <c r="CJ53" i="28"/>
  <c r="AJ2" i="28"/>
  <c r="CP15" i="3"/>
  <c r="CJ12" i="3"/>
  <c r="CP2" i="2"/>
  <c r="CU34" i="2"/>
  <c r="CP4" i="2"/>
  <c r="CP55" i="28"/>
  <c r="AP2" i="28"/>
  <c r="CU14" i="3"/>
  <c r="CJ14" i="3"/>
  <c r="CJ34" i="2"/>
  <c r="CP13" i="3"/>
  <c r="CP44" i="28"/>
  <c r="CU53" i="28"/>
  <c r="CU44" i="28"/>
  <c r="AU2" i="28"/>
  <c r="AU4" i="2"/>
  <c r="CP14" i="3"/>
  <c r="CJ2" i="3"/>
  <c r="AP4" i="2"/>
  <c r="CU13" i="3"/>
  <c r="CU4" i="2"/>
  <c r="CP34" i="2"/>
  <c r="CP12" i="3"/>
  <c r="CJ44" i="2"/>
  <c r="AP34" i="2"/>
  <c r="CP55" i="2"/>
  <c r="CP14" i="2"/>
  <c r="CJ55" i="2"/>
  <c r="CU14" i="2"/>
  <c r="AU34" i="2"/>
  <c r="AJ34" i="2"/>
  <c r="CJ14" i="2"/>
  <c r="AD53" i="2"/>
  <c r="AU12" i="28"/>
  <c r="AU45" i="3"/>
  <c r="A89" i="2"/>
  <c r="AP45" i="3"/>
  <c r="CU34" i="3"/>
  <c r="CJ34" i="3"/>
  <c r="B107" i="26"/>
  <c r="C142" i="26"/>
  <c r="B142" i="26" s="1"/>
  <c r="B131" i="26"/>
  <c r="C166" i="26"/>
  <c r="B166" i="26" s="1"/>
  <c r="B112" i="26"/>
  <c r="C147" i="26"/>
  <c r="B147" i="26" s="1"/>
  <c r="C148" i="26"/>
  <c r="B148" i="26" s="1"/>
  <c r="B113" i="26"/>
  <c r="B120" i="26"/>
  <c r="C155" i="26"/>
  <c r="B155" i="26" s="1"/>
  <c r="C172" i="26"/>
  <c r="B172" i="26" s="1"/>
  <c r="B137" i="26"/>
  <c r="B116" i="26"/>
  <c r="C151" i="26"/>
  <c r="B151" i="26" s="1"/>
  <c r="C159" i="26"/>
  <c r="B159" i="26" s="1"/>
  <c r="B124" i="26"/>
  <c r="B138" i="26"/>
  <c r="C173" i="26"/>
  <c r="B173" i="26" s="1"/>
  <c r="B86" i="36"/>
  <c r="B86" i="5"/>
  <c r="B166" i="25"/>
  <c r="B86" i="34"/>
  <c r="C157" i="26"/>
  <c r="B157" i="26" s="1"/>
  <c r="B122" i="26"/>
  <c r="B117" i="26"/>
  <c r="C152" i="26"/>
  <c r="B152" i="26" s="1"/>
  <c r="C163" i="26"/>
  <c r="B163" i="26" s="1"/>
  <c r="B128" i="26"/>
  <c r="C162" i="26"/>
  <c r="B162" i="26" s="1"/>
  <c r="B127" i="26"/>
  <c r="B129" i="26"/>
  <c r="C164" i="26"/>
  <c r="B164" i="26" s="1"/>
  <c r="B133" i="26"/>
  <c r="C168" i="26"/>
  <c r="B168" i="26" s="1"/>
  <c r="C150" i="26"/>
  <c r="B150" i="26" s="1"/>
  <c r="B115" i="26"/>
  <c r="B118" i="26"/>
  <c r="C153" i="26"/>
  <c r="B153" i="26" s="1"/>
  <c r="B108" i="26"/>
  <c r="C143" i="26"/>
  <c r="B143" i="26" s="1"/>
  <c r="C144" i="26"/>
  <c r="B144" i="26" s="1"/>
  <c r="B109" i="26"/>
  <c r="B123" i="26"/>
  <c r="C158" i="26"/>
  <c r="B158" i="26" s="1"/>
  <c r="B130" i="26"/>
  <c r="C165" i="26"/>
  <c r="B165" i="26" s="1"/>
  <c r="B125" i="26"/>
  <c r="C160" i="26"/>
  <c r="B160" i="26" s="1"/>
  <c r="B88" i="3"/>
  <c r="A89" i="3"/>
  <c r="C88" i="3"/>
  <c r="C154" i="26"/>
  <c r="B154" i="26" s="1"/>
  <c r="B119" i="26"/>
  <c r="B134" i="26"/>
  <c r="C169" i="26"/>
  <c r="B169" i="26" s="1"/>
  <c r="C149" i="26"/>
  <c r="B149" i="26" s="1"/>
  <c r="B114" i="26"/>
  <c r="C86" i="36"/>
  <c r="C86" i="34"/>
  <c r="C166" i="25"/>
  <c r="C86" i="5"/>
  <c r="A87" i="36"/>
  <c r="A168" i="25"/>
  <c r="A87" i="34"/>
  <c r="A87" i="5"/>
  <c r="C146" i="26"/>
  <c r="B146" i="26" s="1"/>
  <c r="B111" i="26"/>
  <c r="C171" i="26"/>
  <c r="B171" i="26" s="1"/>
  <c r="B136" i="26"/>
  <c r="B132" i="26"/>
  <c r="C167" i="26"/>
  <c r="B167" i="26" s="1"/>
  <c r="B135" i="26"/>
  <c r="C170" i="26"/>
  <c r="B170" i="26" s="1"/>
  <c r="B126" i="26"/>
  <c r="C161" i="26"/>
  <c r="B161" i="26" s="1"/>
  <c r="C156" i="26"/>
  <c r="B156" i="26" s="1"/>
  <c r="B121" i="26"/>
  <c r="C145" i="26"/>
  <c r="B145" i="26" s="1"/>
  <c r="B110" i="26"/>
  <c r="AJ12" i="28"/>
  <c r="CP34" i="3"/>
  <c r="AP12" i="28"/>
  <c r="AD55" i="2" l="1"/>
  <c r="AD25" i="2"/>
  <c r="CD14" i="28"/>
  <c r="AD54" i="2"/>
  <c r="AD14" i="2"/>
  <c r="AD23" i="2"/>
  <c r="CD13" i="28"/>
  <c r="AD15" i="3"/>
  <c r="A89" i="4"/>
  <c r="B89" i="2"/>
  <c r="B89" i="4" s="1"/>
  <c r="C89" i="2"/>
  <c r="C89" i="4" s="1"/>
  <c r="AD15" i="2"/>
  <c r="BC85" i="28"/>
  <c r="BB85" i="28"/>
  <c r="BA89" i="28"/>
  <c r="CD15" i="2"/>
  <c r="AD15" i="28"/>
  <c r="AD33" i="3"/>
  <c r="AX97" i="5"/>
  <c r="O203" i="25" s="1"/>
  <c r="AX97" i="36"/>
  <c r="T203" i="25" s="1"/>
  <c r="AX97" i="3"/>
  <c r="Y203" i="25" s="1"/>
  <c r="AX97" i="34"/>
  <c r="AD203" i="25" s="1"/>
  <c r="AX97" i="28"/>
  <c r="AI203" i="25" s="1"/>
  <c r="CD12" i="2"/>
  <c r="AD14" i="28"/>
  <c r="CD43" i="2"/>
  <c r="AD22" i="28"/>
  <c r="CD12" i="28"/>
  <c r="AD13" i="28"/>
  <c r="CD45" i="2"/>
  <c r="CD55" i="3"/>
  <c r="AD13" i="2"/>
  <c r="CD13" i="2"/>
  <c r="AD45" i="2"/>
  <c r="CD32" i="28"/>
  <c r="CD25" i="2"/>
  <c r="CD52" i="3"/>
  <c r="AD35" i="28"/>
  <c r="CD34" i="28"/>
  <c r="CD15" i="28"/>
  <c r="BX15" i="28" s="1"/>
  <c r="CD42" i="2"/>
  <c r="CD53" i="3"/>
  <c r="CD35" i="28"/>
  <c r="AD42" i="2"/>
  <c r="CD3" i="2"/>
  <c r="AD54" i="28"/>
  <c r="CD44" i="2"/>
  <c r="AD23" i="28"/>
  <c r="CD32" i="2"/>
  <c r="AD44" i="2"/>
  <c r="AD34" i="3"/>
  <c r="AD52" i="28"/>
  <c r="CD3" i="28"/>
  <c r="AD53" i="28"/>
  <c r="AD3" i="3"/>
  <c r="AD43" i="28"/>
  <c r="AD42" i="28"/>
  <c r="CD24" i="28"/>
  <c r="CD45" i="3"/>
  <c r="CD22" i="3"/>
  <c r="CD33" i="28"/>
  <c r="CD25" i="3"/>
  <c r="AD5" i="2"/>
  <c r="AD32" i="3"/>
  <c r="CD4" i="28"/>
  <c r="AD53" i="3"/>
  <c r="AD12" i="3"/>
  <c r="AD23" i="3"/>
  <c r="CD23" i="3"/>
  <c r="AD35" i="3"/>
  <c r="AD52" i="3"/>
  <c r="X23" i="2"/>
  <c r="CD22" i="28"/>
  <c r="AD54" i="3"/>
  <c r="AD2" i="3"/>
  <c r="CD23" i="28"/>
  <c r="CD23" i="2"/>
  <c r="AD4" i="3"/>
  <c r="AD5" i="28"/>
  <c r="AD24" i="28"/>
  <c r="AD5" i="3"/>
  <c r="CD54" i="3"/>
  <c r="CD2" i="28"/>
  <c r="AD13" i="3"/>
  <c r="AD44" i="28"/>
  <c r="X25" i="2"/>
  <c r="CD5" i="28"/>
  <c r="X24" i="2"/>
  <c r="CD52" i="2"/>
  <c r="CD44" i="3"/>
  <c r="CD54" i="2"/>
  <c r="AD43" i="2"/>
  <c r="X22" i="2"/>
  <c r="AD3" i="2"/>
  <c r="AD14" i="3"/>
  <c r="CD53" i="2"/>
  <c r="CD32" i="3"/>
  <c r="AD42" i="3"/>
  <c r="CD24" i="2"/>
  <c r="AD33" i="28"/>
  <c r="CD33" i="2"/>
  <c r="CD24" i="3"/>
  <c r="CD43" i="28"/>
  <c r="AD45" i="28"/>
  <c r="CD25" i="28"/>
  <c r="AD24" i="3"/>
  <c r="CD5" i="3"/>
  <c r="AD35" i="2"/>
  <c r="AD25" i="3"/>
  <c r="AD32" i="28"/>
  <c r="CD42" i="28"/>
  <c r="CD35" i="2"/>
  <c r="CD35" i="3"/>
  <c r="CD5" i="2"/>
  <c r="AD44" i="3"/>
  <c r="CD4" i="3"/>
  <c r="CD42" i="3"/>
  <c r="CD15" i="3"/>
  <c r="AD22" i="3"/>
  <c r="CD52" i="28"/>
  <c r="CD2" i="3"/>
  <c r="CD33" i="3"/>
  <c r="CD3" i="3"/>
  <c r="AD3" i="28"/>
  <c r="CD43" i="3"/>
  <c r="AD25" i="28"/>
  <c r="CD22" i="2"/>
  <c r="AD2" i="2"/>
  <c r="AD55" i="3"/>
  <c r="AD4" i="28"/>
  <c r="AD55" i="28"/>
  <c r="CD34" i="2"/>
  <c r="CD4" i="2"/>
  <c r="AD32" i="2"/>
  <c r="CD12" i="3"/>
  <c r="CD55" i="28"/>
  <c r="CD54" i="28"/>
  <c r="AD52" i="2"/>
  <c r="X53" i="2" s="1"/>
  <c r="CD2" i="2"/>
  <c r="AD43" i="3"/>
  <c r="CD45" i="28"/>
  <c r="AD34" i="28"/>
  <c r="CD14" i="3"/>
  <c r="CD13" i="3"/>
  <c r="AD33" i="2"/>
  <c r="AD4" i="2"/>
  <c r="AD2" i="28"/>
  <c r="CD53" i="28"/>
  <c r="CD44" i="28"/>
  <c r="CD55" i="2"/>
  <c r="CD14" i="2"/>
  <c r="AD34" i="2"/>
  <c r="AD45" i="3"/>
  <c r="BA82" i="2"/>
  <c r="CD34" i="3"/>
  <c r="B87" i="36"/>
  <c r="B168" i="25"/>
  <c r="B87" i="5"/>
  <c r="B87" i="34"/>
  <c r="A88" i="36"/>
  <c r="A88" i="34"/>
  <c r="A170" i="25"/>
  <c r="A88" i="5"/>
  <c r="C87" i="36"/>
  <c r="C87" i="34"/>
  <c r="C87" i="5"/>
  <c r="C168" i="25"/>
  <c r="BA82" i="3"/>
  <c r="C89" i="3"/>
  <c r="B89" i="3"/>
  <c r="AD12" i="28"/>
  <c r="BX13" i="28" l="1"/>
  <c r="BX14" i="28"/>
  <c r="BX12" i="28"/>
  <c r="X15" i="2"/>
  <c r="X13" i="2"/>
  <c r="X12" i="2"/>
  <c r="X14" i="2"/>
  <c r="BA82" i="4"/>
  <c r="BB82" i="2"/>
  <c r="BB82" i="4" s="1"/>
  <c r="BC82" i="2"/>
  <c r="BC82" i="4" s="1"/>
  <c r="BA90" i="28"/>
  <c r="BB89" i="28"/>
  <c r="BC89" i="28"/>
  <c r="M22" i="2"/>
  <c r="BX15" i="2"/>
  <c r="X12" i="28"/>
  <c r="P13" i="28" s="1"/>
  <c r="BX55" i="3"/>
  <c r="BX35" i="28"/>
  <c r="BX34" i="28"/>
  <c r="BX33" i="28"/>
  <c r="BX42" i="2"/>
  <c r="BX43" i="2"/>
  <c r="BX32" i="28"/>
  <c r="BN33" i="28" s="1"/>
  <c r="O22" i="2"/>
  <c r="Q22" i="2"/>
  <c r="BX45" i="2"/>
  <c r="BX44" i="2"/>
  <c r="BX2" i="28"/>
  <c r="BQ3" i="28" s="1"/>
  <c r="X34" i="3"/>
  <c r="X33" i="3"/>
  <c r="BX54" i="3"/>
  <c r="X55" i="28"/>
  <c r="BX52" i="3"/>
  <c r="X42" i="2"/>
  <c r="X4" i="3"/>
  <c r="BX53" i="3"/>
  <c r="M23" i="2"/>
  <c r="X32" i="3"/>
  <c r="X35" i="3"/>
  <c r="X52" i="3"/>
  <c r="BX42" i="3"/>
  <c r="X3" i="3"/>
  <c r="BX25" i="3"/>
  <c r="BX22" i="3"/>
  <c r="O23" i="2"/>
  <c r="P23" i="2"/>
  <c r="Q23" i="2"/>
  <c r="N23" i="2"/>
  <c r="X44" i="28"/>
  <c r="N25" i="2"/>
  <c r="BX23" i="3"/>
  <c r="N22" i="2"/>
  <c r="P25" i="2"/>
  <c r="O24" i="2"/>
  <c r="CA68" i="2" s="1"/>
  <c r="BX5" i="28"/>
  <c r="BX4" i="28"/>
  <c r="X2" i="3"/>
  <c r="O25" i="2"/>
  <c r="P22" i="2"/>
  <c r="BX24" i="3"/>
  <c r="X54" i="3"/>
  <c r="BX3" i="28"/>
  <c r="X5" i="3"/>
  <c r="BX25" i="2"/>
  <c r="X12" i="3"/>
  <c r="BX25" i="28"/>
  <c r="Q24" i="2"/>
  <c r="CC68" i="2" s="1"/>
  <c r="M25" i="2"/>
  <c r="X54" i="28"/>
  <c r="X14" i="3"/>
  <c r="Q25" i="2"/>
  <c r="P24" i="2"/>
  <c r="CB68" i="2" s="1"/>
  <c r="X13" i="3"/>
  <c r="X45" i="28"/>
  <c r="X15" i="3"/>
  <c r="X24" i="28"/>
  <c r="M24" i="2"/>
  <c r="BY68" i="2" s="1"/>
  <c r="N24" i="2"/>
  <c r="BZ68" i="2" s="1"/>
  <c r="BX23" i="28"/>
  <c r="BX53" i="2"/>
  <c r="BX24" i="28"/>
  <c r="BX22" i="28"/>
  <c r="BP23" i="28" s="1"/>
  <c r="BX35" i="2"/>
  <c r="X22" i="3"/>
  <c r="X43" i="28"/>
  <c r="X42" i="28"/>
  <c r="Q43" i="28" s="1"/>
  <c r="X43" i="2"/>
  <c r="BX34" i="2"/>
  <c r="BX23" i="2"/>
  <c r="X45" i="2"/>
  <c r="X44" i="2"/>
  <c r="X23" i="3"/>
  <c r="BX22" i="2"/>
  <c r="X24" i="3"/>
  <c r="X33" i="28"/>
  <c r="X25" i="3"/>
  <c r="X25" i="28"/>
  <c r="BX2" i="3"/>
  <c r="X22" i="28"/>
  <c r="O23" i="28" s="1"/>
  <c r="X23" i="28"/>
  <c r="BX34" i="3"/>
  <c r="X34" i="28"/>
  <c r="X53" i="28"/>
  <c r="X32" i="28"/>
  <c r="M33" i="28" s="1"/>
  <c r="X35" i="28"/>
  <c r="X52" i="28"/>
  <c r="M53" i="28" s="1"/>
  <c r="BX45" i="3"/>
  <c r="BX44" i="3"/>
  <c r="X4" i="2"/>
  <c r="BX43" i="3"/>
  <c r="X5" i="28"/>
  <c r="BX4" i="3"/>
  <c r="X42" i="3"/>
  <c r="BX55" i="28"/>
  <c r="BX32" i="2"/>
  <c r="BX33" i="2"/>
  <c r="BX5" i="3"/>
  <c r="BX3" i="3"/>
  <c r="BX4" i="2"/>
  <c r="BX35" i="3"/>
  <c r="X54" i="2"/>
  <c r="X55" i="2"/>
  <c r="X52" i="2"/>
  <c r="BX13" i="3"/>
  <c r="BX24" i="2"/>
  <c r="BX43" i="28"/>
  <c r="N15" i="2"/>
  <c r="X55" i="3"/>
  <c r="P12" i="2"/>
  <c r="X4" i="28"/>
  <c r="X53" i="3"/>
  <c r="BX53" i="28"/>
  <c r="BX14" i="3"/>
  <c r="BX33" i="3"/>
  <c r="O15" i="2"/>
  <c r="BX3" i="2"/>
  <c r="BX54" i="28"/>
  <c r="N13" i="2"/>
  <c r="P15" i="2"/>
  <c r="M12" i="2"/>
  <c r="N12" i="2"/>
  <c r="P13" i="2"/>
  <c r="M13" i="2"/>
  <c r="M14" i="2"/>
  <c r="BY67" i="2" s="1"/>
  <c r="BX5" i="2"/>
  <c r="N14" i="2"/>
  <c r="BZ67" i="2" s="1"/>
  <c r="O13" i="2"/>
  <c r="P14" i="2"/>
  <c r="CB67" i="2" s="1"/>
  <c r="Q13" i="2"/>
  <c r="Q14" i="2"/>
  <c r="CC67" i="2" s="1"/>
  <c r="BX2" i="2"/>
  <c r="Q12" i="2"/>
  <c r="O14" i="2"/>
  <c r="CA67" i="2" s="1"/>
  <c r="M15" i="2"/>
  <c r="Q15" i="2"/>
  <c r="X43" i="3"/>
  <c r="BX32" i="3"/>
  <c r="X3" i="2"/>
  <c r="X5" i="2"/>
  <c r="BX15" i="3"/>
  <c r="BX45" i="28"/>
  <c r="X2" i="2"/>
  <c r="BX44" i="28"/>
  <c r="BX12" i="3"/>
  <c r="X35" i="2"/>
  <c r="BX52" i="28"/>
  <c r="BX42" i="28"/>
  <c r="X45" i="3"/>
  <c r="BX12" i="2"/>
  <c r="X2" i="28"/>
  <c r="M3" i="28" s="1"/>
  <c r="BX14" i="2"/>
  <c r="X3" i="28"/>
  <c r="BX54" i="2"/>
  <c r="BX55" i="2"/>
  <c r="BX52" i="2"/>
  <c r="X44" i="3"/>
  <c r="X34" i="2"/>
  <c r="X32" i="2"/>
  <c r="BX13" i="2"/>
  <c r="X33" i="2"/>
  <c r="X15" i="28"/>
  <c r="X14" i="28"/>
  <c r="X13" i="28"/>
  <c r="BA83" i="2"/>
  <c r="B88" i="36"/>
  <c r="B88" i="5"/>
  <c r="B170" i="25"/>
  <c r="B88" i="34"/>
  <c r="BB82" i="3"/>
  <c r="BC82" i="3"/>
  <c r="BA83" i="3"/>
  <c r="A89" i="36"/>
  <c r="A172" i="25"/>
  <c r="A89" i="5"/>
  <c r="A89" i="34"/>
  <c r="C88" i="36"/>
  <c r="C170" i="25"/>
  <c r="C88" i="34"/>
  <c r="C88" i="5"/>
  <c r="BN14" i="28"/>
  <c r="BQ12" i="28"/>
  <c r="BQ14" i="28"/>
  <c r="CC70" i="28" s="1"/>
  <c r="BO15" i="28"/>
  <c r="BM13" i="28"/>
  <c r="BP13" i="28"/>
  <c r="BM12" i="28"/>
  <c r="BP14" i="28"/>
  <c r="CB70" i="28" s="1"/>
  <c r="BO13" i="28"/>
  <c r="BQ15" i="28"/>
  <c r="BN12" i="28"/>
  <c r="BO14" i="28"/>
  <c r="CA70" i="28" s="1"/>
  <c r="BQ13" i="28"/>
  <c r="BO12" i="28"/>
  <c r="BP12" i="28"/>
  <c r="BN13" i="28"/>
  <c r="BP15" i="28"/>
  <c r="BM14" i="28"/>
  <c r="BY70" i="28" s="1"/>
  <c r="BN15" i="28"/>
  <c r="BM15" i="28"/>
  <c r="O12" i="2" l="1"/>
  <c r="M27" i="2"/>
  <c r="N52" i="2"/>
  <c r="Q42" i="2"/>
  <c r="BO52" i="2"/>
  <c r="M28" i="2"/>
  <c r="F66" i="2" s="1"/>
  <c r="BA94" i="28"/>
  <c r="BB90" i="28"/>
  <c r="BC90" i="28"/>
  <c r="BA83" i="4"/>
  <c r="BB83" i="2"/>
  <c r="BB83" i="4" s="1"/>
  <c r="BC83" i="2"/>
  <c r="BC83" i="4" s="1"/>
  <c r="M17" i="2"/>
  <c r="D75" i="2" s="1"/>
  <c r="M18" i="2"/>
  <c r="M18" i="4" s="1"/>
  <c r="M42" i="2"/>
  <c r="BO22" i="2"/>
  <c r="BQ42" i="2"/>
  <c r="N13" i="28"/>
  <c r="Q13" i="28"/>
  <c r="O13" i="28"/>
  <c r="P14" i="28"/>
  <c r="CB67" i="28" s="1"/>
  <c r="M13" i="28"/>
  <c r="M14" i="3"/>
  <c r="BY67" i="3" s="1"/>
  <c r="BM42" i="2"/>
  <c r="BQ43" i="2"/>
  <c r="BO43" i="2"/>
  <c r="BN42" i="2"/>
  <c r="BO42" i="2"/>
  <c r="BP42" i="2"/>
  <c r="BP43" i="2"/>
  <c r="BM44" i="2"/>
  <c r="BY76" i="2" s="1"/>
  <c r="BN43" i="2"/>
  <c r="BQ44" i="2"/>
  <c r="CC76" i="2" s="1"/>
  <c r="BM43" i="2"/>
  <c r="BP32" i="28"/>
  <c r="BO3" i="28"/>
  <c r="BO22" i="3"/>
  <c r="BP35" i="28"/>
  <c r="BM35" i="28"/>
  <c r="BN5" i="28"/>
  <c r="BP3" i="28"/>
  <c r="BP34" i="28"/>
  <c r="CB75" i="28" s="1"/>
  <c r="BN3" i="28"/>
  <c r="BN23" i="3"/>
  <c r="BM3" i="28"/>
  <c r="BM25" i="3"/>
  <c r="BO35" i="28"/>
  <c r="BO44" i="2"/>
  <c r="CA76" i="2" s="1"/>
  <c r="BP33" i="28"/>
  <c r="BO33" i="28"/>
  <c r="BQ33" i="28"/>
  <c r="BQ32" i="28"/>
  <c r="BO32" i="28"/>
  <c r="BQ45" i="2"/>
  <c r="BN34" i="28"/>
  <c r="BZ75" i="28" s="1"/>
  <c r="BM34" i="28"/>
  <c r="BY75" i="28" s="1"/>
  <c r="BQ35" i="28"/>
  <c r="BO34" i="28"/>
  <c r="CA75" i="28" s="1"/>
  <c r="BN35" i="28"/>
  <c r="BP44" i="2"/>
  <c r="CB76" i="2" s="1"/>
  <c r="BP45" i="2"/>
  <c r="N34" i="3"/>
  <c r="BZ72" i="3" s="1"/>
  <c r="BN32" i="28"/>
  <c r="BM32" i="28"/>
  <c r="BM33" i="28"/>
  <c r="BM38" i="28" s="1"/>
  <c r="BQ34" i="28"/>
  <c r="CC75" i="28" s="1"/>
  <c r="BN44" i="2"/>
  <c r="BM49" i="2" s="1"/>
  <c r="BM49" i="4" s="1"/>
  <c r="N15" i="3"/>
  <c r="P35" i="3"/>
  <c r="BN45" i="2"/>
  <c r="M13" i="3"/>
  <c r="P33" i="3"/>
  <c r="BM45" i="2"/>
  <c r="BO45" i="2"/>
  <c r="M35" i="3"/>
  <c r="M44" i="2"/>
  <c r="BY73" i="2" s="1"/>
  <c r="O42" i="2"/>
  <c r="Q34" i="3"/>
  <c r="CC72" i="3" s="1"/>
  <c r="M33" i="3"/>
  <c r="P42" i="2"/>
  <c r="BO53" i="3"/>
  <c r="BP25" i="3"/>
  <c r="M34" i="3"/>
  <c r="BY72" i="3" s="1"/>
  <c r="P34" i="3"/>
  <c r="CB72" i="3" s="1"/>
  <c r="Q33" i="28"/>
  <c r="M29" i="2"/>
  <c r="M29" i="4" s="1"/>
  <c r="Q35" i="3"/>
  <c r="N42" i="2"/>
  <c r="O35" i="3"/>
  <c r="O54" i="3"/>
  <c r="CA74" i="3" s="1"/>
  <c r="BP44" i="3"/>
  <c r="CB76" i="3" s="1"/>
  <c r="Q34" i="28"/>
  <c r="CC72" i="28" s="1"/>
  <c r="BN22" i="3"/>
  <c r="Q32" i="3"/>
  <c r="BM22" i="3"/>
  <c r="BO25" i="3"/>
  <c r="N54" i="3"/>
  <c r="BZ74" i="3" s="1"/>
  <c r="BP22" i="3"/>
  <c r="BQ22" i="3"/>
  <c r="BQ25" i="3"/>
  <c r="O52" i="28"/>
  <c r="BM52" i="3"/>
  <c r="BQ54" i="3"/>
  <c r="CC77" i="3" s="1"/>
  <c r="BN54" i="3"/>
  <c r="BZ77" i="3" s="1"/>
  <c r="BP52" i="3"/>
  <c r="BM53" i="3"/>
  <c r="BO52" i="3"/>
  <c r="BQ22" i="2"/>
  <c r="BP45" i="3"/>
  <c r="BN52" i="3"/>
  <c r="BM54" i="3"/>
  <c r="BY77" i="3" s="1"/>
  <c r="BN55" i="3"/>
  <c r="BN53" i="3"/>
  <c r="BQ53" i="3"/>
  <c r="BP54" i="3"/>
  <c r="CB77" i="3" s="1"/>
  <c r="BO54" i="3"/>
  <c r="CA77" i="3" s="1"/>
  <c r="BQ52" i="3"/>
  <c r="BQ55" i="3"/>
  <c r="BM55" i="3"/>
  <c r="BP55" i="3"/>
  <c r="BP23" i="3"/>
  <c r="O33" i="3"/>
  <c r="BO55" i="3"/>
  <c r="BP53" i="3"/>
  <c r="M24" i="3"/>
  <c r="BY68" i="3" s="1"/>
  <c r="BM5" i="28"/>
  <c r="P3" i="3"/>
  <c r="M45" i="2"/>
  <c r="BM24" i="3"/>
  <c r="BY71" i="3" s="1"/>
  <c r="BN12" i="3"/>
  <c r="BQ2" i="28"/>
  <c r="BQ23" i="3"/>
  <c r="Q24" i="3"/>
  <c r="CC68" i="3" s="1"/>
  <c r="BO23" i="3"/>
  <c r="O32" i="3"/>
  <c r="N33" i="3"/>
  <c r="N32" i="3"/>
  <c r="O4" i="3"/>
  <c r="CA66" i="3" s="1"/>
  <c r="P5" i="3"/>
  <c r="N35" i="3"/>
  <c r="BO24" i="3"/>
  <c r="CA71" i="3" s="1"/>
  <c r="BP24" i="3"/>
  <c r="CB71" i="3" s="1"/>
  <c r="BQ24" i="3"/>
  <c r="CC71" i="3" s="1"/>
  <c r="BP4" i="28"/>
  <c r="CB69" i="28" s="1"/>
  <c r="BN24" i="3"/>
  <c r="BZ71" i="3" s="1"/>
  <c r="BM23" i="3"/>
  <c r="BN25" i="3"/>
  <c r="P32" i="3"/>
  <c r="M32" i="3"/>
  <c r="O34" i="3"/>
  <c r="CA72" i="3" s="1"/>
  <c r="Q33" i="3"/>
  <c r="P33" i="28"/>
  <c r="P34" i="28"/>
  <c r="CB72" i="28" s="1"/>
  <c r="BM2" i="28"/>
  <c r="BQ5" i="28"/>
  <c r="BO5" i="28"/>
  <c r="BN23" i="28"/>
  <c r="M3" i="3"/>
  <c r="BP23" i="2"/>
  <c r="O45" i="28"/>
  <c r="O15" i="3"/>
  <c r="O2" i="3"/>
  <c r="N34" i="28"/>
  <c r="M34" i="28"/>
  <c r="BY72" i="28" s="1"/>
  <c r="O33" i="28"/>
  <c r="BP5" i="28"/>
  <c r="BO2" i="28"/>
  <c r="BM4" i="28"/>
  <c r="BY69" i="28" s="1"/>
  <c r="BN4" i="28"/>
  <c r="BZ69" i="28" s="1"/>
  <c r="BQ4" i="28"/>
  <c r="CC69" i="28" s="1"/>
  <c r="M45" i="28"/>
  <c r="Q4" i="3"/>
  <c r="CC66" i="3" s="1"/>
  <c r="BP4" i="3"/>
  <c r="CB69" i="3" s="1"/>
  <c r="P22" i="28"/>
  <c r="P45" i="2"/>
  <c r="M43" i="28"/>
  <c r="O34" i="28"/>
  <c r="CA72" i="28" s="1"/>
  <c r="N33" i="28"/>
  <c r="M38" i="28" s="1"/>
  <c r="BP2" i="28"/>
  <c r="BO4" i="28"/>
  <c r="CA69" i="28" s="1"/>
  <c r="BN2" i="28"/>
  <c r="BN25" i="28"/>
  <c r="P12" i="3"/>
  <c r="Q2" i="3"/>
  <c r="M2" i="3"/>
  <c r="Q5" i="3"/>
  <c r="M4" i="3"/>
  <c r="BY66" i="3" s="1"/>
  <c r="P15" i="3"/>
  <c r="M15" i="3"/>
  <c r="N13" i="3"/>
  <c r="Q14" i="3"/>
  <c r="CC67" i="3" s="1"/>
  <c r="O12" i="3"/>
  <c r="Q13" i="3"/>
  <c r="O5" i="3"/>
  <c r="N3" i="3"/>
  <c r="N2" i="3"/>
  <c r="Q3" i="3"/>
  <c r="P2" i="3"/>
  <c r="BP24" i="2"/>
  <c r="CB71" i="2" s="1"/>
  <c r="Q15" i="3"/>
  <c r="N5" i="3"/>
  <c r="P4" i="3"/>
  <c r="CB66" i="3" s="1"/>
  <c r="N4" i="3"/>
  <c r="BZ66" i="3" s="1"/>
  <c r="O3" i="3"/>
  <c r="M5" i="3"/>
  <c r="N35" i="28"/>
  <c r="N44" i="2"/>
  <c r="BZ73" i="2" s="1"/>
  <c r="BO24" i="28"/>
  <c r="CA71" i="28" s="1"/>
  <c r="O25" i="3"/>
  <c r="O54" i="28"/>
  <c r="CA74" i="28" s="1"/>
  <c r="N24" i="3"/>
  <c r="BZ68" i="3" s="1"/>
  <c r="O24" i="3"/>
  <c r="CA68" i="3" s="1"/>
  <c r="BQ42" i="3"/>
  <c r="N45" i="2"/>
  <c r="Q44" i="2"/>
  <c r="CC73" i="2" s="1"/>
  <c r="P35" i="28"/>
  <c r="N52" i="28"/>
  <c r="Q25" i="3"/>
  <c r="P24" i="3"/>
  <c r="CB68" i="3" s="1"/>
  <c r="P44" i="2"/>
  <c r="CB73" i="2" s="1"/>
  <c r="M43" i="2"/>
  <c r="CD68" i="2"/>
  <c r="O14" i="3"/>
  <c r="CA67" i="3" s="1"/>
  <c r="BN35" i="3"/>
  <c r="BP43" i="3"/>
  <c r="N25" i="3"/>
  <c r="BQ23" i="28"/>
  <c r="P14" i="3"/>
  <c r="CB67" i="3" s="1"/>
  <c r="Q52" i="28"/>
  <c r="M35" i="28"/>
  <c r="P25" i="3"/>
  <c r="M22" i="3"/>
  <c r="M25" i="3"/>
  <c r="BN44" i="3"/>
  <c r="BZ76" i="3" s="1"/>
  <c r="N14" i="3"/>
  <c r="BZ67" i="3" s="1"/>
  <c r="P45" i="28"/>
  <c r="BQ25" i="28"/>
  <c r="N42" i="28"/>
  <c r="BP24" i="28"/>
  <c r="CB71" i="28" s="1"/>
  <c r="P53" i="28"/>
  <c r="Q53" i="28"/>
  <c r="N22" i="3"/>
  <c r="Q22" i="3"/>
  <c r="O22" i="3"/>
  <c r="BO44" i="3"/>
  <c r="CA76" i="3" s="1"/>
  <c r="BM43" i="3"/>
  <c r="BQ44" i="3"/>
  <c r="CC76" i="3" s="1"/>
  <c r="BO45" i="3"/>
  <c r="Q12" i="3"/>
  <c r="O13" i="3"/>
  <c r="M42" i="28"/>
  <c r="P13" i="3"/>
  <c r="BO25" i="28"/>
  <c r="Q42" i="28"/>
  <c r="M44" i="28"/>
  <c r="BY73" i="28" s="1"/>
  <c r="O44" i="28"/>
  <c r="CA73" i="28" s="1"/>
  <c r="BQ24" i="28"/>
  <c r="CC71" i="28" s="1"/>
  <c r="BM25" i="2"/>
  <c r="BO23" i="28"/>
  <c r="N53" i="28"/>
  <c r="M58" i="28" s="1"/>
  <c r="BN43" i="3"/>
  <c r="BN45" i="3"/>
  <c r="BM45" i="3"/>
  <c r="BQ43" i="3"/>
  <c r="BQ45" i="3"/>
  <c r="BO43" i="3"/>
  <c r="BM25" i="28"/>
  <c r="BN4" i="3"/>
  <c r="BP25" i="28"/>
  <c r="P44" i="28"/>
  <c r="CB73" i="28" s="1"/>
  <c r="BO22" i="28"/>
  <c r="BP22" i="28"/>
  <c r="P43" i="28"/>
  <c r="Q35" i="28"/>
  <c r="O53" i="28"/>
  <c r="O35" i="28"/>
  <c r="P22" i="3"/>
  <c r="BM44" i="3"/>
  <c r="BY76" i="3" s="1"/>
  <c r="N12" i="3"/>
  <c r="M12" i="3"/>
  <c r="P42" i="3"/>
  <c r="O42" i="28"/>
  <c r="P42" i="28"/>
  <c r="N45" i="28"/>
  <c r="BN22" i="28"/>
  <c r="BQ22" i="28"/>
  <c r="BM22" i="28"/>
  <c r="BM24" i="28"/>
  <c r="BY71" i="28" s="1"/>
  <c r="Q44" i="28"/>
  <c r="CC73" i="28" s="1"/>
  <c r="N44" i="28"/>
  <c r="BZ73" i="28" s="1"/>
  <c r="Q45" i="28"/>
  <c r="BM23" i="28"/>
  <c r="BN24" i="28"/>
  <c r="BZ71" i="28" s="1"/>
  <c r="Q45" i="2"/>
  <c r="Q53" i="2"/>
  <c r="Q43" i="2"/>
  <c r="O43" i="2"/>
  <c r="O44" i="2"/>
  <c r="CA73" i="2" s="1"/>
  <c r="O45" i="2"/>
  <c r="P43" i="2"/>
  <c r="N43" i="2"/>
  <c r="O43" i="28"/>
  <c r="N43" i="28"/>
  <c r="BQ34" i="2"/>
  <c r="CC75" i="2" s="1"/>
  <c r="M32" i="28"/>
  <c r="P25" i="28"/>
  <c r="Q23" i="3"/>
  <c r="BN42" i="3"/>
  <c r="BO3" i="3"/>
  <c r="M23" i="28"/>
  <c r="P32" i="28"/>
  <c r="M23" i="3"/>
  <c r="BP35" i="2"/>
  <c r="BP22" i="2"/>
  <c r="BM24" i="2"/>
  <c r="BY71" i="2" s="1"/>
  <c r="BO23" i="2"/>
  <c r="Q23" i="28"/>
  <c r="BN35" i="2"/>
  <c r="BM35" i="2"/>
  <c r="BQ23" i="2"/>
  <c r="BN23" i="2"/>
  <c r="BN22" i="2"/>
  <c r="P23" i="28"/>
  <c r="P23" i="3"/>
  <c r="BO34" i="2"/>
  <c r="CA75" i="2" s="1"/>
  <c r="BM22" i="2"/>
  <c r="BM23" i="2"/>
  <c r="Q22" i="28"/>
  <c r="N32" i="28"/>
  <c r="M37" i="28" s="1"/>
  <c r="D71" i="28" s="1"/>
  <c r="BO33" i="2"/>
  <c r="BQ35" i="2"/>
  <c r="BP33" i="2"/>
  <c r="BM34" i="2"/>
  <c r="BY75" i="2" s="1"/>
  <c r="BQ3" i="3"/>
  <c r="BP25" i="2"/>
  <c r="BP32" i="2"/>
  <c r="BN25" i="2"/>
  <c r="BQ25" i="2"/>
  <c r="M22" i="28"/>
  <c r="O25" i="28"/>
  <c r="N23" i="28"/>
  <c r="N25" i="28"/>
  <c r="O22" i="28"/>
  <c r="N24" i="28"/>
  <c r="BZ68" i="28" s="1"/>
  <c r="M24" i="28"/>
  <c r="BY68" i="28" s="1"/>
  <c r="P24" i="28"/>
  <c r="CB68" i="28" s="1"/>
  <c r="O32" i="28"/>
  <c r="Q32" i="28"/>
  <c r="N23" i="3"/>
  <c r="O23" i="3"/>
  <c r="BQ33" i="2"/>
  <c r="BN32" i="2"/>
  <c r="BO35" i="2"/>
  <c r="BN34" i="2"/>
  <c r="BZ75" i="2" s="1"/>
  <c r="BP34" i="2"/>
  <c r="CB75" i="2" s="1"/>
  <c r="BO25" i="2"/>
  <c r="BO24" i="2"/>
  <c r="CA71" i="2" s="1"/>
  <c r="Q25" i="28"/>
  <c r="BM17" i="28"/>
  <c r="O24" i="28"/>
  <c r="CA68" i="28" s="1"/>
  <c r="Q24" i="28"/>
  <c r="CC68" i="28" s="1"/>
  <c r="M25" i="28"/>
  <c r="N22" i="28"/>
  <c r="M27" i="28" s="1"/>
  <c r="BQ32" i="2"/>
  <c r="BM33" i="2"/>
  <c r="BO32" i="2"/>
  <c r="BM32" i="2"/>
  <c r="BN33" i="2"/>
  <c r="BN24" i="2"/>
  <c r="O55" i="3"/>
  <c r="P55" i="28"/>
  <c r="N43" i="3"/>
  <c r="BO52" i="28"/>
  <c r="O54" i="2"/>
  <c r="CA74" i="2" s="1"/>
  <c r="BQ24" i="2"/>
  <c r="CC71" i="2" s="1"/>
  <c r="M5" i="28"/>
  <c r="Q54" i="28"/>
  <c r="CC74" i="28" s="1"/>
  <c r="M54" i="28"/>
  <c r="BY74" i="28" s="1"/>
  <c r="M52" i="28"/>
  <c r="Q55" i="28"/>
  <c r="BQ52" i="28"/>
  <c r="BQ14" i="3"/>
  <c r="CC70" i="3" s="1"/>
  <c r="BM55" i="28"/>
  <c r="P53" i="2"/>
  <c r="BN3" i="3"/>
  <c r="P52" i="28"/>
  <c r="N55" i="28"/>
  <c r="P54" i="28"/>
  <c r="CB74" i="28" s="1"/>
  <c r="BP42" i="3"/>
  <c r="BQ54" i="28"/>
  <c r="CC77" i="28" s="1"/>
  <c r="BO42" i="3"/>
  <c r="BM42" i="3"/>
  <c r="BO55" i="28"/>
  <c r="M55" i="28"/>
  <c r="N54" i="28"/>
  <c r="O55" i="28"/>
  <c r="BM52" i="28"/>
  <c r="O53" i="2"/>
  <c r="O52" i="2"/>
  <c r="BM4" i="2"/>
  <c r="BY69" i="2" s="1"/>
  <c r="BO32" i="3"/>
  <c r="BM3" i="3"/>
  <c r="BO54" i="28"/>
  <c r="CA77" i="28" s="1"/>
  <c r="N5" i="2"/>
  <c r="N53" i="3"/>
  <c r="N55" i="2"/>
  <c r="BM5" i="3"/>
  <c r="BP3" i="3"/>
  <c r="BN34" i="3"/>
  <c r="BZ75" i="3" s="1"/>
  <c r="P3" i="28"/>
  <c r="BQ2" i="3"/>
  <c r="BQ4" i="3"/>
  <c r="CC69" i="3" s="1"/>
  <c r="BO2" i="3"/>
  <c r="BP5" i="3"/>
  <c r="BM4" i="3"/>
  <c r="BY69" i="3" s="1"/>
  <c r="BP2" i="3"/>
  <c r="BQ5" i="3"/>
  <c r="BM2" i="3"/>
  <c r="BN5" i="3"/>
  <c r="BO5" i="3"/>
  <c r="BN2" i="3"/>
  <c r="BO4" i="3"/>
  <c r="CA69" i="3" s="1"/>
  <c r="BP13" i="3"/>
  <c r="P54" i="2"/>
  <c r="CB74" i="2" s="1"/>
  <c r="P5" i="2"/>
  <c r="Q52" i="2"/>
  <c r="Q54" i="2"/>
  <c r="CC74" i="2" s="1"/>
  <c r="P55" i="2"/>
  <c r="M53" i="3"/>
  <c r="BP12" i="3"/>
  <c r="BM12" i="3"/>
  <c r="M54" i="2"/>
  <c r="BY74" i="2" s="1"/>
  <c r="Q55" i="2"/>
  <c r="M52" i="2"/>
  <c r="M57" i="2" s="1"/>
  <c r="M55" i="2"/>
  <c r="O55" i="2"/>
  <c r="O52" i="3"/>
  <c r="N52" i="3"/>
  <c r="N53" i="2"/>
  <c r="N54" i="2"/>
  <c r="BZ74" i="2" s="1"/>
  <c r="M53" i="2"/>
  <c r="P52" i="2"/>
  <c r="Q53" i="3"/>
  <c r="P53" i="3"/>
  <c r="Q52" i="3"/>
  <c r="Q55" i="3"/>
  <c r="BN33" i="3"/>
  <c r="BP55" i="28"/>
  <c r="BP52" i="28"/>
  <c r="BQ55" i="28"/>
  <c r="BN54" i="28"/>
  <c r="BZ77" i="28" s="1"/>
  <c r="BP4" i="2"/>
  <c r="CB69" i="2" s="1"/>
  <c r="P54" i="3"/>
  <c r="CB74" i="3" s="1"/>
  <c r="P55" i="3"/>
  <c r="BM34" i="3"/>
  <c r="BY75" i="3" s="1"/>
  <c r="BM54" i="28"/>
  <c r="BY77" i="28" s="1"/>
  <c r="BM32" i="3"/>
  <c r="BN55" i="28"/>
  <c r="P52" i="3"/>
  <c r="Q54" i="3"/>
  <c r="CC74" i="3" s="1"/>
  <c r="M52" i="3"/>
  <c r="M54" i="3"/>
  <c r="BY74" i="3" s="1"/>
  <c r="M55" i="3"/>
  <c r="N55" i="3"/>
  <c r="O53" i="3"/>
  <c r="BM52" i="2"/>
  <c r="BQ13" i="2"/>
  <c r="CD67" i="2"/>
  <c r="Q35" i="2"/>
  <c r="BQ2" i="2"/>
  <c r="BP3" i="2"/>
  <c r="BN3" i="2"/>
  <c r="BO3" i="2"/>
  <c r="BN2" i="2"/>
  <c r="BQ3" i="2"/>
  <c r="BO2" i="2"/>
  <c r="BM2" i="2"/>
  <c r="BM3" i="2"/>
  <c r="BP2" i="2"/>
  <c r="Q15" i="28"/>
  <c r="O15" i="28"/>
  <c r="N15" i="28"/>
  <c r="O14" i="28"/>
  <c r="CA67" i="28" s="1"/>
  <c r="BP34" i="3"/>
  <c r="CB75" i="3" s="1"/>
  <c r="BP33" i="3"/>
  <c r="BQ34" i="3"/>
  <c r="CC75" i="3" s="1"/>
  <c r="BN32" i="3"/>
  <c r="BQ32" i="3"/>
  <c r="BN4" i="2"/>
  <c r="BZ69" i="2" s="1"/>
  <c r="BP13" i="2"/>
  <c r="BO4" i="2"/>
  <c r="CA69" i="2" s="1"/>
  <c r="BO5" i="2"/>
  <c r="BQ12" i="3"/>
  <c r="M5" i="2"/>
  <c r="N14" i="28"/>
  <c r="BZ67" i="28" s="1"/>
  <c r="M19" i="2"/>
  <c r="M19" i="4" s="1"/>
  <c r="O43" i="3"/>
  <c r="BN5" i="2"/>
  <c r="BQ4" i="2"/>
  <c r="CC69" i="2" s="1"/>
  <c r="BM5" i="2"/>
  <c r="BP5" i="2"/>
  <c r="BO45" i="28"/>
  <c r="M14" i="28"/>
  <c r="BY67" i="28" s="1"/>
  <c r="BQ33" i="3"/>
  <c r="BO35" i="3"/>
  <c r="BP35" i="3"/>
  <c r="BO34" i="3"/>
  <c r="CA75" i="3" s="1"/>
  <c r="BP32" i="3"/>
  <c r="Q14" i="28"/>
  <c r="CC67" i="28" s="1"/>
  <c r="BM35" i="3"/>
  <c r="BO33" i="3"/>
  <c r="BQ35" i="3"/>
  <c r="BM33" i="3"/>
  <c r="Q43" i="3"/>
  <c r="BO53" i="2"/>
  <c r="M43" i="3"/>
  <c r="M48" i="3" s="1"/>
  <c r="W73" i="25" s="1"/>
  <c r="BQ5" i="2"/>
  <c r="BO12" i="3"/>
  <c r="BO14" i="3"/>
  <c r="CA70" i="3" s="1"/>
  <c r="BM14" i="3"/>
  <c r="BY70" i="3" s="1"/>
  <c r="BO13" i="3"/>
  <c r="BM13" i="3"/>
  <c r="Q44" i="3"/>
  <c r="CC73" i="3" s="1"/>
  <c r="O44" i="3"/>
  <c r="CA73" i="3" s="1"/>
  <c r="N44" i="3"/>
  <c r="BZ73" i="3" s="1"/>
  <c r="BQ15" i="3"/>
  <c r="BO15" i="3"/>
  <c r="BN15" i="3"/>
  <c r="BQ13" i="3"/>
  <c r="BN14" i="3"/>
  <c r="BZ70" i="3" s="1"/>
  <c r="BO14" i="2"/>
  <c r="CA70" i="2" s="1"/>
  <c r="Q5" i="2"/>
  <c r="BP14" i="3"/>
  <c r="CB70" i="3" s="1"/>
  <c r="BM15" i="3"/>
  <c r="BP15" i="3"/>
  <c r="BN13" i="3"/>
  <c r="O5" i="2"/>
  <c r="BQ53" i="2"/>
  <c r="BQ54" i="2"/>
  <c r="CC77" i="2" s="1"/>
  <c r="BN15" i="2"/>
  <c r="Q42" i="3"/>
  <c r="BN45" i="28"/>
  <c r="BN53" i="2"/>
  <c r="BQ52" i="2"/>
  <c r="BM53" i="2"/>
  <c r="M4" i="28"/>
  <c r="BY66" i="28" s="1"/>
  <c r="BP52" i="2"/>
  <c r="M15" i="28"/>
  <c r="BM42" i="28"/>
  <c r="P33" i="2"/>
  <c r="BM55" i="2"/>
  <c r="P43" i="3"/>
  <c r="M4" i="2"/>
  <c r="BY66" i="2" s="1"/>
  <c r="M3" i="2"/>
  <c r="M2" i="2"/>
  <c r="P2" i="2"/>
  <c r="O3" i="2"/>
  <c r="P4" i="2"/>
  <c r="CB66" i="2" s="1"/>
  <c r="Q3" i="2"/>
  <c r="P3" i="2"/>
  <c r="N2" i="2"/>
  <c r="N3" i="2"/>
  <c r="N4" i="2"/>
  <c r="Q4" i="2"/>
  <c r="CC66" i="2" s="1"/>
  <c r="O4" i="2"/>
  <c r="CA66" i="2" s="1"/>
  <c r="Q2" i="2"/>
  <c r="O2" i="2"/>
  <c r="BM43" i="28"/>
  <c r="BP43" i="28"/>
  <c r="BQ43" i="28"/>
  <c r="BN43" i="28"/>
  <c r="BO43" i="28"/>
  <c r="BO13" i="2"/>
  <c r="Q5" i="28"/>
  <c r="BM13" i="2"/>
  <c r="BM44" i="28"/>
  <c r="BY76" i="28" s="1"/>
  <c r="BQ42" i="28"/>
  <c r="BN44" i="28"/>
  <c r="BP42" i="28"/>
  <c r="BQ53" i="28"/>
  <c r="BN53" i="28"/>
  <c r="BN52" i="28"/>
  <c r="BM53" i="28"/>
  <c r="BO53" i="28"/>
  <c r="BP54" i="28"/>
  <c r="CB77" i="28" s="1"/>
  <c r="BP53" i="28"/>
  <c r="BP44" i="28"/>
  <c r="CB76" i="28" s="1"/>
  <c r="BP45" i="28"/>
  <c r="BQ44" i="28"/>
  <c r="CC76" i="28" s="1"/>
  <c r="BN42" i="28"/>
  <c r="BM14" i="2"/>
  <c r="BY70" i="2" s="1"/>
  <c r="BN14" i="2"/>
  <c r="BZ70" i="2" s="1"/>
  <c r="O42" i="3"/>
  <c r="BQ55" i="2"/>
  <c r="BQ45" i="28"/>
  <c r="BM45" i="28"/>
  <c r="BO44" i="28"/>
  <c r="CA76" i="28" s="1"/>
  <c r="BO42" i="28"/>
  <c r="D64" i="2"/>
  <c r="M27" i="4"/>
  <c r="O12" i="28"/>
  <c r="P15" i="28"/>
  <c r="N4" i="28"/>
  <c r="BZ66" i="28" s="1"/>
  <c r="O3" i="28"/>
  <c r="M42" i="3"/>
  <c r="M28" i="4"/>
  <c r="P2" i="28"/>
  <c r="O2" i="28"/>
  <c r="BP55" i="2"/>
  <c r="BP14" i="2"/>
  <c r="CB70" i="2" s="1"/>
  <c r="M45" i="3"/>
  <c r="N5" i="28"/>
  <c r="BM12" i="2"/>
  <c r="BN12" i="2"/>
  <c r="BO12" i="2"/>
  <c r="BP12" i="2"/>
  <c r="BQ12" i="2"/>
  <c r="Q2" i="28"/>
  <c r="Q3" i="28"/>
  <c r="N3" i="28"/>
  <c r="M8" i="28" s="1"/>
  <c r="N45" i="3"/>
  <c r="F63" i="2"/>
  <c r="N2" i="28"/>
  <c r="O5" i="28"/>
  <c r="Q45" i="3"/>
  <c r="BO55" i="2"/>
  <c r="Q4" i="28"/>
  <c r="CC66" i="28" s="1"/>
  <c r="P4" i="28"/>
  <c r="CB66" i="28" s="1"/>
  <c r="O4" i="28"/>
  <c r="CA66" i="28" s="1"/>
  <c r="P45" i="3"/>
  <c r="M2" i="28"/>
  <c r="BN54" i="2"/>
  <c r="P5" i="28"/>
  <c r="M33" i="2"/>
  <c r="M35" i="2"/>
  <c r="BQ14" i="2"/>
  <c r="CC70" i="2" s="1"/>
  <c r="O45" i="3"/>
  <c r="N12" i="28"/>
  <c r="M44" i="3"/>
  <c r="BY73" i="3" s="1"/>
  <c r="P44" i="3"/>
  <c r="CB73" i="3" s="1"/>
  <c r="BN52" i="2"/>
  <c r="BM54" i="2"/>
  <c r="BY77" i="2" s="1"/>
  <c r="BN55" i="2"/>
  <c r="BP54" i="2"/>
  <c r="CB77" i="2" s="1"/>
  <c r="BP53" i="2"/>
  <c r="BO54" i="2"/>
  <c r="CA77" i="2" s="1"/>
  <c r="O33" i="2"/>
  <c r="O32" i="2"/>
  <c r="N32" i="2"/>
  <c r="O34" i="2"/>
  <c r="CA72" i="2" s="1"/>
  <c r="O35" i="2"/>
  <c r="P34" i="2"/>
  <c r="CB72" i="2" s="1"/>
  <c r="Q33" i="2"/>
  <c r="P35" i="2"/>
  <c r="Q34" i="2"/>
  <c r="CC72" i="2" s="1"/>
  <c r="Q32" i="2"/>
  <c r="P32" i="2"/>
  <c r="N34" i="2"/>
  <c r="M34" i="2"/>
  <c r="BY72" i="2" s="1"/>
  <c r="M32" i="2"/>
  <c r="N35" i="2"/>
  <c r="N42" i="3"/>
  <c r="N33" i="2"/>
  <c r="BP15" i="2"/>
  <c r="BM15" i="2"/>
  <c r="BO15" i="2"/>
  <c r="BN13" i="2"/>
  <c r="BQ15" i="2"/>
  <c r="Q12" i="28"/>
  <c r="M12" i="28"/>
  <c r="P12" i="28"/>
  <c r="BA84" i="2"/>
  <c r="BA84" i="3"/>
  <c r="BB83" i="3"/>
  <c r="BC83" i="3"/>
  <c r="C89" i="36"/>
  <c r="C172" i="25"/>
  <c r="C89" i="5"/>
  <c r="C89" i="34"/>
  <c r="B89" i="36"/>
  <c r="B89" i="34"/>
  <c r="B172" i="25"/>
  <c r="B89" i="5"/>
  <c r="BA82" i="36"/>
  <c r="A176" i="25"/>
  <c r="BA82" i="34"/>
  <c r="BA82" i="5"/>
  <c r="BM18" i="28"/>
  <c r="BZ70" i="28"/>
  <c r="CD70" i="28" s="1"/>
  <c r="BM19" i="28"/>
  <c r="BM57" i="2" l="1"/>
  <c r="BM57" i="4" s="1"/>
  <c r="M48" i="28"/>
  <c r="F77" i="28" s="1"/>
  <c r="AH151" i="25" s="1"/>
  <c r="M8" i="2"/>
  <c r="D63" i="2" s="1"/>
  <c r="M17" i="4"/>
  <c r="BM57" i="3"/>
  <c r="CD73" i="2"/>
  <c r="CD67" i="3"/>
  <c r="M37" i="3"/>
  <c r="BM28" i="28"/>
  <c r="F64" i="28" s="1"/>
  <c r="AH125" i="25" s="1"/>
  <c r="BM29" i="3"/>
  <c r="W60" i="25" s="1"/>
  <c r="M47" i="2"/>
  <c r="F72" i="25" s="1"/>
  <c r="M48" i="2"/>
  <c r="F77" i="2" s="1"/>
  <c r="F77" i="4" s="1"/>
  <c r="AM151" i="25" s="1"/>
  <c r="M18" i="28"/>
  <c r="F63" i="28" s="1"/>
  <c r="M37" i="2"/>
  <c r="F62" i="25" s="1"/>
  <c r="BM58" i="2"/>
  <c r="F113" i="25" s="1"/>
  <c r="M58" i="2"/>
  <c r="M58" i="4" s="1"/>
  <c r="BM48" i="2"/>
  <c r="BA84" i="4"/>
  <c r="BB84" i="2"/>
  <c r="BB84" i="4" s="1"/>
  <c r="BC84" i="2"/>
  <c r="BC84" i="4" s="1"/>
  <c r="BB94" i="28"/>
  <c r="BC94" i="28"/>
  <c r="A94" i="28"/>
  <c r="M38" i="2"/>
  <c r="F76" i="2" s="1"/>
  <c r="F76" i="4" s="1"/>
  <c r="M57" i="4"/>
  <c r="F82" i="25"/>
  <c r="D68" i="2"/>
  <c r="D68" i="4" s="1"/>
  <c r="AL133" i="25" s="1"/>
  <c r="AX63" i="5"/>
  <c r="AX63" i="36"/>
  <c r="AX63" i="34"/>
  <c r="BM7" i="2"/>
  <c r="D72" i="2" s="1"/>
  <c r="BM27" i="2"/>
  <c r="F52" i="25" s="1"/>
  <c r="BM47" i="2"/>
  <c r="F102" i="25" s="1"/>
  <c r="BM18" i="2"/>
  <c r="F43" i="25" s="1"/>
  <c r="D64" i="4"/>
  <c r="M7" i="2"/>
  <c r="M7" i="4" s="1"/>
  <c r="BM29" i="2"/>
  <c r="F60" i="25" s="1"/>
  <c r="BM28" i="2"/>
  <c r="F64" i="2" s="1"/>
  <c r="M64" i="2" s="1"/>
  <c r="D84" i="2" s="1"/>
  <c r="BM17" i="2"/>
  <c r="F42" i="25" s="1"/>
  <c r="BM8" i="2"/>
  <c r="D76" i="2" s="1"/>
  <c r="BM38" i="2"/>
  <c r="F73" i="2" s="1"/>
  <c r="BM37" i="2"/>
  <c r="D77" i="2" s="1"/>
  <c r="D152" i="25" s="1"/>
  <c r="BM48" i="3"/>
  <c r="D74" i="3" s="1"/>
  <c r="BM28" i="3"/>
  <c r="W53" i="25" s="1"/>
  <c r="BM27" i="3"/>
  <c r="W52" i="25" s="1"/>
  <c r="BM39" i="28"/>
  <c r="AG100" i="25" s="1"/>
  <c r="BM37" i="28"/>
  <c r="AG92" i="25" s="1"/>
  <c r="BM8" i="28"/>
  <c r="AG33" i="25" s="1"/>
  <c r="BZ76" i="2"/>
  <c r="CD76" i="2" s="1"/>
  <c r="M38" i="3"/>
  <c r="F76" i="3" s="1"/>
  <c r="X149" i="25" s="1"/>
  <c r="CD75" i="28"/>
  <c r="CD77" i="3"/>
  <c r="BM59" i="3"/>
  <c r="W120" i="25" s="1"/>
  <c r="M18" i="3"/>
  <c r="F63" i="3" s="1"/>
  <c r="X123" i="25" s="1"/>
  <c r="M39" i="3"/>
  <c r="W70" i="25" s="1"/>
  <c r="M9" i="3"/>
  <c r="W10" i="25" s="1"/>
  <c r="CD71" i="3"/>
  <c r="CD74" i="3"/>
  <c r="M7" i="3"/>
  <c r="W2" i="25" s="1"/>
  <c r="BM17" i="3"/>
  <c r="D65" i="3" s="1"/>
  <c r="M57" i="28"/>
  <c r="D68" i="28" s="1"/>
  <c r="AG133" i="25" s="1"/>
  <c r="BM7" i="28"/>
  <c r="AG32" i="25" s="1"/>
  <c r="CD69" i="28"/>
  <c r="BM58" i="3"/>
  <c r="F74" i="3" s="1"/>
  <c r="X145" i="25" s="1"/>
  <c r="CD72" i="3"/>
  <c r="M28" i="28"/>
  <c r="AG23" i="25" s="1"/>
  <c r="M8" i="3"/>
  <c r="W3" i="25" s="1"/>
  <c r="BM47" i="3"/>
  <c r="W102" i="25" s="1"/>
  <c r="AG73" i="25"/>
  <c r="CD68" i="3"/>
  <c r="CD66" i="3"/>
  <c r="M39" i="28"/>
  <c r="AG70" i="25" s="1"/>
  <c r="BM57" i="28"/>
  <c r="AG112" i="25" s="1"/>
  <c r="BM9" i="28"/>
  <c r="AG40" i="25" s="1"/>
  <c r="BZ72" i="28"/>
  <c r="CD72" i="28" s="1"/>
  <c r="M49" i="2"/>
  <c r="F80" i="25" s="1"/>
  <c r="CD71" i="28"/>
  <c r="M29" i="3"/>
  <c r="W30" i="25" s="1"/>
  <c r="M19" i="3"/>
  <c r="W20" i="25" s="1"/>
  <c r="BM39" i="2"/>
  <c r="BM39" i="4" s="1"/>
  <c r="BM49" i="3"/>
  <c r="BZ71" i="2"/>
  <c r="CD71" i="2" s="1"/>
  <c r="BM27" i="28"/>
  <c r="D66" i="28" s="1"/>
  <c r="M47" i="28"/>
  <c r="D65" i="28"/>
  <c r="AG50" i="25"/>
  <c r="M47" i="3"/>
  <c r="W72" i="25" s="1"/>
  <c r="CD68" i="28"/>
  <c r="BM9" i="3"/>
  <c r="CD73" i="28"/>
  <c r="M57" i="3"/>
  <c r="W82" i="25" s="1"/>
  <c r="BZ69" i="3"/>
  <c r="CD69" i="3" s="1"/>
  <c r="M17" i="3"/>
  <c r="D75" i="3" s="1"/>
  <c r="CD75" i="2"/>
  <c r="CD76" i="3"/>
  <c r="BM29" i="28"/>
  <c r="CD74" i="2"/>
  <c r="M27" i="3"/>
  <c r="W22" i="25" s="1"/>
  <c r="F32" i="25"/>
  <c r="AG53" i="25"/>
  <c r="D66" i="2"/>
  <c r="M66" i="2" s="1"/>
  <c r="M49" i="28"/>
  <c r="AG80" i="25" s="1"/>
  <c r="BM7" i="4"/>
  <c r="M29" i="28"/>
  <c r="AG30" i="25" s="1"/>
  <c r="BM39" i="3"/>
  <c r="F67" i="2"/>
  <c r="F67" i="4" s="1"/>
  <c r="BM59" i="28"/>
  <c r="CD77" i="28"/>
  <c r="BM8" i="3"/>
  <c r="M28" i="3"/>
  <c r="F66" i="3" s="1"/>
  <c r="X129" i="25" s="1"/>
  <c r="AG42" i="25"/>
  <c r="BM7" i="3"/>
  <c r="M59" i="28"/>
  <c r="AG90" i="25" s="1"/>
  <c r="BM18" i="3"/>
  <c r="D67" i="3" s="1"/>
  <c r="CD70" i="3"/>
  <c r="M58" i="3"/>
  <c r="F67" i="3" s="1"/>
  <c r="X131" i="25" s="1"/>
  <c r="BZ74" i="28"/>
  <c r="CD74" i="28" s="1"/>
  <c r="BM38" i="3"/>
  <c r="F73" i="3" s="1"/>
  <c r="X143" i="25" s="1"/>
  <c r="M8" i="4"/>
  <c r="M59" i="2"/>
  <c r="CD75" i="3"/>
  <c r="BM8" i="4"/>
  <c r="BM37" i="3"/>
  <c r="CD69" i="2"/>
  <c r="M59" i="3"/>
  <c r="W90" i="25" s="1"/>
  <c r="BM9" i="2"/>
  <c r="BM48" i="28"/>
  <c r="AG103" i="25" s="1"/>
  <c r="CD67" i="28"/>
  <c r="CD66" i="28"/>
  <c r="BM19" i="3"/>
  <c r="M9" i="28"/>
  <c r="AG10" i="25" s="1"/>
  <c r="F77" i="3"/>
  <c r="X151" i="25" s="1"/>
  <c r="M19" i="28"/>
  <c r="AG20" i="25" s="1"/>
  <c r="D63" i="4"/>
  <c r="CD73" i="3"/>
  <c r="BM47" i="28"/>
  <c r="BM58" i="28"/>
  <c r="M17" i="28"/>
  <c r="AG12" i="25" s="1"/>
  <c r="BZ66" i="2"/>
  <c r="CD66" i="2" s="1"/>
  <c r="M9" i="2"/>
  <c r="M9" i="4" s="1"/>
  <c r="AG83" i="25"/>
  <c r="BM19" i="2"/>
  <c r="BZ76" i="28"/>
  <c r="CD76" i="28" s="1"/>
  <c r="BM49" i="28"/>
  <c r="F112" i="25"/>
  <c r="AG62" i="25"/>
  <c r="CD70" i="2"/>
  <c r="W112" i="25"/>
  <c r="D70" i="3"/>
  <c r="D70" i="2"/>
  <c r="D71" i="3"/>
  <c r="W62" i="25"/>
  <c r="D76" i="4"/>
  <c r="M63" i="2"/>
  <c r="F63" i="4"/>
  <c r="F66" i="4"/>
  <c r="D75" i="4"/>
  <c r="BM59" i="2"/>
  <c r="BZ77" i="2"/>
  <c r="CD77" i="2" s="1"/>
  <c r="M7" i="28"/>
  <c r="D72" i="4"/>
  <c r="AL141" i="25" s="1"/>
  <c r="M49" i="3"/>
  <c r="M39" i="2"/>
  <c r="BZ72" i="2"/>
  <c r="CD72" i="2" s="1"/>
  <c r="BA85" i="2"/>
  <c r="F67" i="28"/>
  <c r="AH131" i="25" s="1"/>
  <c r="F83" i="25"/>
  <c r="F12" i="25"/>
  <c r="D63" i="28"/>
  <c r="AG3" i="25"/>
  <c r="BA83" i="36"/>
  <c r="BA83" i="34"/>
  <c r="BA83" i="5"/>
  <c r="A178" i="25"/>
  <c r="W145" i="25"/>
  <c r="BC82" i="36"/>
  <c r="BC82" i="34"/>
  <c r="BC82" i="5"/>
  <c r="C176" i="25"/>
  <c r="BA85" i="3"/>
  <c r="BB84" i="3"/>
  <c r="BC84" i="3"/>
  <c r="BB82" i="36"/>
  <c r="BB82" i="34"/>
  <c r="BB82" i="5"/>
  <c r="B176" i="25"/>
  <c r="F3" i="25"/>
  <c r="F23" i="25"/>
  <c r="F103" i="25"/>
  <c r="F22" i="25"/>
  <c r="F20" i="25"/>
  <c r="F13" i="25"/>
  <c r="F110" i="25"/>
  <c r="D142" i="25"/>
  <c r="AG43" i="25"/>
  <c r="D67" i="28"/>
  <c r="AG93" i="25"/>
  <c r="F73" i="28"/>
  <c r="AH143" i="25" s="1"/>
  <c r="D150" i="25"/>
  <c r="M71" i="28"/>
  <c r="F87" i="28" s="1"/>
  <c r="AH167" i="25" s="1"/>
  <c r="AG139" i="25"/>
  <c r="F76" i="28"/>
  <c r="AH149" i="25" s="1"/>
  <c r="AG63" i="25"/>
  <c r="F30" i="25"/>
  <c r="AG22" i="25"/>
  <c r="D64" i="28"/>
  <c r="M77" i="2" l="1"/>
  <c r="F73" i="25"/>
  <c r="M48" i="4"/>
  <c r="F152" i="25"/>
  <c r="F63" i="25"/>
  <c r="M38" i="4"/>
  <c r="BM29" i="4"/>
  <c r="M37" i="4"/>
  <c r="AG13" i="25"/>
  <c r="D71" i="2"/>
  <c r="F74" i="2"/>
  <c r="F74" i="4" s="1"/>
  <c r="AM145" i="25" s="1"/>
  <c r="BM58" i="4"/>
  <c r="D65" i="2"/>
  <c r="D65" i="4" s="1"/>
  <c r="BM17" i="4"/>
  <c r="D73" i="2"/>
  <c r="M73" i="2" s="1"/>
  <c r="M47" i="4"/>
  <c r="F33" i="25"/>
  <c r="BM27" i="4"/>
  <c r="BA85" i="4"/>
  <c r="BB85" i="2"/>
  <c r="BB85" i="4" s="1"/>
  <c r="BC85" i="2"/>
  <c r="BC85" i="4" s="1"/>
  <c r="B94" i="28"/>
  <c r="C94" i="28"/>
  <c r="BM48" i="4"/>
  <c r="D74" i="2"/>
  <c r="F64" i="4"/>
  <c r="AM125" i="25" s="1"/>
  <c r="BM38" i="4"/>
  <c r="D66" i="3"/>
  <c r="AX66" i="3" s="1"/>
  <c r="D134" i="25"/>
  <c r="F93" i="25"/>
  <c r="BM28" i="4"/>
  <c r="F53" i="25"/>
  <c r="M64" i="4"/>
  <c r="BM18" i="4"/>
  <c r="AX64" i="28"/>
  <c r="D67" i="2"/>
  <c r="D132" i="25" s="1"/>
  <c r="F126" i="25"/>
  <c r="AX64" i="5"/>
  <c r="D69" i="2"/>
  <c r="D69" i="4" s="1"/>
  <c r="W103" i="25"/>
  <c r="F2" i="25"/>
  <c r="W147" i="25"/>
  <c r="F73" i="4"/>
  <c r="AM143" i="25" s="1"/>
  <c r="AX64" i="34"/>
  <c r="AX63" i="28"/>
  <c r="W137" i="25"/>
  <c r="M65" i="28"/>
  <c r="D82" i="28" s="1"/>
  <c r="M82" i="28" s="1"/>
  <c r="BD82" i="28" s="1"/>
  <c r="D77" i="4"/>
  <c r="AX77" i="4" s="1"/>
  <c r="AX77" i="36"/>
  <c r="AX77" i="5"/>
  <c r="AX77" i="34"/>
  <c r="AG127" i="25"/>
  <c r="W139" i="25"/>
  <c r="W131" i="25"/>
  <c r="BM37" i="4"/>
  <c r="M68" i="28"/>
  <c r="F82" i="28" s="1"/>
  <c r="AH157" i="25" s="1"/>
  <c r="D78" i="2"/>
  <c r="AX76" i="36"/>
  <c r="AX76" i="34"/>
  <c r="AX76" i="5"/>
  <c r="AX64" i="4"/>
  <c r="M76" i="2"/>
  <c r="M76" i="4" s="1"/>
  <c r="AX76" i="4"/>
  <c r="AX63" i="4"/>
  <c r="D66" i="4"/>
  <c r="AX66" i="5"/>
  <c r="AX66" i="36"/>
  <c r="AX66" i="34"/>
  <c r="M66" i="28"/>
  <c r="F83" i="28" s="1"/>
  <c r="AH159" i="25" s="1"/>
  <c r="AG129" i="25"/>
  <c r="F92" i="25"/>
  <c r="W127" i="25"/>
  <c r="BM47" i="4"/>
  <c r="AX64" i="36"/>
  <c r="F64" i="3"/>
  <c r="X125" i="25" s="1"/>
  <c r="D70" i="28"/>
  <c r="D76" i="28"/>
  <c r="AG149" i="25" s="1"/>
  <c r="D69" i="3"/>
  <c r="D77" i="28"/>
  <c r="W63" i="25"/>
  <c r="F66" i="28"/>
  <c r="AX66" i="28" s="1"/>
  <c r="W13" i="25"/>
  <c r="D72" i="28"/>
  <c r="W42" i="25"/>
  <c r="W113" i="25"/>
  <c r="M49" i="4"/>
  <c r="D78" i="3"/>
  <c r="AG82" i="25"/>
  <c r="D63" i="3"/>
  <c r="M63" i="3" s="1"/>
  <c r="D83" i="3" s="1"/>
  <c r="W159" i="25" s="1"/>
  <c r="D68" i="3"/>
  <c r="M74" i="3"/>
  <c r="D86" i="3" s="1"/>
  <c r="AG52" i="25"/>
  <c r="F144" i="25"/>
  <c r="W12" i="25"/>
  <c r="W93" i="25"/>
  <c r="W43" i="25"/>
  <c r="W110" i="25"/>
  <c r="D73" i="3"/>
  <c r="M73" i="3" s="1"/>
  <c r="F86" i="3" s="1"/>
  <c r="X165" i="25" s="1"/>
  <c r="W92" i="25"/>
  <c r="W40" i="25"/>
  <c r="W50" i="25"/>
  <c r="F100" i="25"/>
  <c r="D72" i="3"/>
  <c r="D76" i="3"/>
  <c r="W100" i="25"/>
  <c r="AG72" i="25"/>
  <c r="D73" i="28"/>
  <c r="F74" i="28"/>
  <c r="AH145" i="25" s="1"/>
  <c r="AG60" i="25"/>
  <c r="AG110" i="25"/>
  <c r="D74" i="28"/>
  <c r="AG120" i="25"/>
  <c r="BX70" i="3"/>
  <c r="W23" i="25"/>
  <c r="D64" i="3"/>
  <c r="D130" i="25"/>
  <c r="W33" i="25"/>
  <c r="W32" i="25"/>
  <c r="F10" i="25"/>
  <c r="BX70" i="28"/>
  <c r="W83" i="25"/>
  <c r="BX71" i="3"/>
  <c r="BX71" i="28"/>
  <c r="BX69" i="3"/>
  <c r="D75" i="28"/>
  <c r="M59" i="4"/>
  <c r="F90" i="25"/>
  <c r="BX76" i="28"/>
  <c r="BX76" i="3"/>
  <c r="D77" i="3"/>
  <c r="BM9" i="4"/>
  <c r="F40" i="25"/>
  <c r="AG113" i="25"/>
  <c r="BX66" i="28"/>
  <c r="BM66" i="28" s="1"/>
  <c r="BX75" i="28"/>
  <c r="W80" i="25"/>
  <c r="BX72" i="28"/>
  <c r="BX68" i="28"/>
  <c r="BX69" i="28"/>
  <c r="BX74" i="28"/>
  <c r="BX77" i="28"/>
  <c r="BX73" i="28"/>
  <c r="BX67" i="28"/>
  <c r="M67" i="3"/>
  <c r="F84" i="3" s="1"/>
  <c r="X161" i="25" s="1"/>
  <c r="BX77" i="3"/>
  <c r="BX66" i="3"/>
  <c r="BX73" i="3"/>
  <c r="BX68" i="3"/>
  <c r="BX74" i="3"/>
  <c r="BX67" i="3"/>
  <c r="BX72" i="3"/>
  <c r="AG102" i="25"/>
  <c r="D78" i="28"/>
  <c r="BX75" i="3"/>
  <c r="M70" i="28"/>
  <c r="F85" i="28" s="1"/>
  <c r="AH163" i="25" s="1"/>
  <c r="BM19" i="4"/>
  <c r="F50" i="25"/>
  <c r="BM59" i="4"/>
  <c r="F120" i="25"/>
  <c r="F83" i="2"/>
  <c r="M66" i="4"/>
  <c r="D69" i="28"/>
  <c r="AG2" i="25"/>
  <c r="F70" i="25"/>
  <c r="M39" i="4"/>
  <c r="D88" i="2"/>
  <c r="M77" i="4"/>
  <c r="D71" i="4"/>
  <c r="AL139" i="25" s="1"/>
  <c r="D84" i="4"/>
  <c r="D83" i="2"/>
  <c r="M63" i="4"/>
  <c r="D70" i="4"/>
  <c r="D138" i="25"/>
  <c r="BX75" i="2"/>
  <c r="BX76" i="2"/>
  <c r="BX73" i="2"/>
  <c r="BX74" i="2"/>
  <c r="BX67" i="2"/>
  <c r="BX66" i="2"/>
  <c r="BX71" i="2"/>
  <c r="BX77" i="2"/>
  <c r="BX70" i="2"/>
  <c r="BX69" i="2"/>
  <c r="BX68" i="2"/>
  <c r="BX72" i="2"/>
  <c r="BA89" i="2"/>
  <c r="F150" i="25"/>
  <c r="AD149" i="25" s="1"/>
  <c r="AM149" i="25"/>
  <c r="AG123" i="25"/>
  <c r="M63" i="28"/>
  <c r="D83" i="28" s="1"/>
  <c r="D148" i="25"/>
  <c r="AL147" i="25"/>
  <c r="AM131" i="25"/>
  <c r="F132" i="25"/>
  <c r="D140" i="25"/>
  <c r="BC85" i="3"/>
  <c r="BB85" i="3"/>
  <c r="BA89" i="3"/>
  <c r="BA84" i="36"/>
  <c r="A180" i="25"/>
  <c r="BA84" i="34"/>
  <c r="BA84" i="5"/>
  <c r="BC83" i="36"/>
  <c r="BC83" i="34"/>
  <c r="BC83" i="5"/>
  <c r="C178" i="25"/>
  <c r="F130" i="25"/>
  <c r="AL123" i="25"/>
  <c r="D124" i="25"/>
  <c r="BB83" i="36"/>
  <c r="B178" i="25"/>
  <c r="BB83" i="5"/>
  <c r="BB83" i="34"/>
  <c r="T151" i="25"/>
  <c r="AD151" i="25"/>
  <c r="O151" i="25"/>
  <c r="AL149" i="25"/>
  <c r="M67" i="28"/>
  <c r="F84" i="28" s="1"/>
  <c r="AH161" i="25" s="1"/>
  <c r="AG131" i="25"/>
  <c r="F124" i="25"/>
  <c r="D126" i="25"/>
  <c r="AH123" i="25"/>
  <c r="AG125" i="25"/>
  <c r="M64" i="28"/>
  <c r="D84" i="28" s="1"/>
  <c r="AX74" i="34" l="1"/>
  <c r="D146" i="25"/>
  <c r="F146" i="25"/>
  <c r="AX74" i="5"/>
  <c r="D128" i="25"/>
  <c r="M67" i="2"/>
  <c r="AX73" i="36"/>
  <c r="AX73" i="5"/>
  <c r="AX73" i="34"/>
  <c r="F88" i="2"/>
  <c r="F88" i="4" s="1"/>
  <c r="AX67" i="3"/>
  <c r="AX74" i="36"/>
  <c r="AX74" i="3"/>
  <c r="M66" i="3"/>
  <c r="F83" i="3" s="1"/>
  <c r="X159" i="25" s="1"/>
  <c r="W129" i="25"/>
  <c r="AX67" i="36"/>
  <c r="AX67" i="5"/>
  <c r="AX67" i="34"/>
  <c r="AI149" i="25"/>
  <c r="O152" i="25"/>
  <c r="T152" i="25"/>
  <c r="AX67" i="28"/>
  <c r="AD150" i="25"/>
  <c r="D73" i="4"/>
  <c r="AL143" i="25" s="1"/>
  <c r="D144" i="25"/>
  <c r="AD143" i="25" s="1"/>
  <c r="O149" i="25"/>
  <c r="O150" i="25" s="1"/>
  <c r="D74" i="4"/>
  <c r="AX74" i="4" s="1"/>
  <c r="M74" i="2"/>
  <c r="BA89" i="4"/>
  <c r="BB89" i="2"/>
  <c r="BB89" i="4" s="1"/>
  <c r="BC89" i="2"/>
  <c r="BC89" i="4" s="1"/>
  <c r="AL151" i="25"/>
  <c r="AN151" i="25" s="1"/>
  <c r="D136" i="25"/>
  <c r="D67" i="4"/>
  <c r="T149" i="25"/>
  <c r="T150" i="25" s="1"/>
  <c r="Y129" i="25"/>
  <c r="Y130" i="25" s="1"/>
  <c r="AH129" i="25"/>
  <c r="AI129" i="25" s="1"/>
  <c r="AI130" i="25" s="1"/>
  <c r="AN149" i="25"/>
  <c r="AG157" i="25"/>
  <c r="AI125" i="25"/>
  <c r="AI126" i="25" s="1"/>
  <c r="Y131" i="25"/>
  <c r="AX83" i="28"/>
  <c r="AL127" i="25"/>
  <c r="M74" i="28"/>
  <c r="D86" i="28" s="1"/>
  <c r="AX74" i="28"/>
  <c r="AG145" i="25"/>
  <c r="AI145" i="25" s="1"/>
  <c r="W141" i="25"/>
  <c r="M72" i="28"/>
  <c r="D87" i="28" s="1"/>
  <c r="AG141" i="25"/>
  <c r="AX73" i="3"/>
  <c r="W143" i="25"/>
  <c r="W133" i="25"/>
  <c r="W135" i="25"/>
  <c r="AX66" i="4"/>
  <c r="AL129" i="25"/>
  <c r="AX88" i="34"/>
  <c r="AX88" i="5"/>
  <c r="AX88" i="36"/>
  <c r="M73" i="28"/>
  <c r="F86" i="28" s="1"/>
  <c r="AH165" i="25" s="1"/>
  <c r="AX73" i="28"/>
  <c r="AG143" i="25"/>
  <c r="W153" i="25"/>
  <c r="AI131" i="25"/>
  <c r="D83" i="4"/>
  <c r="AX83" i="34"/>
  <c r="AX83" i="36"/>
  <c r="AX83" i="5"/>
  <c r="AG135" i="25"/>
  <c r="M78" i="28"/>
  <c r="F89" i="28" s="1"/>
  <c r="AH171" i="25" s="1"/>
  <c r="AG153" i="25"/>
  <c r="M77" i="3"/>
  <c r="D88" i="3" s="1"/>
  <c r="AX77" i="3"/>
  <c r="W151" i="25"/>
  <c r="Y151" i="25" s="1"/>
  <c r="AX63" i="3"/>
  <c r="W123" i="25"/>
  <c r="Y123" i="25" s="1"/>
  <c r="M76" i="28"/>
  <c r="F88" i="28" s="1"/>
  <c r="AH169" i="25" s="1"/>
  <c r="AX76" i="28"/>
  <c r="AI150" i="25" s="1"/>
  <c r="AL135" i="25"/>
  <c r="W165" i="25"/>
  <c r="M77" i="28"/>
  <c r="D88" i="28" s="1"/>
  <c r="AX77" i="28"/>
  <c r="AG151" i="25"/>
  <c r="AI151" i="25" s="1"/>
  <c r="AD152" i="25"/>
  <c r="AL137" i="25"/>
  <c r="M75" i="28"/>
  <c r="D89" i="28" s="1"/>
  <c r="AG147" i="25"/>
  <c r="AX64" i="3"/>
  <c r="W125" i="25"/>
  <c r="Y125" i="25" s="1"/>
  <c r="M76" i="3"/>
  <c r="F88" i="3" s="1"/>
  <c r="X169" i="25" s="1"/>
  <c r="AX76" i="3"/>
  <c r="W149" i="25"/>
  <c r="Y149" i="25" s="1"/>
  <c r="AG137" i="25"/>
  <c r="D78" i="4"/>
  <c r="D154" i="25"/>
  <c r="M73" i="4"/>
  <c r="F86" i="2"/>
  <c r="M64" i="3"/>
  <c r="D84" i="3" s="1"/>
  <c r="W161" i="25" s="1"/>
  <c r="M86" i="3"/>
  <c r="BD83" i="3" s="1"/>
  <c r="BS66" i="3"/>
  <c r="BK66" i="3" s="1"/>
  <c r="BL66" i="3" s="1"/>
  <c r="BO74" i="28"/>
  <c r="BM76" i="3"/>
  <c r="BM68" i="28"/>
  <c r="BQ67" i="28"/>
  <c r="BN69" i="3"/>
  <c r="BQ76" i="28"/>
  <c r="BN71" i="3"/>
  <c r="BM69" i="28"/>
  <c r="BO67" i="28"/>
  <c r="BN66" i="28"/>
  <c r="BN75" i="28"/>
  <c r="BS76" i="3"/>
  <c r="BK76" i="3" s="1"/>
  <c r="BL76" i="3" s="1"/>
  <c r="BO73" i="3"/>
  <c r="BO71" i="28"/>
  <c r="BS69" i="28"/>
  <c r="BK69" i="28" s="1"/>
  <c r="BL69" i="28" s="1"/>
  <c r="BO68" i="28"/>
  <c r="BS68" i="28"/>
  <c r="BR68" i="28" s="1"/>
  <c r="BQ76" i="3"/>
  <c r="BQ67" i="3"/>
  <c r="BP76" i="3"/>
  <c r="BS74" i="28"/>
  <c r="BR74" i="28" s="1"/>
  <c r="BM73" i="28"/>
  <c r="BN77" i="28"/>
  <c r="BQ66" i="3"/>
  <c r="BO66" i="3"/>
  <c r="BN73" i="3"/>
  <c r="AI123" i="25"/>
  <c r="AI124" i="25" s="1"/>
  <c r="BP70" i="3"/>
  <c r="BN66" i="3"/>
  <c r="BQ71" i="3"/>
  <c r="BM67" i="28"/>
  <c r="BS70" i="28"/>
  <c r="BK70" i="28" s="1"/>
  <c r="BL70" i="28" s="1"/>
  <c r="BQ73" i="28"/>
  <c r="BS67" i="28"/>
  <c r="BR67" i="28" s="1"/>
  <c r="BQ70" i="28"/>
  <c r="BQ69" i="28"/>
  <c r="BS72" i="28"/>
  <c r="BK72" i="28" s="1"/>
  <c r="BL72" i="28" s="1"/>
  <c r="BP75" i="28"/>
  <c r="BM76" i="28"/>
  <c r="BS77" i="28"/>
  <c r="BR77" i="28" s="1"/>
  <c r="BP71" i="28"/>
  <c r="BO76" i="28"/>
  <c r="BQ72" i="28"/>
  <c r="BO69" i="28"/>
  <c r="BM71" i="28"/>
  <c r="BO66" i="28"/>
  <c r="BP67" i="28"/>
  <c r="BP76" i="28"/>
  <c r="BO76" i="3"/>
  <c r="BO77" i="3"/>
  <c r="BO74" i="3"/>
  <c r="BQ77" i="3"/>
  <c r="BN76" i="3"/>
  <c r="BP72" i="3"/>
  <c r="BO67" i="3"/>
  <c r="BM72" i="3"/>
  <c r="BO75" i="3"/>
  <c r="BQ74" i="3"/>
  <c r="BS72" i="3"/>
  <c r="BR72" i="3" s="1"/>
  <c r="BP73" i="3"/>
  <c r="BS67" i="3"/>
  <c r="BR67" i="3" s="1"/>
  <c r="BM77" i="3"/>
  <c r="BP66" i="3"/>
  <c r="BO69" i="3"/>
  <c r="BN71" i="28"/>
  <c r="BO75" i="28"/>
  <c r="BP70" i="28"/>
  <c r="BP72" i="28"/>
  <c r="BP68" i="28"/>
  <c r="BQ71" i="28"/>
  <c r="BM70" i="28"/>
  <c r="BM72" i="28"/>
  <c r="BN70" i="28"/>
  <c r="BP66" i="28"/>
  <c r="BP77" i="28"/>
  <c r="BP73" i="28"/>
  <c r="BO70" i="28"/>
  <c r="BO72" i="28"/>
  <c r="BN72" i="28"/>
  <c r="BP69" i="28"/>
  <c r="BS73" i="28"/>
  <c r="BK73" i="28" s="1"/>
  <c r="BL73" i="28" s="1"/>
  <c r="BO68" i="3"/>
  <c r="BQ68" i="3"/>
  <c r="BM75" i="3"/>
  <c r="BM67" i="3"/>
  <c r="BQ72" i="3"/>
  <c r="BP71" i="3"/>
  <c r="BN67" i="3"/>
  <c r="BN74" i="3"/>
  <c r="BP67" i="3"/>
  <c r="BS75" i="3"/>
  <c r="BK75" i="3" s="1"/>
  <c r="BL75" i="3" s="1"/>
  <c r="BO71" i="3"/>
  <c r="BQ73" i="3"/>
  <c r="BQ75" i="3"/>
  <c r="BO72" i="3"/>
  <c r="BQ69" i="3"/>
  <c r="BM77" i="28"/>
  <c r="BS71" i="28"/>
  <c r="BR71" i="28" s="1"/>
  <c r="BS66" i="28"/>
  <c r="BK66" i="28" s="1"/>
  <c r="BL66" i="28" s="1"/>
  <c r="BN76" i="28"/>
  <c r="BQ68" i="28"/>
  <c r="BN74" i="28"/>
  <c r="BN68" i="28"/>
  <c r="BQ66" i="28"/>
  <c r="BQ74" i="28"/>
  <c r="BQ75" i="28"/>
  <c r="BQ77" i="28"/>
  <c r="BP74" i="28"/>
  <c r="BN69" i="28"/>
  <c r="BN67" i="28"/>
  <c r="BO73" i="28"/>
  <c r="BO77" i="28"/>
  <c r="BN73" i="28"/>
  <c r="BS68" i="3"/>
  <c r="BR68" i="3" s="1"/>
  <c r="BN77" i="3"/>
  <c r="BN72" i="3"/>
  <c r="BN68" i="3"/>
  <c r="BP77" i="3"/>
  <c r="BS77" i="3"/>
  <c r="BK77" i="3" s="1"/>
  <c r="BL77" i="3" s="1"/>
  <c r="BP74" i="3"/>
  <c r="BM68" i="3"/>
  <c r="BN75" i="3"/>
  <c r="BN70" i="3"/>
  <c r="BS71" i="3"/>
  <c r="BK71" i="3" s="1"/>
  <c r="BL71" i="3" s="1"/>
  <c r="BM66" i="3"/>
  <c r="BM71" i="3"/>
  <c r="BP75" i="3"/>
  <c r="BP68" i="3"/>
  <c r="BM75" i="28"/>
  <c r="BS75" i="28"/>
  <c r="BR75" i="28" s="1"/>
  <c r="BS76" i="28"/>
  <c r="BR76" i="28" s="1"/>
  <c r="BM70" i="3"/>
  <c r="BQ70" i="3"/>
  <c r="BM74" i="3"/>
  <c r="BS69" i="3"/>
  <c r="BK69" i="3" s="1"/>
  <c r="BL69" i="3" s="1"/>
  <c r="BP69" i="3"/>
  <c r="BM74" i="28"/>
  <c r="BM69" i="3"/>
  <c r="BM73" i="3"/>
  <c r="BS70" i="3"/>
  <c r="BK70" i="3" s="1"/>
  <c r="BL70" i="3" s="1"/>
  <c r="BS74" i="3"/>
  <c r="BR74" i="3" s="1"/>
  <c r="BS73" i="3"/>
  <c r="BR73" i="3" s="1"/>
  <c r="BO70" i="3"/>
  <c r="M69" i="28"/>
  <c r="D85" i="28" s="1"/>
  <c r="M88" i="2"/>
  <c r="D88" i="4"/>
  <c r="AX88" i="4" s="1"/>
  <c r="M83" i="2"/>
  <c r="F83" i="4"/>
  <c r="F84" i="2"/>
  <c r="AX84" i="28" s="1"/>
  <c r="M67" i="4"/>
  <c r="BO77" i="2"/>
  <c r="BQ74" i="2"/>
  <c r="BN71" i="2"/>
  <c r="BN77" i="2"/>
  <c r="BQ73" i="2"/>
  <c r="BQ69" i="2"/>
  <c r="BM77" i="2"/>
  <c r="BO73" i="2"/>
  <c r="BM71" i="2"/>
  <c r="BQ72" i="2"/>
  <c r="BQ67" i="2"/>
  <c r="BQ76" i="2"/>
  <c r="BM69" i="2"/>
  <c r="BP77" i="2"/>
  <c r="BO70" i="2"/>
  <c r="BN73" i="2"/>
  <c r="BO67" i="2"/>
  <c r="BP66" i="2"/>
  <c r="BN76" i="2"/>
  <c r="BM74" i="2"/>
  <c r="BP70" i="2"/>
  <c r="BO76" i="2"/>
  <c r="BO72" i="2"/>
  <c r="BO68" i="2"/>
  <c r="BS76" i="2"/>
  <c r="BS72" i="2"/>
  <c r="BO75" i="2"/>
  <c r="BS70" i="2"/>
  <c r="BS66" i="2"/>
  <c r="BS73" i="2"/>
  <c r="BN68" i="2"/>
  <c r="BP76" i="2"/>
  <c r="BP69" i="2"/>
  <c r="BN70" i="2"/>
  <c r="BS69" i="2"/>
  <c r="BS74" i="2"/>
  <c r="BQ75" i="2"/>
  <c r="BP73" i="2"/>
  <c r="BN69" i="2"/>
  <c r="BS75" i="2"/>
  <c r="BO71" i="2"/>
  <c r="BN67" i="2"/>
  <c r="BM76" i="2"/>
  <c r="BN72" i="2"/>
  <c r="BN74" i="2"/>
  <c r="BO69" i="2"/>
  <c r="BM66" i="2"/>
  <c r="BM72" i="2"/>
  <c r="BP67" i="2"/>
  <c r="BO74" i="2"/>
  <c r="BO66" i="2"/>
  <c r="BS68" i="2"/>
  <c r="BM68" i="2"/>
  <c r="BM67" i="2"/>
  <c r="BS77" i="2"/>
  <c r="BM75" i="2"/>
  <c r="BP72" i="2"/>
  <c r="BP68" i="2"/>
  <c r="BN75" i="2"/>
  <c r="BM70" i="2"/>
  <c r="BN66" i="2"/>
  <c r="BP74" i="2"/>
  <c r="BS71" i="2"/>
  <c r="BM73" i="2"/>
  <c r="BQ68" i="2"/>
  <c r="BQ77" i="2"/>
  <c r="BQ70" i="2"/>
  <c r="BQ66" i="2"/>
  <c r="BP71" i="2"/>
  <c r="BP75" i="2"/>
  <c r="BS67" i="2"/>
  <c r="BQ71" i="2"/>
  <c r="BA90" i="2"/>
  <c r="T131" i="25"/>
  <c r="O131" i="25"/>
  <c r="O132" i="25" s="1"/>
  <c r="D162" i="25"/>
  <c r="AG159" i="25"/>
  <c r="M83" i="28"/>
  <c r="BF82" i="28" s="1"/>
  <c r="AH175" i="25" s="1"/>
  <c r="AD131" i="25"/>
  <c r="AD132" i="25" s="1"/>
  <c r="D170" i="25"/>
  <c r="BA85" i="36"/>
  <c r="A182" i="25"/>
  <c r="BA85" i="34"/>
  <c r="BA85" i="5"/>
  <c r="BC84" i="36"/>
  <c r="C180" i="25"/>
  <c r="BC84" i="34"/>
  <c r="BC84" i="5"/>
  <c r="AM129" i="25"/>
  <c r="AD129" i="25"/>
  <c r="AD130" i="25" s="1"/>
  <c r="T129" i="25"/>
  <c r="T130" i="25" s="1"/>
  <c r="O129" i="25"/>
  <c r="O130" i="25" s="1"/>
  <c r="BC89" i="3"/>
  <c r="BA90" i="3"/>
  <c r="BB89" i="3"/>
  <c r="BB84" i="36"/>
  <c r="B180" i="25"/>
  <c r="BB84" i="5"/>
  <c r="BB84" i="34"/>
  <c r="O125" i="25"/>
  <c r="O126" i="25" s="1"/>
  <c r="T125" i="25"/>
  <c r="T126" i="25" s="1"/>
  <c r="AD125" i="25"/>
  <c r="AD126" i="25" s="1"/>
  <c r="F170" i="25"/>
  <c r="AL125" i="25"/>
  <c r="AN125" i="25" s="1"/>
  <c r="O123" i="25"/>
  <c r="O124" i="25" s="1"/>
  <c r="T123" i="25"/>
  <c r="T124" i="25" s="1"/>
  <c r="AD123" i="25"/>
  <c r="AD124" i="25" s="1"/>
  <c r="O145" i="25"/>
  <c r="O146" i="25" s="1"/>
  <c r="AD145" i="25"/>
  <c r="AD146" i="25" s="1"/>
  <c r="Y145" i="25"/>
  <c r="T145" i="25"/>
  <c r="T146" i="25" s="1"/>
  <c r="AG175" i="25"/>
  <c r="BM82" i="28"/>
  <c r="BD89" i="28" s="1"/>
  <c r="AM123" i="25"/>
  <c r="AN123" i="25" s="1"/>
  <c r="M84" i="28"/>
  <c r="BD84" i="28" s="1"/>
  <c r="AG161" i="25"/>
  <c r="AD144" i="25" l="1"/>
  <c r="Y146" i="25"/>
  <c r="AI132" i="25"/>
  <c r="Y132" i="25"/>
  <c r="T132" i="25"/>
  <c r="M83" i="3"/>
  <c r="BF82" i="3" s="1"/>
  <c r="X175" i="25" s="1"/>
  <c r="AX83" i="3"/>
  <c r="AN143" i="25"/>
  <c r="Y143" i="25"/>
  <c r="O143" i="25"/>
  <c r="O144" i="25" s="1"/>
  <c r="AX73" i="4"/>
  <c r="AI143" i="25"/>
  <c r="AI144" i="25" s="1"/>
  <c r="T143" i="25"/>
  <c r="T144" i="25" s="1"/>
  <c r="AL145" i="25"/>
  <c r="AN145" i="25" s="1"/>
  <c r="Y124" i="25"/>
  <c r="D86" i="2"/>
  <c r="D86" i="4" s="1"/>
  <c r="M74" i="4"/>
  <c r="BA90" i="4"/>
  <c r="BB90" i="2"/>
  <c r="BB90" i="4" s="1"/>
  <c r="BC90" i="2"/>
  <c r="BC90" i="4" s="1"/>
  <c r="Y144" i="25"/>
  <c r="AX67" i="4"/>
  <c r="AL131" i="25"/>
  <c r="AN131" i="25" s="1"/>
  <c r="F166" i="25"/>
  <c r="Y126" i="25"/>
  <c r="Y152" i="25"/>
  <c r="M88" i="3"/>
  <c r="BD85" i="3" s="1"/>
  <c r="W181" i="25" s="1"/>
  <c r="AX84" i="3"/>
  <c r="AI152" i="25"/>
  <c r="AI146" i="25"/>
  <c r="AL153" i="25"/>
  <c r="F86" i="4"/>
  <c r="AM165" i="25" s="1"/>
  <c r="M86" i="28"/>
  <c r="BD83" i="28" s="1"/>
  <c r="AG165" i="25"/>
  <c r="M87" i="28"/>
  <c r="BF83" i="28" s="1"/>
  <c r="AH177" i="25" s="1"/>
  <c r="AN129" i="25"/>
  <c r="W177" i="25"/>
  <c r="M89" i="28"/>
  <c r="BF85" i="28" s="1"/>
  <c r="AH181" i="25" s="1"/>
  <c r="AG171" i="25"/>
  <c r="M88" i="28"/>
  <c r="BD85" i="28" s="1"/>
  <c r="AX88" i="28"/>
  <c r="AG169" i="25"/>
  <c r="AI169" i="25" s="1"/>
  <c r="AX88" i="3"/>
  <c r="W169" i="25"/>
  <c r="AG163" i="25"/>
  <c r="AG167" i="25"/>
  <c r="AL169" i="25"/>
  <c r="M84" i="3"/>
  <c r="BD84" i="3" s="1"/>
  <c r="F84" i="4"/>
  <c r="AX84" i="34"/>
  <c r="AX84" i="5"/>
  <c r="AX84" i="36"/>
  <c r="M84" i="2"/>
  <c r="Y150" i="25"/>
  <c r="AX83" i="4"/>
  <c r="BR70" i="28"/>
  <c r="BR66" i="3"/>
  <c r="BK77" i="28"/>
  <c r="BL77" i="28" s="1"/>
  <c r="BK74" i="28"/>
  <c r="BL74" i="28" s="1"/>
  <c r="BR73" i="28"/>
  <c r="BK68" i="28"/>
  <c r="BL68" i="28" s="1"/>
  <c r="BR72" i="28"/>
  <c r="BK74" i="3"/>
  <c r="BL74" i="3" s="1"/>
  <c r="BK75" i="28"/>
  <c r="BL75" i="28" s="1"/>
  <c r="BK71" i="28"/>
  <c r="BL71" i="28" s="1"/>
  <c r="BK67" i="28"/>
  <c r="BL67" i="28" s="1"/>
  <c r="BK68" i="3"/>
  <c r="BL68" i="3" s="1"/>
  <c r="BR71" i="3"/>
  <c r="BR76" i="3"/>
  <c r="BR66" i="28"/>
  <c r="BK72" i="3"/>
  <c r="BL72" i="3" s="1"/>
  <c r="BR77" i="3"/>
  <c r="BR75" i="3"/>
  <c r="BK73" i="3"/>
  <c r="BL73" i="3" s="1"/>
  <c r="BK76" i="28"/>
  <c r="BL76" i="28" s="1"/>
  <c r="BR69" i="28"/>
  <c r="BR69" i="3"/>
  <c r="F162" i="25"/>
  <c r="Y161" i="25" s="1"/>
  <c r="BR70" i="3"/>
  <c r="BK67" i="3"/>
  <c r="BL67" i="3" s="1"/>
  <c r="M85" i="28"/>
  <c r="BF84" i="28" s="1"/>
  <c r="AH179" i="25" s="1"/>
  <c r="BD85" i="2"/>
  <c r="M88" i="4"/>
  <c r="BF82" i="2"/>
  <c r="M83" i="4"/>
  <c r="BK68" i="2"/>
  <c r="BL68" i="2" s="1"/>
  <c r="BR68" i="2"/>
  <c r="BR75" i="2"/>
  <c r="BK75" i="2"/>
  <c r="BL75" i="2" s="1"/>
  <c r="BR74" i="2"/>
  <c r="BK74" i="2"/>
  <c r="BL74" i="2" s="1"/>
  <c r="BR70" i="2"/>
  <c r="BK70" i="2"/>
  <c r="BL70" i="2" s="1"/>
  <c r="BK67" i="2"/>
  <c r="BL67" i="2" s="1"/>
  <c r="BR67" i="2"/>
  <c r="BR71" i="2"/>
  <c r="BK71" i="2"/>
  <c r="BL71" i="2" s="1"/>
  <c r="BR77" i="2"/>
  <c r="BK77" i="2"/>
  <c r="BL77" i="2" s="1"/>
  <c r="BR69" i="2"/>
  <c r="BK69" i="2"/>
  <c r="BL69" i="2" s="1"/>
  <c r="BK73" i="2"/>
  <c r="BL73" i="2" s="1"/>
  <c r="BR73" i="2"/>
  <c r="BR72" i="2"/>
  <c r="BK72" i="2"/>
  <c r="BL72" i="2" s="1"/>
  <c r="BR66" i="2"/>
  <c r="BK66" i="2"/>
  <c r="BL66" i="2" s="1"/>
  <c r="BR76" i="2"/>
  <c r="BK76" i="2"/>
  <c r="BL76" i="2" s="1"/>
  <c r="BA94" i="2"/>
  <c r="AL161" i="25"/>
  <c r="BA89" i="36"/>
  <c r="A186" i="25"/>
  <c r="BA89" i="34"/>
  <c r="BA89" i="5"/>
  <c r="BC85" i="36"/>
  <c r="BC85" i="34"/>
  <c r="BC85" i="5"/>
  <c r="C182" i="25"/>
  <c r="AM159" i="25"/>
  <c r="F160" i="25"/>
  <c r="BB85" i="36"/>
  <c r="B182" i="25"/>
  <c r="BB85" i="5"/>
  <c r="BB85" i="34"/>
  <c r="BB90" i="3"/>
  <c r="BA94" i="3"/>
  <c r="BC90" i="3"/>
  <c r="D160" i="25"/>
  <c r="AM169" i="25"/>
  <c r="T169" i="25"/>
  <c r="T170" i="25" s="1"/>
  <c r="AD169" i="25"/>
  <c r="AD170" i="25" s="1"/>
  <c r="Y169" i="25"/>
  <c r="O169" i="25"/>
  <c r="O170" i="25" s="1"/>
  <c r="AG185" i="25"/>
  <c r="AH32" i="6"/>
  <c r="BM89" i="28"/>
  <c r="D94" i="28" s="1"/>
  <c r="BM84" i="28"/>
  <c r="BD90" i="28" s="1"/>
  <c r="AG179" i="25"/>
  <c r="AI161" i="25" l="1"/>
  <c r="AI162" i="25" s="1"/>
  <c r="AX86" i="3"/>
  <c r="O161" i="25"/>
  <c r="M86" i="2"/>
  <c r="Y170" i="25"/>
  <c r="T161" i="25"/>
  <c r="T162" i="25" s="1"/>
  <c r="AD161" i="25"/>
  <c r="AD162" i="25" s="1"/>
  <c r="D166" i="25"/>
  <c r="AD165" i="25" s="1"/>
  <c r="AX86" i="5"/>
  <c r="AX86" i="36"/>
  <c r="AX86" i="28"/>
  <c r="AX86" i="34"/>
  <c r="BA94" i="4"/>
  <c r="BB94" i="2"/>
  <c r="BB94" i="4" s="1"/>
  <c r="BC94" i="2"/>
  <c r="BC94" i="4" s="1"/>
  <c r="AI170" i="25"/>
  <c r="Y162" i="25"/>
  <c r="AG177" i="25"/>
  <c r="BM83" i="28"/>
  <c r="BF89" i="28" s="1"/>
  <c r="AN169" i="25"/>
  <c r="BD85" i="4"/>
  <c r="AL181" i="25" s="1"/>
  <c r="AX86" i="4"/>
  <c r="O162" i="25"/>
  <c r="BD84" i="2"/>
  <c r="D180" i="25" s="1"/>
  <c r="M84" i="4"/>
  <c r="AX84" i="4"/>
  <c r="AM161" i="25"/>
  <c r="AN161" i="25" s="1"/>
  <c r="AG181" i="25"/>
  <c r="BM85" i="28"/>
  <c r="BF90" i="28" s="1"/>
  <c r="W179" i="25"/>
  <c r="BD83" i="2"/>
  <c r="M86" i="4"/>
  <c r="BJ72" i="28"/>
  <c r="BH72" i="28" s="1"/>
  <c r="BJ73" i="28"/>
  <c r="BH73" i="28" s="1"/>
  <c r="BJ71" i="28"/>
  <c r="BH71" i="28" s="1"/>
  <c r="BJ69" i="28"/>
  <c r="BH69" i="28" s="1"/>
  <c r="BJ67" i="28"/>
  <c r="BH67" i="28" s="1"/>
  <c r="BJ66" i="28"/>
  <c r="BH66" i="28" s="1"/>
  <c r="BJ68" i="28"/>
  <c r="BH68" i="28" s="1"/>
  <c r="BJ70" i="28"/>
  <c r="BH70" i="28" s="1"/>
  <c r="BJ73" i="3"/>
  <c r="BH73" i="3" s="1"/>
  <c r="BJ68" i="3"/>
  <c r="BH68" i="3" s="1"/>
  <c r="BJ66" i="3"/>
  <c r="BH66" i="3" s="1"/>
  <c r="BJ71" i="3"/>
  <c r="BH71" i="3" s="1"/>
  <c r="BJ69" i="3"/>
  <c r="BH69" i="3" s="1"/>
  <c r="BJ67" i="3"/>
  <c r="BH67" i="3" s="1"/>
  <c r="BJ70" i="3"/>
  <c r="BH70" i="3" s="1"/>
  <c r="BJ72" i="3"/>
  <c r="BH72" i="3" s="1"/>
  <c r="BF82" i="4"/>
  <c r="BJ71" i="2"/>
  <c r="BH71" i="2" s="1"/>
  <c r="BJ67" i="2"/>
  <c r="BH67" i="2" s="1"/>
  <c r="BJ69" i="2"/>
  <c r="BH69" i="2" s="1"/>
  <c r="BJ66" i="2"/>
  <c r="BH66" i="2" s="1"/>
  <c r="BJ72" i="2"/>
  <c r="BH72" i="2" s="1"/>
  <c r="BJ73" i="2"/>
  <c r="BH73" i="2" s="1"/>
  <c r="BJ68" i="2"/>
  <c r="BH68" i="2" s="1"/>
  <c r="BJ70" i="2"/>
  <c r="BH70" i="2" s="1"/>
  <c r="A94" i="2"/>
  <c r="BC94" i="3"/>
  <c r="A94" i="3"/>
  <c r="BB94" i="3"/>
  <c r="D182" i="25"/>
  <c r="BA90" i="36"/>
  <c r="BA90" i="34"/>
  <c r="BA90" i="5"/>
  <c r="A188" i="25"/>
  <c r="BC89" i="36"/>
  <c r="C186" i="25"/>
  <c r="BC89" i="5"/>
  <c r="BC89" i="34"/>
  <c r="BB89" i="36"/>
  <c r="B186" i="25"/>
  <c r="BB89" i="5"/>
  <c r="BB89" i="34"/>
  <c r="M94" i="28"/>
  <c r="AF32" i="6"/>
  <c r="AG197" i="25"/>
  <c r="AL165" i="25"/>
  <c r="T165" i="25"/>
  <c r="AI165" i="25"/>
  <c r="AL159" i="25"/>
  <c r="AN159" i="25" s="1"/>
  <c r="AD159" i="25"/>
  <c r="AD160" i="25" s="1"/>
  <c r="O159" i="25"/>
  <c r="O160" i="25" s="1"/>
  <c r="Y159" i="25"/>
  <c r="Y160" i="25" s="1"/>
  <c r="AI159" i="25"/>
  <c r="AI160" i="25" s="1"/>
  <c r="T159" i="25"/>
  <c r="T160" i="25" s="1"/>
  <c r="AJ32" i="6"/>
  <c r="AG187" i="25"/>
  <c r="BM90" i="28"/>
  <c r="F94" i="28" s="1"/>
  <c r="T166" i="25" l="1"/>
  <c r="AD166" i="25"/>
  <c r="Y165" i="25"/>
  <c r="Y166" i="25" s="1"/>
  <c r="O165" i="25"/>
  <c r="O166" i="25" s="1"/>
  <c r="AN165" i="25"/>
  <c r="AI166" i="25"/>
  <c r="A94" i="4"/>
  <c r="B94" i="2"/>
  <c r="B94" i="4" s="1"/>
  <c r="C94" i="2"/>
  <c r="C94" i="4" s="1"/>
  <c r="BD83" i="4"/>
  <c r="AL177" i="25" s="1"/>
  <c r="BD84" i="4"/>
  <c r="AI32" i="6"/>
  <c r="AH185" i="25"/>
  <c r="D178" i="25"/>
  <c r="BM91" i="28"/>
  <c r="BD94" i="28" s="1"/>
  <c r="AK32" i="6"/>
  <c r="AH187" i="25"/>
  <c r="BC62" i="28"/>
  <c r="BC72" i="28" s="1"/>
  <c r="BC62" i="3"/>
  <c r="BC68" i="3" s="1"/>
  <c r="AG196" i="25"/>
  <c r="BC62" i="2"/>
  <c r="BB90" i="36"/>
  <c r="B188" i="25"/>
  <c r="BB90" i="34"/>
  <c r="BB90" i="5"/>
  <c r="BA94" i="36"/>
  <c r="A193" i="25"/>
  <c r="BA94" i="5"/>
  <c r="BA94" i="34"/>
  <c r="AM175" i="25"/>
  <c r="F176" i="25"/>
  <c r="BC90" i="36"/>
  <c r="BC90" i="34"/>
  <c r="BC90" i="5"/>
  <c r="C188" i="25"/>
  <c r="B94" i="3"/>
  <c r="C94" i="3"/>
  <c r="BM92" i="28"/>
  <c r="BF94" i="28" s="1"/>
  <c r="AH192" i="25" s="1"/>
  <c r="AH197" i="25"/>
  <c r="AG32" i="6"/>
  <c r="BM94" i="28" l="1"/>
  <c r="AG192" i="25"/>
  <c r="AL179" i="25"/>
  <c r="BC70" i="28"/>
  <c r="R71" i="28" s="1"/>
  <c r="O71" i="28" s="1"/>
  <c r="BC66" i="28"/>
  <c r="BF66" i="28" s="1"/>
  <c r="BC73" i="3"/>
  <c r="BF73" i="3" s="1"/>
  <c r="BC69" i="3"/>
  <c r="BF69" i="3" s="1"/>
  <c r="BC68" i="28"/>
  <c r="R72" i="28" s="1"/>
  <c r="O72" i="28" s="1"/>
  <c r="R78" i="28"/>
  <c r="O78" i="28" s="1"/>
  <c r="BF72" i="28"/>
  <c r="BC72" i="3"/>
  <c r="R78" i="3" s="1"/>
  <c r="BC69" i="28"/>
  <c r="R65" i="28" s="1"/>
  <c r="O65" i="28" s="1"/>
  <c r="BC71" i="28"/>
  <c r="R68" i="28" s="1"/>
  <c r="O68" i="28" s="1"/>
  <c r="BC73" i="28"/>
  <c r="BC66" i="3"/>
  <c r="R69" i="3" s="1"/>
  <c r="BC67" i="28"/>
  <c r="BF67" i="28" s="1"/>
  <c r="BC71" i="3"/>
  <c r="R68" i="3" s="1"/>
  <c r="BC67" i="3"/>
  <c r="R75" i="3" s="1"/>
  <c r="BC70" i="3"/>
  <c r="R71" i="3" s="1"/>
  <c r="BC67" i="2"/>
  <c r="BC66" i="2"/>
  <c r="BC73" i="2"/>
  <c r="BC72" i="2"/>
  <c r="BC71" i="2"/>
  <c r="BC70" i="2"/>
  <c r="BC69" i="2"/>
  <c r="BC68" i="2"/>
  <c r="BC94" i="36"/>
  <c r="BC94" i="5"/>
  <c r="BC94" i="34"/>
  <c r="C193" i="25"/>
  <c r="A94" i="36"/>
  <c r="A94" i="5"/>
  <c r="A198" i="25"/>
  <c r="A94" i="34"/>
  <c r="BB94" i="36"/>
  <c r="BB94" i="5"/>
  <c r="BB94" i="34"/>
  <c r="B193" i="25"/>
  <c r="R72" i="3"/>
  <c r="BF68" i="3"/>
  <c r="BF68" i="28" l="1"/>
  <c r="R69" i="2"/>
  <c r="BF66" i="2"/>
  <c r="R68" i="2"/>
  <c r="O68" i="2" s="1"/>
  <c r="BF71" i="2"/>
  <c r="R75" i="2"/>
  <c r="BF67" i="2"/>
  <c r="R78" i="2"/>
  <c r="O78" i="2" s="1"/>
  <c r="BF72" i="2"/>
  <c r="R71" i="2"/>
  <c r="BF70" i="2"/>
  <c r="R70" i="2"/>
  <c r="O70" i="2" s="1"/>
  <c r="BF73" i="2"/>
  <c r="R70" i="3"/>
  <c r="F70" i="3" s="1"/>
  <c r="R69" i="28"/>
  <c r="O69" i="28" s="1"/>
  <c r="BF71" i="3"/>
  <c r="F68" i="3" s="1"/>
  <c r="BF71" i="28"/>
  <c r="F68" i="28" s="1"/>
  <c r="AH133" i="25" s="1"/>
  <c r="BF70" i="3"/>
  <c r="R65" i="3"/>
  <c r="O65" i="3" s="1"/>
  <c r="BF70" i="28"/>
  <c r="F71" i="28" s="1"/>
  <c r="AH139" i="25" s="1"/>
  <c r="BF66" i="3"/>
  <c r="F69" i="3" s="1"/>
  <c r="BF72" i="3"/>
  <c r="F78" i="3" s="1"/>
  <c r="BF69" i="28"/>
  <c r="F65" i="28" s="1"/>
  <c r="AH127" i="25" s="1"/>
  <c r="F72" i="28"/>
  <c r="AH141" i="25" s="1"/>
  <c r="R75" i="28"/>
  <c r="F75" i="28" s="1"/>
  <c r="AH147" i="25" s="1"/>
  <c r="F78" i="28"/>
  <c r="AH153" i="25" s="1"/>
  <c r="BF67" i="3"/>
  <c r="F75" i="3" s="1"/>
  <c r="BF73" i="28"/>
  <c r="R70" i="28"/>
  <c r="BF68" i="2"/>
  <c r="R72" i="2"/>
  <c r="BF69" i="2"/>
  <c r="R65" i="2"/>
  <c r="O69" i="2"/>
  <c r="F69" i="2"/>
  <c r="O75" i="2"/>
  <c r="B94" i="36"/>
  <c r="B198" i="25"/>
  <c r="B94" i="34"/>
  <c r="B94" i="5"/>
  <c r="C94" i="36"/>
  <c r="C198" i="25"/>
  <c r="C94" i="5"/>
  <c r="C94" i="34"/>
  <c r="O78" i="3"/>
  <c r="F71" i="3"/>
  <c r="O71" i="3"/>
  <c r="O68" i="3"/>
  <c r="O72" i="3"/>
  <c r="F72" i="3"/>
  <c r="O70" i="3"/>
  <c r="O75" i="3"/>
  <c r="O69" i="3"/>
  <c r="F71" i="2" l="1"/>
  <c r="F71" i="4" s="1"/>
  <c r="AX71" i="4" s="1"/>
  <c r="O71" i="2"/>
  <c r="F75" i="2"/>
  <c r="AX75" i="3" s="1"/>
  <c r="F68" i="2"/>
  <c r="M68" i="2" s="1"/>
  <c r="F82" i="2" s="1"/>
  <c r="M75" i="3"/>
  <c r="D89" i="3" s="1"/>
  <c r="AX71" i="3"/>
  <c r="AX69" i="36"/>
  <c r="AX69" i="34"/>
  <c r="AX69" i="5"/>
  <c r="F70" i="2"/>
  <c r="M70" i="2" s="1"/>
  <c r="F78" i="2"/>
  <c r="F78" i="4" s="1"/>
  <c r="AX78" i="4" s="1"/>
  <c r="F75" i="4"/>
  <c r="AX75" i="4" s="1"/>
  <c r="AX69" i="3"/>
  <c r="AX71" i="28"/>
  <c r="O75" i="28"/>
  <c r="F69" i="28"/>
  <c r="F65" i="3"/>
  <c r="X127" i="25" s="1"/>
  <c r="F70" i="28"/>
  <c r="O70" i="28"/>
  <c r="M69" i="2"/>
  <c r="F69" i="4"/>
  <c r="AX69" i="4" s="1"/>
  <c r="O65" i="2"/>
  <c r="F65" i="2"/>
  <c r="AX65" i="28" s="1"/>
  <c r="O72" i="2"/>
  <c r="F72" i="2"/>
  <c r="M69" i="3"/>
  <c r="D85" i="3" s="1"/>
  <c r="X135" i="25"/>
  <c r="M70" i="3"/>
  <c r="F85" i="3" s="1"/>
  <c r="X163" i="25" s="1"/>
  <c r="X137" i="25"/>
  <c r="M72" i="3"/>
  <c r="D87" i="3" s="1"/>
  <c r="X141" i="25"/>
  <c r="M78" i="3"/>
  <c r="F89" i="3" s="1"/>
  <c r="X153" i="25"/>
  <c r="F140" i="25"/>
  <c r="AI139" i="25" s="1"/>
  <c r="M71" i="3"/>
  <c r="F87" i="3" s="1"/>
  <c r="X167" i="25" s="1"/>
  <c r="X139" i="25"/>
  <c r="X147" i="25"/>
  <c r="M68" i="3"/>
  <c r="F82" i="3" s="1"/>
  <c r="X133" i="25"/>
  <c r="F148" i="25"/>
  <c r="F134" i="25"/>
  <c r="F136" i="25"/>
  <c r="AX71" i="36" l="1"/>
  <c r="M71" i="2"/>
  <c r="AX71" i="34"/>
  <c r="AX71" i="5"/>
  <c r="AX68" i="3"/>
  <c r="AX68" i="28"/>
  <c r="AX75" i="5"/>
  <c r="F138" i="25"/>
  <c r="AX75" i="28"/>
  <c r="AX75" i="34"/>
  <c r="M75" i="2"/>
  <c r="AX75" i="36"/>
  <c r="AX68" i="34"/>
  <c r="F68" i="4"/>
  <c r="AX68" i="4" s="1"/>
  <c r="AX68" i="36"/>
  <c r="AX68" i="5"/>
  <c r="M68" i="4"/>
  <c r="F82" i="4"/>
  <c r="AM157" i="25" s="1"/>
  <c r="F158" i="25"/>
  <c r="AX70" i="3"/>
  <c r="M65" i="3"/>
  <c r="D82" i="3" s="1"/>
  <c r="W157" i="25" s="1"/>
  <c r="AX72" i="28"/>
  <c r="M72" i="2"/>
  <c r="M70" i="4"/>
  <c r="F85" i="2"/>
  <c r="AX70" i="28"/>
  <c r="AH137" i="25"/>
  <c r="AX65" i="5"/>
  <c r="AX65" i="34"/>
  <c r="AX65" i="36"/>
  <c r="AX65" i="3"/>
  <c r="F70" i="4"/>
  <c r="AX70" i="4" s="1"/>
  <c r="AX70" i="36"/>
  <c r="AX70" i="5"/>
  <c r="AX70" i="34"/>
  <c r="AX78" i="36"/>
  <c r="AX78" i="34"/>
  <c r="AX78" i="5"/>
  <c r="AI140" i="25"/>
  <c r="AX69" i="28"/>
  <c r="AH135" i="25"/>
  <c r="AI135" i="25" s="1"/>
  <c r="AX78" i="3"/>
  <c r="F154" i="25"/>
  <c r="O153" i="25" s="1"/>
  <c r="M78" i="2"/>
  <c r="F89" i="2" s="1"/>
  <c r="AX72" i="36"/>
  <c r="AX72" i="34"/>
  <c r="AX72" i="5"/>
  <c r="M71" i="4"/>
  <c r="F87" i="2"/>
  <c r="M75" i="4"/>
  <c r="D89" i="2"/>
  <c r="AX72" i="3"/>
  <c r="AX78" i="28"/>
  <c r="W171" i="25"/>
  <c r="CX11" i="5"/>
  <c r="O42" i="25" s="1"/>
  <c r="CX39" i="5"/>
  <c r="O100" i="25" s="1"/>
  <c r="CX41" i="5"/>
  <c r="O102" i="25" s="1"/>
  <c r="CX12" i="5"/>
  <c r="O43" i="25" s="1"/>
  <c r="CX59" i="5"/>
  <c r="O120" i="25" s="1"/>
  <c r="CX42" i="5"/>
  <c r="O103" i="25" s="1"/>
  <c r="CX22" i="5"/>
  <c r="O53" i="25" s="1"/>
  <c r="CX2" i="5"/>
  <c r="O33" i="25" s="1"/>
  <c r="CX21" i="5"/>
  <c r="O52" i="25" s="1"/>
  <c r="CX1" i="5"/>
  <c r="O32" i="25" s="1"/>
  <c r="CX51" i="5"/>
  <c r="O112" i="25" s="1"/>
  <c r="CX31" i="5"/>
  <c r="O92" i="25" s="1"/>
  <c r="CX49" i="5"/>
  <c r="O110" i="25" s="1"/>
  <c r="CX29" i="5"/>
  <c r="O60" i="25" s="1"/>
  <c r="CX9" i="5"/>
  <c r="O40" i="25" s="1"/>
  <c r="CX19" i="5"/>
  <c r="O50" i="25" s="1"/>
  <c r="CX52" i="5"/>
  <c r="O113" i="25" s="1"/>
  <c r="CX32" i="5"/>
  <c r="O93" i="25" s="1"/>
  <c r="CX59" i="36"/>
  <c r="T120" i="25" s="1"/>
  <c r="CX39" i="36"/>
  <c r="T100" i="25" s="1"/>
  <c r="CX42" i="36"/>
  <c r="CX22" i="36"/>
  <c r="T53" i="25" s="1"/>
  <c r="CX2" i="36"/>
  <c r="T33" i="25" s="1"/>
  <c r="CX12" i="36"/>
  <c r="T43" i="25" s="1"/>
  <c r="CX21" i="36"/>
  <c r="T52" i="25" s="1"/>
  <c r="CX1" i="36"/>
  <c r="T32" i="25" s="1"/>
  <c r="CX51" i="36"/>
  <c r="T112" i="25" s="1"/>
  <c r="CX31" i="36"/>
  <c r="T92" i="25" s="1"/>
  <c r="CX41" i="36"/>
  <c r="T102" i="25" s="1"/>
  <c r="CX49" i="36"/>
  <c r="T110" i="25" s="1"/>
  <c r="CX29" i="36"/>
  <c r="T60" i="25" s="1"/>
  <c r="CX9" i="36"/>
  <c r="T40" i="25" s="1"/>
  <c r="CX11" i="36"/>
  <c r="T42" i="25" s="1"/>
  <c r="CX19" i="36"/>
  <c r="T50" i="25" s="1"/>
  <c r="CX52" i="36"/>
  <c r="T113" i="25" s="1"/>
  <c r="CX32" i="36"/>
  <c r="T93" i="25" s="1"/>
  <c r="CX51" i="3"/>
  <c r="Y112" i="25" s="1"/>
  <c r="CX21" i="3"/>
  <c r="Y52" i="25" s="1"/>
  <c r="CX41" i="3"/>
  <c r="Y102" i="25" s="1"/>
  <c r="CX12" i="3"/>
  <c r="Y43" i="25" s="1"/>
  <c r="CX29" i="3"/>
  <c r="Y60" i="25" s="1"/>
  <c r="CX31" i="3"/>
  <c r="Y92" i="25" s="1"/>
  <c r="CX42" i="3"/>
  <c r="Y103" i="25" s="1"/>
  <c r="CX2" i="3"/>
  <c r="Y33" i="25" s="1"/>
  <c r="CX59" i="3"/>
  <c r="Y120" i="25" s="1"/>
  <c r="CX52" i="3"/>
  <c r="Y113" i="25" s="1"/>
  <c r="CX11" i="3"/>
  <c r="Y42" i="25" s="1"/>
  <c r="CX32" i="3"/>
  <c r="Y93" i="25" s="1"/>
  <c r="CX49" i="3"/>
  <c r="Y110" i="25" s="1"/>
  <c r="CX9" i="3"/>
  <c r="Y40" i="25" s="1"/>
  <c r="CX1" i="3"/>
  <c r="CX39" i="3"/>
  <c r="Y100" i="25" s="1"/>
  <c r="CX22" i="3"/>
  <c r="Y53" i="25" s="1"/>
  <c r="CX19" i="3"/>
  <c r="Y50" i="25" s="1"/>
  <c r="CX59" i="34"/>
  <c r="AD120" i="25" s="1"/>
  <c r="CX9" i="34"/>
  <c r="AD40" i="25" s="1"/>
  <c r="CX31" i="34"/>
  <c r="AD92" i="25" s="1"/>
  <c r="CX2" i="34"/>
  <c r="AD33" i="25" s="1"/>
  <c r="CX32" i="34"/>
  <c r="AD93" i="25" s="1"/>
  <c r="CX51" i="34"/>
  <c r="AD112" i="25" s="1"/>
  <c r="CX39" i="34"/>
  <c r="AD100" i="25" s="1"/>
  <c r="CX49" i="34"/>
  <c r="AD110" i="25" s="1"/>
  <c r="CX29" i="34"/>
  <c r="CX12" i="34"/>
  <c r="AD43" i="25" s="1"/>
  <c r="CX19" i="34"/>
  <c r="AD50" i="25" s="1"/>
  <c r="CX52" i="34"/>
  <c r="AD113" i="25" s="1"/>
  <c r="CX11" i="34"/>
  <c r="AD42" i="25" s="1"/>
  <c r="CX41" i="34"/>
  <c r="AD102" i="25" s="1"/>
  <c r="CX42" i="34"/>
  <c r="AD103" i="25" s="1"/>
  <c r="CX22" i="34"/>
  <c r="AD53" i="25" s="1"/>
  <c r="CX21" i="34"/>
  <c r="AD52" i="25" s="1"/>
  <c r="CX1" i="34"/>
  <c r="AD32" i="25" s="1"/>
  <c r="CX12" i="28"/>
  <c r="AI43" i="25" s="1"/>
  <c r="CX39" i="28"/>
  <c r="CX42" i="28"/>
  <c r="CX51" i="28"/>
  <c r="AI112" i="25" s="1"/>
  <c r="CX11" i="28"/>
  <c r="AI42" i="25" s="1"/>
  <c r="CX29" i="28"/>
  <c r="AI60" i="25" s="1"/>
  <c r="CX49" i="28"/>
  <c r="AI110" i="25" s="1"/>
  <c r="CX21" i="28"/>
  <c r="AI52" i="25" s="1"/>
  <c r="CX52" i="28"/>
  <c r="AI113" i="25" s="1"/>
  <c r="CX19" i="28"/>
  <c r="CX32" i="28"/>
  <c r="AI93" i="25" s="1"/>
  <c r="CX41" i="28"/>
  <c r="AI102" i="25" s="1"/>
  <c r="CX59" i="28"/>
  <c r="AI120" i="25" s="1"/>
  <c r="CX9" i="28"/>
  <c r="AI40" i="25" s="1"/>
  <c r="CX1" i="28"/>
  <c r="CX22" i="28"/>
  <c r="AI53" i="25" s="1"/>
  <c r="CX2" i="28"/>
  <c r="AI33" i="25" s="1"/>
  <c r="CX31" i="28"/>
  <c r="AI92" i="25" s="1"/>
  <c r="AX51" i="5"/>
  <c r="O82" i="25" s="1"/>
  <c r="AX22" i="5"/>
  <c r="O23" i="25" s="1"/>
  <c r="AX52" i="5"/>
  <c r="O83" i="25" s="1"/>
  <c r="AX29" i="5"/>
  <c r="O30" i="25" s="1"/>
  <c r="AX41" i="5"/>
  <c r="O72" i="25" s="1"/>
  <c r="AX59" i="5"/>
  <c r="O90" i="25" s="1"/>
  <c r="AX39" i="5"/>
  <c r="O70" i="25" s="1"/>
  <c r="AX19" i="5"/>
  <c r="O20" i="25" s="1"/>
  <c r="AX49" i="5"/>
  <c r="AX1" i="5"/>
  <c r="O2" i="25" s="1"/>
  <c r="AX9" i="5"/>
  <c r="O10" i="25" s="1"/>
  <c r="AX42" i="5"/>
  <c r="O73" i="25" s="1"/>
  <c r="AX2" i="5"/>
  <c r="O3" i="25" s="1"/>
  <c r="AX21" i="5"/>
  <c r="O22" i="25" s="1"/>
  <c r="AX12" i="5"/>
  <c r="O13" i="25" s="1"/>
  <c r="AX31" i="5"/>
  <c r="O62" i="25" s="1"/>
  <c r="AX11" i="5"/>
  <c r="O12" i="25" s="1"/>
  <c r="AX32" i="5"/>
  <c r="O63" i="25" s="1"/>
  <c r="AX12" i="36"/>
  <c r="T13" i="25" s="1"/>
  <c r="AX9" i="36"/>
  <c r="T10" i="25" s="1"/>
  <c r="AX11" i="36"/>
  <c r="T12" i="25" s="1"/>
  <c r="AX39" i="36"/>
  <c r="T70" i="25" s="1"/>
  <c r="AX59" i="36"/>
  <c r="T90" i="25" s="1"/>
  <c r="AX32" i="36"/>
  <c r="T63" i="25" s="1"/>
  <c r="AX22" i="36"/>
  <c r="T23" i="25" s="1"/>
  <c r="AX41" i="36"/>
  <c r="T72" i="25" s="1"/>
  <c r="AX19" i="36"/>
  <c r="T20" i="25" s="1"/>
  <c r="AX51" i="36"/>
  <c r="T82" i="25" s="1"/>
  <c r="AX2" i="36"/>
  <c r="T3" i="25" s="1"/>
  <c r="AX52" i="36"/>
  <c r="T83" i="25" s="1"/>
  <c r="AX42" i="36"/>
  <c r="T73" i="25" s="1"/>
  <c r="AX21" i="36"/>
  <c r="T22" i="25" s="1"/>
  <c r="AX49" i="36"/>
  <c r="T80" i="25" s="1"/>
  <c r="AX31" i="36"/>
  <c r="T62" i="25" s="1"/>
  <c r="AX1" i="36"/>
  <c r="T2" i="25" s="1"/>
  <c r="AX29" i="36"/>
  <c r="T30" i="25" s="1"/>
  <c r="F128" i="25"/>
  <c r="O127" i="25" s="1"/>
  <c r="AX29" i="3"/>
  <c r="Y30" i="25" s="1"/>
  <c r="AX41" i="3"/>
  <c r="Y72" i="25" s="1"/>
  <c r="AX31" i="3"/>
  <c r="Y62" i="25" s="1"/>
  <c r="AX2" i="3"/>
  <c r="Y3" i="25" s="1"/>
  <c r="AX22" i="3"/>
  <c r="Y23" i="25" s="1"/>
  <c r="AX19" i="3"/>
  <c r="Y20" i="25" s="1"/>
  <c r="AX39" i="3"/>
  <c r="Y70" i="25" s="1"/>
  <c r="AX12" i="3"/>
  <c r="Y13" i="25" s="1"/>
  <c r="AX52" i="3"/>
  <c r="Y83" i="25" s="1"/>
  <c r="AX11" i="3"/>
  <c r="Y12" i="25" s="1"/>
  <c r="AX1" i="3"/>
  <c r="AX32" i="3"/>
  <c r="AX21" i="3"/>
  <c r="Y22" i="25" s="1"/>
  <c r="AX9" i="3"/>
  <c r="Y10" i="25" s="1"/>
  <c r="AX59" i="3"/>
  <c r="Y90" i="25" s="1"/>
  <c r="AX42" i="3"/>
  <c r="Y73" i="25" s="1"/>
  <c r="AX49" i="3"/>
  <c r="Y80" i="25" s="1"/>
  <c r="AX51" i="3"/>
  <c r="Y82" i="25" s="1"/>
  <c r="AX52" i="34"/>
  <c r="AD83" i="25" s="1"/>
  <c r="AX22" i="34"/>
  <c r="AD23" i="25" s="1"/>
  <c r="AX51" i="34"/>
  <c r="AD82" i="25" s="1"/>
  <c r="AX29" i="34"/>
  <c r="AX42" i="34"/>
  <c r="AD73" i="25" s="1"/>
  <c r="AX32" i="34"/>
  <c r="AX41" i="34"/>
  <c r="AD72" i="25" s="1"/>
  <c r="AX2" i="34"/>
  <c r="AD3" i="25" s="1"/>
  <c r="AX11" i="34"/>
  <c r="AD12" i="25" s="1"/>
  <c r="AX21" i="34"/>
  <c r="AD22" i="25" s="1"/>
  <c r="AX31" i="34"/>
  <c r="AD62" i="25" s="1"/>
  <c r="AX39" i="34"/>
  <c r="AD70" i="25" s="1"/>
  <c r="AX49" i="34"/>
  <c r="AD80" i="25" s="1"/>
  <c r="AX1" i="34"/>
  <c r="AD2" i="25" s="1"/>
  <c r="AX59" i="34"/>
  <c r="AD90" i="25" s="1"/>
  <c r="AX12" i="34"/>
  <c r="AX9" i="34"/>
  <c r="AD10" i="25" s="1"/>
  <c r="AX19" i="34"/>
  <c r="AX31" i="28"/>
  <c r="AI62" i="25" s="1"/>
  <c r="AX21" i="28"/>
  <c r="AI22" i="25" s="1"/>
  <c r="AX49" i="28"/>
  <c r="AI80" i="25" s="1"/>
  <c r="AX9" i="28"/>
  <c r="AI10" i="25" s="1"/>
  <c r="AX12" i="28"/>
  <c r="AI13" i="25" s="1"/>
  <c r="AX2" i="28"/>
  <c r="AI3" i="25" s="1"/>
  <c r="AX1" i="28"/>
  <c r="AX22" i="28"/>
  <c r="AI23" i="25" s="1"/>
  <c r="AX41" i="28"/>
  <c r="AI72" i="25" s="1"/>
  <c r="AX32" i="28"/>
  <c r="AI63" i="25" s="1"/>
  <c r="AX42" i="28"/>
  <c r="AI73" i="25" s="1"/>
  <c r="AX52" i="28"/>
  <c r="AI83" i="25" s="1"/>
  <c r="AX59" i="28"/>
  <c r="AI90" i="25" s="1"/>
  <c r="AX11" i="28"/>
  <c r="AI12" i="25" s="1"/>
  <c r="AX19" i="28"/>
  <c r="AI20" i="25" s="1"/>
  <c r="AX51" i="28"/>
  <c r="AI82" i="25" s="1"/>
  <c r="AX29" i="28"/>
  <c r="AI30" i="25" s="1"/>
  <c r="AX39" i="28"/>
  <c r="AI70" i="25" s="1"/>
  <c r="AI103" i="25"/>
  <c r="AD63" i="25"/>
  <c r="AD20" i="25"/>
  <c r="O80" i="25"/>
  <c r="Y63" i="25"/>
  <c r="Y32" i="25"/>
  <c r="AI50" i="25"/>
  <c r="AD13" i="25"/>
  <c r="F142" i="25"/>
  <c r="AI141" i="25" s="1"/>
  <c r="AI32" i="25"/>
  <c r="AI100" i="25"/>
  <c r="AD60" i="25"/>
  <c r="AD30" i="25"/>
  <c r="T103" i="25"/>
  <c r="F72" i="4"/>
  <c r="AX72" i="4" s="1"/>
  <c r="D85" i="2"/>
  <c r="M69" i="4"/>
  <c r="F65" i="4"/>
  <c r="AX65" i="4" s="1"/>
  <c r="CX39" i="4"/>
  <c r="CX49" i="4"/>
  <c r="AX29" i="4"/>
  <c r="AX1" i="4"/>
  <c r="CX21" i="4"/>
  <c r="CX29" i="4"/>
  <c r="AX11" i="4"/>
  <c r="CX42" i="4"/>
  <c r="AX52" i="4"/>
  <c r="CX51" i="4"/>
  <c r="CX41" i="4"/>
  <c r="CX11" i="4"/>
  <c r="CX2" i="4"/>
  <c r="AX19" i="4"/>
  <c r="CX9" i="4"/>
  <c r="AX12" i="4"/>
  <c r="CX32" i="4"/>
  <c r="CX12" i="4"/>
  <c r="CX19" i="4"/>
  <c r="AX49" i="4"/>
  <c r="CX22" i="4"/>
  <c r="CX1" i="4"/>
  <c r="AX2" i="4"/>
  <c r="AX42" i="4"/>
  <c r="AX51" i="4"/>
  <c r="AX21" i="4"/>
  <c r="AX59" i="4"/>
  <c r="AX9" i="4"/>
  <c r="CX31" i="4"/>
  <c r="AX32" i="4"/>
  <c r="AX31" i="4"/>
  <c r="AX41" i="4"/>
  <c r="CX52" i="4"/>
  <c r="AX22" i="4"/>
  <c r="CX59" i="4"/>
  <c r="AX39" i="4"/>
  <c r="M65" i="2"/>
  <c r="O133" i="25"/>
  <c r="AD133" i="25"/>
  <c r="AD134" i="25" s="1"/>
  <c r="T133" i="25"/>
  <c r="Y133" i="25"/>
  <c r="Y134" i="25" s="1"/>
  <c r="AM147" i="25"/>
  <c r="AN147" i="25" s="1"/>
  <c r="AI133" i="25"/>
  <c r="AI134" i="25" s="1"/>
  <c r="O139" i="25"/>
  <c r="O140" i="25" s="1"/>
  <c r="AD139" i="25"/>
  <c r="AD140" i="25" s="1"/>
  <c r="Y139" i="25"/>
  <c r="Y140" i="25" s="1"/>
  <c r="T139" i="25"/>
  <c r="T140" i="25" s="1"/>
  <c r="W167" i="25"/>
  <c r="M87" i="3"/>
  <c r="BF83" i="3" s="1"/>
  <c r="AD135" i="25"/>
  <c r="AD136" i="25" s="1"/>
  <c r="Y135" i="25"/>
  <c r="Y136" i="25" s="1"/>
  <c r="O135" i="25"/>
  <c r="O136" i="25" s="1"/>
  <c r="T135" i="25"/>
  <c r="T136" i="25" s="1"/>
  <c r="AM133" i="25"/>
  <c r="AN133" i="25" s="1"/>
  <c r="AM139" i="25"/>
  <c r="AN139" i="25" s="1"/>
  <c r="AD147" i="25"/>
  <c r="AD148" i="25" s="1"/>
  <c r="T147" i="25"/>
  <c r="O147" i="25"/>
  <c r="O148" i="25" s="1"/>
  <c r="Y147" i="25"/>
  <c r="Y148" i="25" s="1"/>
  <c r="AI147" i="25"/>
  <c r="AI148" i="25" s="1"/>
  <c r="X157" i="25"/>
  <c r="M82" i="3"/>
  <c r="BD82" i="3" s="1"/>
  <c r="AM135" i="25"/>
  <c r="AN135" i="25" s="1"/>
  <c r="AM153" i="25"/>
  <c r="X171" i="25"/>
  <c r="M89" i="3"/>
  <c r="BF85" i="3" s="1"/>
  <c r="AI137" i="25"/>
  <c r="AI138" i="25" s="1"/>
  <c r="T137" i="25"/>
  <c r="AD137" i="25"/>
  <c r="Y137" i="25"/>
  <c r="Y138" i="25" s="1"/>
  <c r="O137" i="25"/>
  <c r="M85" i="3"/>
  <c r="BF84" i="3" s="1"/>
  <c r="W163" i="25"/>
  <c r="T148" i="25" l="1"/>
  <c r="O134" i="25"/>
  <c r="AI153" i="25"/>
  <c r="AI154" i="25" s="1"/>
  <c r="Y153" i="25"/>
  <c r="Y154" i="25" s="1"/>
  <c r="T153" i="25"/>
  <c r="T154" i="25" s="1"/>
  <c r="AI142" i="25"/>
  <c r="AD138" i="25"/>
  <c r="Y127" i="25"/>
  <c r="Y128" i="25" s="1"/>
  <c r="AD127" i="25"/>
  <c r="AD128" i="25" s="1"/>
  <c r="T138" i="25"/>
  <c r="AN153" i="25"/>
  <c r="AI127" i="25"/>
  <c r="AI128" i="25" s="1"/>
  <c r="AD153" i="25"/>
  <c r="AD154" i="25" s="1"/>
  <c r="T127" i="25"/>
  <c r="T128" i="25" s="1"/>
  <c r="T134" i="25"/>
  <c r="T141" i="25"/>
  <c r="T142" i="25" s="1"/>
  <c r="AX89" i="3"/>
  <c r="AM127" i="25"/>
  <c r="AN127" i="25" s="1"/>
  <c r="AD141" i="25"/>
  <c r="AD142" i="25" s="1"/>
  <c r="O141" i="25"/>
  <c r="O142" i="25" s="1"/>
  <c r="Y141" i="25"/>
  <c r="Y142" i="25" s="1"/>
  <c r="AM137" i="25"/>
  <c r="AN137" i="25" s="1"/>
  <c r="O128" i="25"/>
  <c r="F85" i="4"/>
  <c r="AM163" i="25" s="1"/>
  <c r="F164" i="25"/>
  <c r="D87" i="2"/>
  <c r="M87" i="2" s="1"/>
  <c r="M72" i="4"/>
  <c r="AI136" i="25"/>
  <c r="O154" i="25"/>
  <c r="M78" i="4"/>
  <c r="AX85" i="5"/>
  <c r="AX85" i="36"/>
  <c r="AX85" i="34"/>
  <c r="AX85" i="28"/>
  <c r="AI2" i="25"/>
  <c r="AX89" i="5"/>
  <c r="AX89" i="34"/>
  <c r="AX89" i="36"/>
  <c r="M89" i="2"/>
  <c r="D89" i="4"/>
  <c r="AX89" i="28"/>
  <c r="D172" i="25"/>
  <c r="O138" i="25"/>
  <c r="AM141" i="25"/>
  <c r="AN141" i="25" s="1"/>
  <c r="Y2" i="25"/>
  <c r="F87" i="4"/>
  <c r="AX85" i="3"/>
  <c r="F89" i="4"/>
  <c r="D82" i="2"/>
  <c r="M65" i="4"/>
  <c r="M85" i="2"/>
  <c r="D85" i="4"/>
  <c r="X179" i="25"/>
  <c r="BM84" i="3"/>
  <c r="BD90" i="3" s="1"/>
  <c r="X181" i="25"/>
  <c r="BM85" i="3"/>
  <c r="BF90" i="3" s="1"/>
  <c r="F168" i="25"/>
  <c r="W175" i="25"/>
  <c r="BM82" i="3"/>
  <c r="BD89" i="3" s="1"/>
  <c r="D164" i="25"/>
  <c r="X177" i="25"/>
  <c r="BM83" i="3"/>
  <c r="BF89" i="3" s="1"/>
  <c r="F172" i="25"/>
  <c r="AX85" i="4" l="1"/>
  <c r="AX87" i="34"/>
  <c r="D87" i="4"/>
  <c r="AL167" i="25" s="1"/>
  <c r="D168" i="25"/>
  <c r="AI167" i="25" s="1"/>
  <c r="AX87" i="28"/>
  <c r="AX87" i="36"/>
  <c r="AX87" i="4"/>
  <c r="AX87" i="5"/>
  <c r="AX87" i="3"/>
  <c r="BF83" i="2"/>
  <c r="M87" i="4"/>
  <c r="AX89" i="4"/>
  <c r="AL171" i="25"/>
  <c r="D158" i="25"/>
  <c r="Y157" i="25" s="1"/>
  <c r="AX82" i="36"/>
  <c r="AX82" i="34"/>
  <c r="AX82" i="5"/>
  <c r="AX82" i="28"/>
  <c r="M82" i="2"/>
  <c r="AX82" i="3"/>
  <c r="BF85" i="2"/>
  <c r="M89" i="4"/>
  <c r="D82" i="4"/>
  <c r="AX82" i="4" s="1"/>
  <c r="BF84" i="2"/>
  <c r="M85" i="4"/>
  <c r="W187" i="25"/>
  <c r="AJ33" i="6"/>
  <c r="O167" i="25"/>
  <c r="O168" i="25" s="1"/>
  <c r="AM167" i="25"/>
  <c r="AN167" i="25" s="1"/>
  <c r="BM90" i="3"/>
  <c r="F94" i="3" s="1"/>
  <c r="X187" i="25"/>
  <c r="AK33" i="6"/>
  <c r="Y167" i="25"/>
  <c r="W185" i="25"/>
  <c r="BM89" i="3"/>
  <c r="D94" i="3" s="1"/>
  <c r="AH33" i="6"/>
  <c r="AL163" i="25"/>
  <c r="AN163" i="25" s="1"/>
  <c r="O163" i="25"/>
  <c r="O164" i="25" s="1"/>
  <c r="AI163" i="25"/>
  <c r="AI164" i="25" s="1"/>
  <c r="AD163" i="25"/>
  <c r="AD164" i="25" s="1"/>
  <c r="T163" i="25"/>
  <c r="T164" i="25" s="1"/>
  <c r="O171" i="25"/>
  <c r="O172" i="25" s="1"/>
  <c r="AD171" i="25"/>
  <c r="AD172" i="25" s="1"/>
  <c r="AI171" i="25"/>
  <c r="AI172" i="25" s="1"/>
  <c r="Y171" i="25"/>
  <c r="Y172" i="25" s="1"/>
  <c r="T171" i="25"/>
  <c r="T172" i="25" s="1"/>
  <c r="AM171" i="25"/>
  <c r="Y163" i="25"/>
  <c r="Y164" i="25" s="1"/>
  <c r="AI33" i="6"/>
  <c r="X185" i="25"/>
  <c r="T167" i="25" l="1"/>
  <c r="T168" i="25" s="1"/>
  <c r="AI168" i="25"/>
  <c r="AD167" i="25"/>
  <c r="AD168" i="25" s="1"/>
  <c r="Y158" i="25"/>
  <c r="O157" i="25"/>
  <c r="O158" i="25" s="1"/>
  <c r="AD157" i="25"/>
  <c r="AD158" i="25" s="1"/>
  <c r="Y168" i="25"/>
  <c r="AI157" i="25"/>
  <c r="AI158" i="25" s="1"/>
  <c r="T157" i="25"/>
  <c r="T158" i="25" s="1"/>
  <c r="BF85" i="4"/>
  <c r="CX85" i="4" s="1"/>
  <c r="BM85" i="2"/>
  <c r="AL157" i="25"/>
  <c r="AN157" i="25" s="1"/>
  <c r="AN171" i="25"/>
  <c r="M82" i="4"/>
  <c r="BD82" i="2"/>
  <c r="BM82" i="2" s="1"/>
  <c r="BF84" i="4"/>
  <c r="CX84" i="4" s="1"/>
  <c r="BM84" i="2"/>
  <c r="BF83" i="4"/>
  <c r="CX83" i="4" s="1"/>
  <c r="BM83" i="2"/>
  <c r="BM91" i="3"/>
  <c r="BD94" i="3" s="1"/>
  <c r="W192" i="25" s="1"/>
  <c r="BM92" i="3"/>
  <c r="BF94" i="3" s="1"/>
  <c r="X192" i="25" s="1"/>
  <c r="F178" i="25"/>
  <c r="AG33" i="6"/>
  <c r="X197" i="25"/>
  <c r="F182" i="25"/>
  <c r="M94" i="3"/>
  <c r="AF33" i="6"/>
  <c r="W197" i="25"/>
  <c r="F180" i="25"/>
  <c r="BD89" i="2" l="1"/>
  <c r="BM82" i="4"/>
  <c r="BM85" i="4"/>
  <c r="BF90" i="2"/>
  <c r="BM84" i="4"/>
  <c r="BD90" i="2"/>
  <c r="BF89" i="2"/>
  <c r="BM83" i="4"/>
  <c r="BD82" i="4"/>
  <c r="CX82" i="5"/>
  <c r="CX82" i="36"/>
  <c r="CX82" i="34"/>
  <c r="CX82" i="28"/>
  <c r="CX85" i="36"/>
  <c r="CX85" i="3"/>
  <c r="CX85" i="5"/>
  <c r="CX85" i="28"/>
  <c r="CX84" i="3"/>
  <c r="CX85" i="34"/>
  <c r="CX83" i="5"/>
  <c r="CX84" i="28"/>
  <c r="CX83" i="34"/>
  <c r="CX83" i="3"/>
  <c r="CX83" i="28"/>
  <c r="CX84" i="5"/>
  <c r="CX84" i="34"/>
  <c r="CX83" i="36"/>
  <c r="CX84" i="36"/>
  <c r="CX82" i="3"/>
  <c r="D176" i="25"/>
  <c r="Y175" i="25" s="1"/>
  <c r="W196" i="25"/>
  <c r="BM94" i="3"/>
  <c r="AM177" i="25"/>
  <c r="AM181" i="25"/>
  <c r="AM179" i="25"/>
  <c r="AI175" i="25"/>
  <c r="AI176" i="25" s="1"/>
  <c r="AD179" i="25" l="1"/>
  <c r="AD180" i="25" s="1"/>
  <c r="O181" i="25"/>
  <c r="O182" i="25" s="1"/>
  <c r="AD181" i="25"/>
  <c r="AD182" i="25" s="1"/>
  <c r="O175" i="25"/>
  <c r="O176" i="25" s="1"/>
  <c r="BM89" i="2"/>
  <c r="BM89" i="4" s="1"/>
  <c r="Y176" i="25"/>
  <c r="BD89" i="4"/>
  <c r="AL185" i="25" s="1"/>
  <c r="D186" i="25"/>
  <c r="Y179" i="25"/>
  <c r="Y180" i="25" s="1"/>
  <c r="Y181" i="25"/>
  <c r="Y182" i="25" s="1"/>
  <c r="T175" i="25"/>
  <c r="T176" i="25" s="1"/>
  <c r="AD177" i="25"/>
  <c r="AD178" i="25" s="1"/>
  <c r="AN177" i="25"/>
  <c r="T181" i="25"/>
  <c r="T182" i="25" s="1"/>
  <c r="AI179" i="25"/>
  <c r="AI180" i="25" s="1"/>
  <c r="Y177" i="25"/>
  <c r="Y178" i="25" s="1"/>
  <c r="AN179" i="25"/>
  <c r="BM90" i="2"/>
  <c r="BF90" i="4"/>
  <c r="O179" i="25"/>
  <c r="O180" i="25" s="1"/>
  <c r="T179" i="25"/>
  <c r="T180" i="25" s="1"/>
  <c r="T177" i="25"/>
  <c r="T178" i="25" s="1"/>
  <c r="AI181" i="25"/>
  <c r="AI182" i="25" s="1"/>
  <c r="AI177" i="25"/>
  <c r="AI178" i="25" s="1"/>
  <c r="AD175" i="25"/>
  <c r="AD176" i="25" s="1"/>
  <c r="O177" i="25"/>
  <c r="O178" i="25" s="1"/>
  <c r="AN181" i="25"/>
  <c r="D94" i="2"/>
  <c r="BF89" i="4"/>
  <c r="CX89" i="5"/>
  <c r="CX89" i="36"/>
  <c r="CX89" i="28"/>
  <c r="CX89" i="34"/>
  <c r="CX89" i="3"/>
  <c r="CX90" i="5"/>
  <c r="CX90" i="36"/>
  <c r="CX90" i="34"/>
  <c r="CX90" i="28"/>
  <c r="BD90" i="4"/>
  <c r="D188" i="25"/>
  <c r="BM92" i="2"/>
  <c r="CX90" i="3"/>
  <c r="CX82" i="4"/>
  <c r="AL175" i="25"/>
  <c r="AN175" i="25" s="1"/>
  <c r="F186" i="25"/>
  <c r="F188" i="25"/>
  <c r="BM91" i="2" l="1"/>
  <c r="CX89" i="4"/>
  <c r="F94" i="2"/>
  <c r="AX94" i="36" s="1"/>
  <c r="BM90" i="4"/>
  <c r="D94" i="4"/>
  <c r="AX94" i="34"/>
  <c r="AX94" i="3"/>
  <c r="CX90" i="4"/>
  <c r="AL187" i="25"/>
  <c r="BM91" i="4"/>
  <c r="BD94" i="2"/>
  <c r="BM92" i="4"/>
  <c r="BF94" i="2"/>
  <c r="T185" i="25"/>
  <c r="T186" i="25" s="1"/>
  <c r="O185" i="25"/>
  <c r="O186" i="25" s="1"/>
  <c r="AD187" i="25"/>
  <c r="AD188" i="25" s="1"/>
  <c r="Y185" i="25"/>
  <c r="Y186" i="25" s="1"/>
  <c r="T187" i="25"/>
  <c r="T188" i="25" s="1"/>
  <c r="O187" i="25"/>
  <c r="O188" i="25" s="1"/>
  <c r="AI185" i="25"/>
  <c r="AI186" i="25" s="1"/>
  <c r="Y187" i="25"/>
  <c r="Y188" i="25" s="1"/>
  <c r="AD185" i="25"/>
  <c r="AD186" i="25" s="1"/>
  <c r="AI187" i="25"/>
  <c r="AI188" i="25" s="1"/>
  <c r="AM187" i="25"/>
  <c r="AM185" i="25"/>
  <c r="AN185" i="25" s="1"/>
  <c r="AX94" i="28" l="1"/>
  <c r="AX94" i="5"/>
  <c r="M94" i="2"/>
  <c r="F94" i="4"/>
  <c r="AX94" i="4" s="1"/>
  <c r="BD94" i="4"/>
  <c r="CX94" i="36"/>
  <c r="CX96" i="36" s="1"/>
  <c r="CX94" i="5"/>
  <c r="CX96" i="5" s="1"/>
  <c r="CX94" i="34"/>
  <c r="CX96" i="34" s="1"/>
  <c r="CX94" i="28"/>
  <c r="CX96" i="28" s="1"/>
  <c r="CX94" i="3"/>
  <c r="CX96" i="3" s="1"/>
  <c r="AN187" i="25"/>
  <c r="BM94" i="2"/>
  <c r="BM94" i="4" s="1"/>
  <c r="BF94" i="4"/>
  <c r="F198" i="25"/>
  <c r="D198" i="25"/>
  <c r="AX93" i="5" l="1"/>
  <c r="AX93" i="36"/>
  <c r="M94" i="4"/>
  <c r="AX93" i="4" s="1"/>
  <c r="AX96" i="4" s="1"/>
  <c r="AX93" i="28"/>
  <c r="AX93" i="34"/>
  <c r="AX93" i="3"/>
  <c r="CX94" i="4"/>
  <c r="CX96" i="4" s="1"/>
  <c r="F193" i="25"/>
  <c r="AM192" i="25"/>
  <c r="AL192" i="25"/>
  <c r="D193" i="25"/>
  <c r="F196" i="25"/>
  <c r="AL197" i="25"/>
  <c r="T197" i="25"/>
  <c r="T198" i="25" s="1"/>
  <c r="AI197" i="25"/>
  <c r="AI198" i="25" s="1"/>
  <c r="O197" i="25"/>
  <c r="O198" i="25" s="1"/>
  <c r="Y197" i="25"/>
  <c r="Y198" i="25" s="1"/>
  <c r="AD197" i="25"/>
  <c r="AD198" i="25" s="1"/>
  <c r="AM197" i="25"/>
  <c r="AD196" i="25" l="1"/>
  <c r="AX96" i="34"/>
  <c r="AX98" i="34" s="1"/>
  <c r="O196" i="25"/>
  <c r="AX96" i="5"/>
  <c r="AX98" i="5" s="1"/>
  <c r="AI196" i="25"/>
  <c r="AX96" i="28"/>
  <c r="AX98" i="28" s="1"/>
  <c r="AX96" i="3"/>
  <c r="AX98" i="3" s="1"/>
  <c r="Y196" i="25"/>
  <c r="T196" i="25"/>
  <c r="AX96" i="36"/>
  <c r="AX98" i="36" s="1"/>
  <c r="AN192" i="25"/>
  <c r="AN197" i="25"/>
  <c r="AD192" i="25"/>
  <c r="AD193" i="25" s="1"/>
  <c r="AD201" i="25" s="1"/>
  <c r="O192" i="25"/>
  <c r="O193" i="25" s="1"/>
  <c r="O201" i="25" s="1"/>
  <c r="Y192" i="25"/>
  <c r="Y193" i="25" s="1"/>
  <c r="T192" i="25"/>
  <c r="T193" i="25" s="1"/>
  <c r="T201" i="25" s="1"/>
  <c r="AI192" i="25"/>
  <c r="AI193" i="25" s="1"/>
  <c r="AI201" i="25" s="1"/>
  <c r="O204" i="25" l="1"/>
  <c r="X2" i="6"/>
  <c r="Y201" i="25"/>
  <c r="X33" i="6"/>
  <c r="Y204" i="25"/>
  <c r="AI204" i="25"/>
  <c r="X32" i="6"/>
  <c r="AD204" i="25"/>
  <c r="X31" i="6"/>
  <c r="X26" i="6"/>
  <c r="X10" i="6"/>
  <c r="X15" i="6"/>
  <c r="X21" i="6"/>
  <c r="X5" i="6"/>
  <c r="X24" i="6"/>
  <c r="X8" i="6"/>
  <c r="X18" i="6"/>
  <c r="X27" i="6"/>
  <c r="X29" i="6"/>
  <c r="X13" i="6"/>
  <c r="X11" i="6"/>
  <c r="X16" i="6"/>
  <c r="X3" i="6"/>
  <c r="X30" i="6"/>
  <c r="X14" i="6"/>
  <c r="X23" i="6"/>
  <c r="X25" i="6"/>
  <c r="X9" i="6"/>
  <c r="X28" i="6"/>
  <c r="X12" i="6"/>
  <c r="T204" i="25"/>
  <c r="X22" i="6"/>
  <c r="X6" i="6"/>
  <c r="X7" i="6"/>
  <c r="X17" i="6"/>
  <c r="X19" i="6"/>
  <c r="X20" i="6"/>
  <c r="X4" i="6"/>
  <c r="V33" i="6" l="1"/>
  <c r="T33" i="6" s="1"/>
  <c r="AB19" i="6"/>
  <c r="V19" i="6"/>
  <c r="T19" i="6" s="1"/>
  <c r="AB22" i="6"/>
  <c r="V22" i="6"/>
  <c r="T22" i="6" s="1"/>
  <c r="AB9" i="6"/>
  <c r="V9" i="6"/>
  <c r="T9" i="6" s="1"/>
  <c r="AB30" i="6"/>
  <c r="V30" i="6"/>
  <c r="T30" i="6" s="1"/>
  <c r="AB13" i="6"/>
  <c r="V13" i="6"/>
  <c r="T13" i="6" s="1"/>
  <c r="AB8" i="6"/>
  <c r="V8" i="6"/>
  <c r="T8" i="6" s="1"/>
  <c r="AB15" i="6"/>
  <c r="V15" i="6"/>
  <c r="T15" i="6" s="1"/>
  <c r="AB17" i="6"/>
  <c r="V17" i="6"/>
  <c r="T17" i="6" s="1"/>
  <c r="AB25" i="6"/>
  <c r="V25" i="6"/>
  <c r="T25" i="6" s="1"/>
  <c r="V3" i="6"/>
  <c r="T3" i="6" s="1"/>
  <c r="AB3" i="6"/>
  <c r="AB29" i="6"/>
  <c r="V29" i="6"/>
  <c r="T29" i="6" s="1"/>
  <c r="AB24" i="6"/>
  <c r="V24" i="6"/>
  <c r="T24" i="6" s="1"/>
  <c r="AB10" i="6"/>
  <c r="V10" i="6"/>
  <c r="T10" i="6" s="1"/>
  <c r="V32" i="6"/>
  <c r="T32" i="6" s="1"/>
  <c r="AB4" i="6"/>
  <c r="V4" i="6"/>
  <c r="T4" i="6" s="1"/>
  <c r="AB7" i="6"/>
  <c r="V7" i="6"/>
  <c r="T7" i="6" s="1"/>
  <c r="AB12" i="6"/>
  <c r="V12" i="6"/>
  <c r="T12" i="6" s="1"/>
  <c r="AB23" i="6"/>
  <c r="V23" i="6"/>
  <c r="T23" i="6" s="1"/>
  <c r="AB16" i="6"/>
  <c r="V16" i="6"/>
  <c r="T16" i="6" s="1"/>
  <c r="AB27" i="6"/>
  <c r="V27" i="6"/>
  <c r="T27" i="6" s="1"/>
  <c r="AB5" i="6"/>
  <c r="V5" i="6"/>
  <c r="T5" i="6" s="1"/>
  <c r="AB26" i="6"/>
  <c r="V26" i="6"/>
  <c r="T26" i="6" s="1"/>
  <c r="V2" i="6"/>
  <c r="T2" i="6" s="1"/>
  <c r="AB2" i="6"/>
  <c r="AB20" i="6"/>
  <c r="V20" i="6"/>
  <c r="T20" i="6" s="1"/>
  <c r="AB6" i="6"/>
  <c r="V6" i="6"/>
  <c r="T6" i="6" s="1"/>
  <c r="AB28" i="6"/>
  <c r="V28" i="6"/>
  <c r="T28" i="6" s="1"/>
  <c r="AB14" i="6"/>
  <c r="V14" i="6"/>
  <c r="T14" i="6" s="1"/>
  <c r="AB11" i="6"/>
  <c r="V11" i="6"/>
  <c r="T11" i="6" s="1"/>
  <c r="AB18" i="6"/>
  <c r="V18" i="6"/>
  <c r="T18" i="6" s="1"/>
  <c r="AB21" i="6"/>
  <c r="V21" i="6"/>
  <c r="T21" i="6" s="1"/>
  <c r="V31" i="6"/>
  <c r="T31" i="6" s="1"/>
  <c r="S21" i="6" l="1"/>
  <c r="Z24" i="6"/>
  <c r="Z2" i="6"/>
  <c r="S20" i="6"/>
  <c r="S23" i="6"/>
  <c r="S7" i="6"/>
  <c r="S3" i="6"/>
  <c r="Z17" i="6"/>
  <c r="Z8" i="6"/>
  <c r="Z30" i="6"/>
  <c r="Z22" i="6"/>
  <c r="Z21" i="6"/>
  <c r="Z11" i="6"/>
  <c r="Z28" i="6"/>
  <c r="Z20" i="6"/>
  <c r="Z26" i="6"/>
  <c r="Z27" i="6"/>
  <c r="Z23" i="6"/>
  <c r="Z7" i="6"/>
  <c r="S10" i="6"/>
  <c r="S32" i="6"/>
  <c r="S29" i="6"/>
  <c r="S25" i="6"/>
  <c r="S15" i="6"/>
  <c r="S13" i="6"/>
  <c r="S9" i="6"/>
  <c r="S19" i="6"/>
  <c r="S28" i="6"/>
  <c r="S27" i="6"/>
  <c r="S14" i="6"/>
  <c r="S5" i="6"/>
  <c r="S16" i="6"/>
  <c r="S12" i="6"/>
  <c r="S4" i="6"/>
  <c r="Z10" i="6"/>
  <c r="Z29" i="6"/>
  <c r="Z25" i="6"/>
  <c r="Z15" i="6"/>
  <c r="Z13" i="6"/>
  <c r="Z9" i="6"/>
  <c r="Z19" i="6"/>
  <c r="S11" i="6"/>
  <c r="S26" i="6"/>
  <c r="S18" i="6"/>
  <c r="S6" i="6"/>
  <c r="S31" i="6"/>
  <c r="Z18" i="6"/>
  <c r="Z14" i="6"/>
  <c r="Z6" i="6"/>
  <c r="S2" i="6"/>
  <c r="Z5" i="6"/>
  <c r="Z16" i="6"/>
  <c r="Z12" i="6"/>
  <c r="Z4" i="6"/>
  <c r="S24" i="6"/>
  <c r="Z3" i="6"/>
  <c r="S17" i="6"/>
  <c r="S8" i="6"/>
  <c r="S30" i="6"/>
  <c r="S22" i="6"/>
  <c r="S33" i="6"/>
  <c r="AP6" i="6" l="1"/>
  <c r="AP11" i="6"/>
  <c r="AP29" i="6"/>
  <c r="AP13" i="6"/>
  <c r="AP17" i="6"/>
  <c r="AP27" i="6"/>
  <c r="AP23" i="6"/>
  <c r="AP21" i="6"/>
  <c r="AP22" i="6"/>
  <c r="AP25" i="6"/>
  <c r="AP24" i="6"/>
  <c r="AP7" i="6"/>
  <c r="AP32" i="6"/>
  <c r="AP12" i="6"/>
  <c r="AP5" i="6"/>
  <c r="C10" i="6"/>
  <c r="B22" i="6"/>
  <c r="G21" i="6"/>
  <c r="K8" i="6"/>
  <c r="D4" i="6"/>
  <c r="L21" i="6"/>
  <c r="G20" i="6"/>
  <c r="B27" i="6"/>
  <c r="K9" i="6"/>
  <c r="A26" i="6"/>
  <c r="E20" i="6"/>
  <c r="N33" i="6"/>
  <c r="L3" i="6"/>
  <c r="D8" i="6"/>
  <c r="C31" i="6"/>
  <c r="E29" i="6"/>
  <c r="N7" i="6"/>
  <c r="B10" i="6"/>
  <c r="L24" i="6"/>
  <c r="D31" i="6"/>
  <c r="M10" i="6"/>
  <c r="N22" i="6"/>
  <c r="K28" i="6"/>
  <c r="L19" i="6"/>
  <c r="L14" i="6"/>
  <c r="K22" i="6"/>
  <c r="B15" i="6"/>
  <c r="N3" i="6"/>
  <c r="D3" i="6"/>
  <c r="D15" i="6"/>
  <c r="G16" i="6"/>
  <c r="G30" i="6"/>
  <c r="O31" i="6"/>
  <c r="N6" i="6"/>
  <c r="O21" i="6"/>
  <c r="D11" i="6"/>
  <c r="O30" i="6"/>
  <c r="B25" i="6"/>
  <c r="C16" i="6"/>
  <c r="A33" i="6"/>
  <c r="G22" i="6"/>
  <c r="K18" i="6"/>
  <c r="G12" i="6"/>
  <c r="B30" i="6"/>
  <c r="K25" i="6"/>
  <c r="G28" i="6"/>
  <c r="B33" i="6"/>
  <c r="P29" i="6"/>
  <c r="L30" i="6"/>
  <c r="A4" i="6"/>
  <c r="E30" i="6"/>
  <c r="P24" i="6"/>
  <c r="E22" i="6"/>
  <c r="E2" i="6"/>
  <c r="G31" i="6"/>
  <c r="O2" i="6"/>
  <c r="B8" i="6"/>
  <c r="B6" i="6"/>
  <c r="K26" i="6"/>
  <c r="N14" i="6"/>
  <c r="E27" i="6"/>
  <c r="L4" i="6"/>
  <c r="E10" i="6"/>
  <c r="P31" i="6"/>
  <c r="M30" i="6"/>
  <c r="K15" i="6"/>
  <c r="N10" i="6"/>
  <c r="A31" i="6"/>
  <c r="P5" i="6"/>
  <c r="P32" i="6"/>
  <c r="A20" i="6"/>
  <c r="N13" i="6"/>
  <c r="E14" i="6"/>
  <c r="K14" i="6"/>
  <c r="C17" i="6"/>
  <c r="P33" i="6"/>
  <c r="G24" i="6"/>
  <c r="E9" i="6"/>
  <c r="K21" i="6"/>
  <c r="M17" i="6"/>
  <c r="C32" i="6"/>
  <c r="A23" i="6"/>
  <c r="N12" i="6"/>
  <c r="G6" i="6"/>
  <c r="B11" i="6"/>
  <c r="M18" i="6"/>
  <c r="E8" i="6"/>
  <c r="O16" i="6"/>
  <c r="M32" i="6"/>
  <c r="O3" i="6"/>
  <c r="A10" i="6"/>
  <c r="N23" i="6"/>
  <c r="O20" i="6"/>
  <c r="D12" i="6"/>
  <c r="N8" i="6"/>
  <c r="L13" i="6"/>
  <c r="B18" i="6"/>
  <c r="D27" i="6"/>
  <c r="M21" i="6"/>
  <c r="L6" i="6"/>
  <c r="A15" i="6"/>
  <c r="K17" i="6"/>
  <c r="A9" i="6"/>
  <c r="C22" i="6"/>
  <c r="E6" i="6"/>
  <c r="C27" i="6"/>
  <c r="E26" i="6"/>
  <c r="G17" i="6"/>
  <c r="K29" i="6"/>
  <c r="C29" i="6"/>
  <c r="A27" i="6"/>
  <c r="M29" i="6"/>
  <c r="O32" i="6"/>
  <c r="G15" i="6"/>
  <c r="E23" i="6"/>
  <c r="A25" i="6"/>
  <c r="N9" i="6"/>
  <c r="L20" i="6"/>
  <c r="M26" i="6"/>
  <c r="K19" i="6"/>
  <c r="K24" i="6"/>
  <c r="O26" i="6"/>
  <c r="A3" i="6"/>
  <c r="O14" i="6"/>
  <c r="L11" i="6"/>
  <c r="N4" i="6"/>
  <c r="A24" i="6"/>
  <c r="L23" i="6"/>
  <c r="A6" i="6"/>
  <c r="D25" i="6"/>
  <c r="G2" i="6"/>
  <c r="P23" i="6"/>
  <c r="N21" i="6"/>
  <c r="E18" i="6"/>
  <c r="A22" i="6"/>
  <c r="G13" i="6"/>
  <c r="C28" i="6"/>
  <c r="P14" i="6"/>
  <c r="O12" i="6"/>
  <c r="A16" i="6"/>
  <c r="L22" i="6"/>
  <c r="M11" i="6"/>
  <c r="K7" i="6"/>
  <c r="P17" i="6"/>
  <c r="M15" i="6"/>
  <c r="E4" i="6"/>
  <c r="C2" i="6"/>
  <c r="G4" i="6"/>
  <c r="G14" i="6"/>
  <c r="D23" i="6"/>
  <c r="D10" i="6"/>
  <c r="B29" i="6"/>
  <c r="P6" i="6"/>
  <c r="E24" i="6"/>
  <c r="K23" i="6"/>
  <c r="G27" i="6"/>
  <c r="B19" i="6"/>
  <c r="C12" i="6"/>
  <c r="P28" i="6"/>
  <c r="E33" i="6"/>
  <c r="N11" i="6"/>
  <c r="C13" i="6"/>
  <c r="P2" i="6"/>
  <c r="G33" i="6"/>
  <c r="M27" i="6"/>
  <c r="M7" i="6"/>
  <c r="N25" i="6"/>
  <c r="L10" i="6"/>
  <c r="P10" i="6"/>
  <c r="M6" i="6"/>
  <c r="N29" i="6"/>
  <c r="G19" i="6"/>
  <c r="B3" i="6"/>
  <c r="C33" i="6"/>
  <c r="L7" i="6"/>
  <c r="C18" i="6"/>
  <c r="C4" i="6"/>
  <c r="K5" i="6"/>
  <c r="K16" i="6"/>
  <c r="O19" i="6"/>
  <c r="D32" i="6"/>
  <c r="B24" i="6"/>
  <c r="P20" i="6"/>
  <c r="P9" i="6"/>
  <c r="C30" i="6"/>
  <c r="D17" i="6"/>
  <c r="A11" i="6"/>
  <c r="M25" i="6"/>
  <c r="E31" i="6"/>
  <c r="E11" i="6"/>
  <c r="A7" i="6"/>
  <c r="M33" i="6"/>
  <c r="E7" i="6"/>
  <c r="K6" i="6"/>
  <c r="N18" i="6"/>
  <c r="C8" i="6"/>
  <c r="K27" i="6"/>
  <c r="O6" i="6"/>
  <c r="O15" i="6"/>
  <c r="D21" i="6"/>
  <c r="K30" i="6"/>
  <c r="P13" i="6"/>
  <c r="B26" i="6"/>
  <c r="L8" i="6"/>
  <c r="L12" i="6"/>
  <c r="C15" i="6"/>
  <c r="G9" i="6"/>
  <c r="K12" i="6"/>
  <c r="B20" i="6"/>
  <c r="M19" i="6"/>
  <c r="A18" i="6"/>
  <c r="K10" i="6"/>
  <c r="O27" i="6"/>
  <c r="E16" i="6"/>
  <c r="P21" i="6"/>
  <c r="K20" i="6"/>
  <c r="L9" i="6"/>
  <c r="K3" i="6"/>
  <c r="M4" i="6"/>
  <c r="O13" i="6"/>
  <c r="G32" i="6"/>
  <c r="L25" i="6"/>
  <c r="E15" i="6"/>
  <c r="L17" i="6"/>
  <c r="N27" i="6"/>
  <c r="M9" i="6"/>
  <c r="G8" i="6"/>
  <c r="G29" i="6"/>
  <c r="B9" i="6"/>
  <c r="P18" i="6"/>
  <c r="C25" i="6"/>
  <c r="D18" i="6"/>
  <c r="E5" i="6"/>
  <c r="O33" i="6"/>
  <c r="E19" i="6"/>
  <c r="M14" i="6"/>
  <c r="C26" i="6"/>
  <c r="G3" i="6"/>
  <c r="M23" i="6"/>
  <c r="D6" i="6"/>
  <c r="A5" i="6"/>
  <c r="P15" i="6"/>
  <c r="A19" i="6"/>
  <c r="D28" i="6"/>
  <c r="L29" i="6"/>
  <c r="G25" i="6"/>
  <c r="O10" i="6"/>
  <c r="E21" i="6"/>
  <c r="N28" i="6"/>
  <c r="K13" i="6"/>
  <c r="C20" i="6"/>
  <c r="P26" i="6"/>
  <c r="L26" i="6"/>
  <c r="B7" i="6"/>
  <c r="L28" i="6"/>
  <c r="N32" i="6"/>
  <c r="O4" i="6"/>
  <c r="C14" i="6"/>
  <c r="M24" i="6"/>
  <c r="E12" i="6"/>
  <c r="M20" i="6"/>
  <c r="B32" i="6"/>
  <c r="M2" i="6"/>
  <c r="O11" i="6"/>
  <c r="O5" i="6"/>
  <c r="A14" i="6"/>
  <c r="B5" i="6"/>
  <c r="M12" i="6"/>
  <c r="P16" i="6"/>
  <c r="L16" i="6"/>
  <c r="B13" i="6"/>
  <c r="N16" i="6"/>
  <c r="O29" i="6"/>
  <c r="G18" i="6"/>
  <c r="O22" i="6"/>
  <c r="P12" i="6"/>
  <c r="A30" i="6"/>
  <c r="P19" i="6"/>
  <c r="K31" i="6"/>
  <c r="M13" i="6"/>
  <c r="O24" i="6"/>
  <c r="K32" i="6"/>
  <c r="G11" i="6"/>
  <c r="N17" i="6"/>
  <c r="A8" i="6"/>
  <c r="D2" i="6"/>
  <c r="D5" i="6"/>
  <c r="D13" i="6"/>
  <c r="M16" i="6"/>
  <c r="P27" i="6"/>
  <c r="N20" i="6"/>
  <c r="L32" i="6"/>
  <c r="O7" i="6"/>
  <c r="C6" i="6"/>
  <c r="C7" i="6"/>
  <c r="M8" i="6"/>
  <c r="B2" i="6"/>
  <c r="D20" i="6"/>
  <c r="P22" i="6"/>
  <c r="C5" i="6"/>
  <c r="E13" i="6"/>
  <c r="N30" i="6"/>
  <c r="D7" i="6"/>
  <c r="G10" i="6"/>
  <c r="L2" i="6"/>
  <c r="B14" i="6"/>
  <c r="M3" i="6"/>
  <c r="K4" i="6"/>
  <c r="B23" i="6"/>
  <c r="L31" i="6"/>
  <c r="P11" i="6"/>
  <c r="B21" i="6"/>
  <c r="N19" i="6"/>
  <c r="C11" i="6"/>
  <c r="D14" i="6"/>
  <c r="C23" i="6"/>
  <c r="A12" i="6"/>
  <c r="P25" i="6"/>
  <c r="O25" i="6"/>
  <c r="D24" i="6"/>
  <c r="O18" i="6"/>
  <c r="K33" i="6"/>
  <c r="P30" i="6"/>
  <c r="O8" i="6"/>
  <c r="C19" i="6"/>
  <c r="N5" i="6"/>
  <c r="E32" i="6"/>
  <c r="B16" i="6"/>
  <c r="E17" i="6"/>
  <c r="P7" i="6"/>
  <c r="O23" i="6"/>
  <c r="P3" i="6"/>
  <c r="L18" i="6"/>
  <c r="G23" i="6"/>
  <c r="C3" i="6"/>
  <c r="C9" i="6"/>
  <c r="D9" i="6"/>
  <c r="A13" i="6"/>
  <c r="M28" i="6"/>
  <c r="L5" i="6"/>
  <c r="N26" i="6"/>
  <c r="C24" i="6"/>
  <c r="D26" i="6"/>
  <c r="D30" i="6"/>
  <c r="D33" i="6"/>
  <c r="M22" i="6"/>
  <c r="A2" i="6"/>
  <c r="B4" i="6"/>
  <c r="N2" i="6"/>
  <c r="A29" i="6"/>
  <c r="E28" i="6"/>
  <c r="E3" i="6"/>
  <c r="P4" i="6"/>
  <c r="D16" i="6"/>
  <c r="L27" i="6"/>
  <c r="M5" i="6"/>
  <c r="M31" i="6"/>
  <c r="C21" i="6"/>
  <c r="G7" i="6"/>
  <c r="E25" i="6"/>
  <c r="O17" i="6"/>
  <c r="K11" i="6"/>
  <c r="O28" i="6"/>
  <c r="G5" i="6"/>
  <c r="N24" i="6"/>
  <c r="O9" i="6"/>
  <c r="P8" i="6"/>
  <c r="N15" i="6"/>
  <c r="B12" i="6"/>
  <c r="G26" i="6"/>
  <c r="K2" i="6"/>
  <c r="L15" i="6"/>
  <c r="D19" i="6"/>
  <c r="A21" i="6"/>
  <c r="N31" i="6"/>
  <c r="B17" i="6"/>
  <c r="D22" i="6"/>
  <c r="B28" i="6"/>
  <c r="B31" i="6"/>
  <c r="D29" i="6"/>
  <c r="A28" i="6"/>
  <c r="A17" i="6"/>
  <c r="A32" i="6"/>
  <c r="AP18" i="6"/>
  <c r="AP10" i="6"/>
  <c r="AP8" i="6"/>
  <c r="AP14" i="6"/>
  <c r="AP28" i="6"/>
  <c r="AP31" i="6"/>
  <c r="AP2" i="6"/>
  <c r="AP16" i="6"/>
  <c r="AP15" i="6"/>
  <c r="AP30" i="6"/>
  <c r="AP9" i="6"/>
  <c r="AP4" i="6"/>
  <c r="AP26" i="6"/>
  <c r="AP20" i="6"/>
  <c r="AP3" i="6"/>
  <c r="AP19" i="6"/>
  <c r="L33" i="6"/>
  <c r="AQ2" i="6" l="1"/>
  <c r="AS2" i="6" s="1"/>
  <c r="AP33" i="6"/>
  <c r="AR2" i="6" l="1"/>
  <c r="AM3" i="6" s="1"/>
  <c r="AU2" i="6"/>
  <c r="AT2" i="6"/>
  <c r="AQ3" i="6" l="1"/>
  <c r="AR3" i="6" l="1"/>
  <c r="AM4" i="6" s="1"/>
  <c r="AQ4" i="6" s="1"/>
  <c r="AS3" i="6"/>
  <c r="AU3" i="6" l="1"/>
  <c r="AT3" i="6"/>
  <c r="AS4" i="6"/>
  <c r="AR4" i="6"/>
  <c r="AM5" i="6" s="1"/>
  <c r="AQ5" i="6" s="1"/>
  <c r="AU4" i="6" l="1"/>
  <c r="AT4" i="6"/>
  <c r="AS5" i="6"/>
  <c r="AR5" i="6"/>
  <c r="AM6" i="6" l="1"/>
  <c r="AU5" i="6"/>
  <c r="AT5" i="6"/>
  <c r="AQ6" i="6" l="1"/>
  <c r="AS6" i="6" l="1"/>
  <c r="AR6" i="6"/>
  <c r="AM7" i="6" l="1"/>
  <c r="AT6" i="6"/>
  <c r="AU6" i="6"/>
  <c r="AQ7" i="6" l="1"/>
  <c r="AS7" i="6" l="1"/>
  <c r="AR7" i="6"/>
  <c r="AM8" i="6" s="1"/>
  <c r="AQ8" i="6" l="1"/>
  <c r="AU7" i="6"/>
  <c r="AT7" i="6"/>
  <c r="AS8" i="6" l="1"/>
  <c r="AR8" i="6"/>
  <c r="AM9" i="6" s="1"/>
  <c r="AQ9" i="6" l="1"/>
  <c r="AU8" i="6"/>
  <c r="AT8" i="6"/>
  <c r="AS9" i="6" l="1"/>
  <c r="AR9" i="6"/>
  <c r="AM10" i="6" s="1"/>
  <c r="AQ10" i="6" l="1"/>
  <c r="AU9" i="6"/>
  <c r="AT9" i="6"/>
  <c r="AS10" i="6" l="1"/>
  <c r="AR10" i="6"/>
  <c r="AM11" i="6" s="1"/>
  <c r="AQ11" i="6" l="1"/>
  <c r="AU10" i="6"/>
  <c r="AW10" i="6" s="1"/>
  <c r="AT10" i="6"/>
  <c r="AS11" i="6" l="1"/>
  <c r="AR11" i="6"/>
  <c r="AM12" i="6" s="1"/>
  <c r="AT11" i="6" l="1"/>
  <c r="AU11" i="6"/>
  <c r="AW11" i="6" s="1"/>
  <c r="AQ12" i="6"/>
  <c r="AS12" i="6" l="1"/>
  <c r="AR12" i="6"/>
  <c r="AM13" i="6" s="1"/>
  <c r="AQ13" i="6" l="1"/>
  <c r="AT12" i="6"/>
  <c r="AU12" i="6"/>
  <c r="AW12" i="6" s="1"/>
  <c r="AS13" i="6" l="1"/>
  <c r="AR13" i="6"/>
  <c r="AM14" i="6" s="1"/>
  <c r="AQ14" i="6" l="1"/>
  <c r="AU13" i="6"/>
  <c r="AW13" i="6" s="1"/>
  <c r="AT13" i="6"/>
  <c r="AS14" i="6" l="1"/>
  <c r="AR14" i="6"/>
  <c r="AM15" i="6" s="1"/>
  <c r="AU14" i="6" l="1"/>
  <c r="AW14" i="6" s="1"/>
  <c r="AT14" i="6"/>
  <c r="AQ15" i="6"/>
  <c r="AS15" i="6" l="1"/>
  <c r="AR15" i="6"/>
  <c r="AM16" i="6" s="1"/>
  <c r="AQ16" i="6" l="1"/>
  <c r="AT15" i="6"/>
  <c r="AU15" i="6"/>
  <c r="AW15" i="6" s="1"/>
  <c r="AS16" i="6" l="1"/>
  <c r="AR16" i="6"/>
  <c r="AM17" i="6" s="1"/>
  <c r="AQ17" i="6" l="1"/>
  <c r="AU16" i="6"/>
  <c r="AW16" i="6" s="1"/>
  <c r="AT16" i="6"/>
  <c r="AS17" i="6" l="1"/>
  <c r="AR17" i="6"/>
  <c r="AM18" i="6" s="1"/>
  <c r="AQ18" i="6" l="1"/>
  <c r="AU17" i="6"/>
  <c r="AW17" i="6" s="1"/>
  <c r="AT17" i="6"/>
  <c r="AS18" i="6" l="1"/>
  <c r="AR18" i="6"/>
  <c r="AM19" i="6" s="1"/>
  <c r="AQ19" i="6" l="1"/>
  <c r="AU18" i="6"/>
  <c r="AW18" i="6" s="1"/>
  <c r="AT18" i="6"/>
  <c r="AS19" i="6" l="1"/>
  <c r="AR19" i="6"/>
  <c r="AM20" i="6" s="1"/>
  <c r="AQ20" i="6" l="1"/>
  <c r="AT19" i="6"/>
  <c r="AU19" i="6"/>
  <c r="AW19" i="6" s="1"/>
  <c r="AS20" i="6" l="1"/>
  <c r="AR20" i="6"/>
  <c r="AM21" i="6" s="1"/>
  <c r="AQ21" i="6" l="1"/>
  <c r="AU20" i="6"/>
  <c r="AW20" i="6" s="1"/>
  <c r="AT20" i="6"/>
  <c r="AS21" i="6" l="1"/>
  <c r="AR21" i="6"/>
  <c r="AM22" i="6" s="1"/>
  <c r="AT21" i="6" l="1"/>
  <c r="AU21" i="6"/>
  <c r="AW21" i="6" s="1"/>
  <c r="AQ22" i="6"/>
  <c r="AS22" i="6" l="1"/>
  <c r="AR22" i="6"/>
  <c r="AM23" i="6" s="1"/>
  <c r="AQ23" i="6" l="1"/>
  <c r="AT22" i="6"/>
  <c r="AU22" i="6"/>
  <c r="AW22" i="6" s="1"/>
  <c r="AS23" i="6" l="1"/>
  <c r="AR23" i="6"/>
  <c r="AM24" i="6" s="1"/>
  <c r="AT23" i="6" l="1"/>
  <c r="AU23" i="6"/>
  <c r="AW23" i="6" s="1"/>
  <c r="AQ24" i="6"/>
  <c r="AS24" i="6" l="1"/>
  <c r="AR24" i="6"/>
  <c r="AM25" i="6" s="1"/>
  <c r="AQ25" i="6" l="1"/>
  <c r="AU24" i="6"/>
  <c r="AW24" i="6" s="1"/>
  <c r="AT24" i="6"/>
  <c r="AS25" i="6" l="1"/>
  <c r="AR25" i="6"/>
  <c r="AM26" i="6" s="1"/>
  <c r="AQ26" i="6" l="1"/>
  <c r="AT25" i="6"/>
  <c r="AU25" i="6"/>
  <c r="AW25" i="6" s="1"/>
  <c r="AS26" i="6" l="1"/>
  <c r="AR26" i="6"/>
  <c r="AM27" i="6" s="1"/>
  <c r="AQ27" i="6" l="1"/>
  <c r="AT26" i="6"/>
  <c r="AU26" i="6"/>
  <c r="AW26" i="6" s="1"/>
  <c r="AS27" i="6" l="1"/>
  <c r="AR27" i="6"/>
  <c r="AM28" i="6" s="1"/>
  <c r="AU27" i="6" l="1"/>
  <c r="AW27" i="6" s="1"/>
  <c r="AT27" i="6"/>
  <c r="AQ28" i="6"/>
  <c r="AS28" i="6" l="1"/>
  <c r="AR28" i="6"/>
  <c r="AM29" i="6" s="1"/>
  <c r="AQ29" i="6" l="1"/>
  <c r="AU28" i="6"/>
  <c r="AW28" i="6" s="1"/>
  <c r="AT28" i="6"/>
  <c r="AS29" i="6" l="1"/>
  <c r="AR29" i="6"/>
  <c r="AM30" i="6" l="1"/>
  <c r="AQ30" i="6" s="1"/>
  <c r="AM31" i="6"/>
  <c r="AT29" i="6"/>
  <c r="AU29" i="6"/>
  <c r="AW29" i="6" s="1"/>
  <c r="AQ31" i="6" l="1"/>
  <c r="AS30" i="6"/>
  <c r="AR30" i="6"/>
  <c r="AU30" i="6" l="1"/>
  <c r="AW30" i="6" s="1"/>
  <c r="AT30" i="6"/>
  <c r="AS31" i="6"/>
  <c r="AR31" i="6"/>
  <c r="AM32" i="6" s="1"/>
  <c r="AQ32" i="6" s="1"/>
  <c r="AS32" i="6" l="1"/>
  <c r="AR32" i="6"/>
  <c r="AR33" i="6" s="1"/>
  <c r="AU31" i="6"/>
  <c r="AW31" i="6" s="1"/>
  <c r="AT31" i="6"/>
  <c r="AU32" i="6" l="1"/>
  <c r="AT32" i="6"/>
  <c r="AT33" i="6" s="1"/>
  <c r="AW32" i="6" l="1"/>
  <c r="AU33" i="6"/>
  <c r="AV10" i="6" s="1"/>
  <c r="AV18" i="6" l="1"/>
  <c r="AV30" i="6"/>
  <c r="AV21" i="6"/>
  <c r="AV25" i="6"/>
  <c r="AV11" i="6"/>
  <c r="AV4" i="6"/>
  <c r="AW4" i="6" s="1"/>
  <c r="AV31" i="6"/>
  <c r="AV32" i="6"/>
  <c r="AV3" i="6"/>
  <c r="AW3" i="6" s="1"/>
  <c r="AV24" i="6"/>
  <c r="AV27" i="6"/>
  <c r="AV7" i="6"/>
  <c r="AW7" i="6" s="1"/>
  <c r="AV28" i="6"/>
  <c r="AV16" i="6"/>
  <c r="AV2" i="6"/>
  <c r="AW2" i="6" s="1"/>
  <c r="AV5" i="6"/>
  <c r="AW5" i="6" s="1"/>
  <c r="AV22" i="6"/>
  <c r="AV29" i="6"/>
  <c r="AV14" i="6"/>
  <c r="AV15" i="6"/>
  <c r="AV13" i="6"/>
  <c r="AV9" i="6"/>
  <c r="AW9" i="6" s="1"/>
  <c r="AV8" i="6"/>
  <c r="AW8" i="6" s="1"/>
  <c r="AV20" i="6"/>
  <c r="AV6" i="6"/>
  <c r="AW6" i="6" s="1"/>
  <c r="AV23" i="6"/>
  <c r="AV17" i="6"/>
  <c r="AV12" i="6"/>
  <c r="AV26" i="6"/>
  <c r="AV19" i="6"/>
  <c r="AA11" i="6" l="1"/>
  <c r="AA27" i="6"/>
  <c r="AA26" i="6"/>
  <c r="AA25" i="6"/>
  <c r="AA20" i="6"/>
  <c r="AA23" i="6"/>
  <c r="AA6" i="6"/>
  <c r="AA21" i="6"/>
  <c r="AA5" i="6"/>
  <c r="AA12" i="6"/>
  <c r="AA24" i="6"/>
  <c r="AA4" i="6"/>
  <c r="AA8" i="6"/>
  <c r="AA18" i="6"/>
  <c r="AA30" i="6"/>
  <c r="AA14" i="6"/>
  <c r="AA19" i="6"/>
  <c r="AA10" i="6"/>
  <c r="AA7" i="6"/>
  <c r="AA29" i="6"/>
  <c r="AA22" i="6"/>
  <c r="AA16" i="6"/>
  <c r="AA28" i="6"/>
  <c r="AA9" i="6"/>
  <c r="AA15" i="6"/>
  <c r="AA17" i="6"/>
  <c r="AA13" i="6"/>
  <c r="AA3" i="6"/>
  <c r="AA2" i="6"/>
  <c r="F31" i="6" l="1"/>
  <c r="F4" i="6"/>
  <c r="F7" i="6"/>
  <c r="F32" i="6"/>
  <c r="F10" i="6"/>
  <c r="F27" i="6"/>
  <c r="F15" i="6"/>
  <c r="F20" i="6"/>
  <c r="AC29" i="6"/>
  <c r="AC4" i="6"/>
  <c r="AC25" i="6"/>
  <c r="AC13" i="6"/>
  <c r="AC28" i="6"/>
  <c r="AC7" i="6"/>
  <c r="AC30" i="6"/>
  <c r="AC24" i="6"/>
  <c r="AC6" i="6"/>
  <c r="AC26" i="6"/>
  <c r="AC9" i="6"/>
  <c r="AC14" i="6"/>
  <c r="AC21" i="6"/>
  <c r="AC17" i="6"/>
  <c r="AC16" i="6"/>
  <c r="AC10" i="6"/>
  <c r="AC18" i="6"/>
  <c r="AC12" i="6"/>
  <c r="AC23" i="6"/>
  <c r="AC27" i="6"/>
  <c r="AC15" i="6"/>
  <c r="AC22" i="6"/>
  <c r="AC19" i="6"/>
  <c r="AC8" i="6"/>
  <c r="AC5" i="6"/>
  <c r="AC20" i="6"/>
  <c r="AC11" i="6"/>
  <c r="F28" i="6"/>
  <c r="F5" i="6"/>
  <c r="F26" i="6"/>
  <c r="F6" i="6"/>
  <c r="F12" i="6"/>
  <c r="F9" i="6"/>
  <c r="F30" i="6"/>
  <c r="F13" i="6"/>
  <c r="F14" i="6"/>
  <c r="F24" i="6"/>
  <c r="AC3" i="6"/>
  <c r="F2" i="6"/>
  <c r="F21" i="6"/>
  <c r="F23" i="6"/>
  <c r="F16" i="6"/>
  <c r="F22" i="6"/>
  <c r="F18" i="6"/>
  <c r="F19" i="6"/>
  <c r="F8" i="6"/>
  <c r="F29" i="6"/>
  <c r="F33" i="6"/>
  <c r="F17" i="6"/>
  <c r="F25" i="6"/>
  <c r="AA35" i="6"/>
  <c r="AC2" i="6"/>
  <c r="F3" i="6"/>
  <c r="F11" i="6"/>
  <c r="H14" i="6" l="1"/>
  <c r="H15" i="6"/>
  <c r="H6" i="6"/>
  <c r="H31" i="6"/>
  <c r="H8" i="6"/>
  <c r="H30" i="6"/>
  <c r="H32" i="6"/>
  <c r="H26" i="6"/>
  <c r="H27" i="6"/>
  <c r="H5" i="6"/>
  <c r="H4" i="6"/>
  <c r="H22" i="6"/>
  <c r="H20" i="6"/>
  <c r="H13" i="6"/>
  <c r="H12" i="6"/>
  <c r="H24" i="6"/>
  <c r="H3" i="6"/>
  <c r="H16" i="6"/>
  <c r="H29" i="6"/>
  <c r="H33" i="6"/>
  <c r="H21" i="6"/>
  <c r="H23" i="6"/>
  <c r="H18" i="6"/>
  <c r="H19" i="6"/>
  <c r="H25" i="6"/>
  <c r="H10" i="6"/>
  <c r="H7" i="6"/>
  <c r="H28" i="6"/>
  <c r="H11" i="6"/>
  <c r="H9" i="6"/>
  <c r="H17" i="6"/>
  <c r="AC35" i="6"/>
  <c r="H2" i="6"/>
  <c r="AD29" i="6" l="1"/>
  <c r="AE29" i="6" s="1"/>
  <c r="AD4" i="6"/>
  <c r="AE4" i="6" s="1"/>
  <c r="AD21" i="6"/>
  <c r="AE21" i="6" s="1"/>
  <c r="AD12" i="6"/>
  <c r="AE12" i="6" s="1"/>
  <c r="AD22" i="6"/>
  <c r="AE22" i="6" s="1"/>
  <c r="AD19" i="6"/>
  <c r="AE19" i="6" s="1"/>
  <c r="AD5" i="6"/>
  <c r="AE5" i="6" s="1"/>
  <c r="AD20" i="6"/>
  <c r="AE20" i="6" s="1"/>
  <c r="AD17" i="6"/>
  <c r="AE17" i="6" s="1"/>
  <c r="AD23" i="6"/>
  <c r="AE23" i="6" s="1"/>
  <c r="AD11" i="6"/>
  <c r="AE11" i="6" s="1"/>
  <c r="AD13" i="6"/>
  <c r="AE13" i="6" s="1"/>
  <c r="AD28" i="6"/>
  <c r="AE28" i="6" s="1"/>
  <c r="AD7" i="6"/>
  <c r="AE7" i="6" s="1"/>
  <c r="AD26" i="6"/>
  <c r="AE26" i="6" s="1"/>
  <c r="AD25" i="6"/>
  <c r="AE25" i="6" s="1"/>
  <c r="AD24" i="6"/>
  <c r="AE24" i="6" s="1"/>
  <c r="AD6" i="6"/>
  <c r="AE6" i="6" s="1"/>
  <c r="AD9" i="6"/>
  <c r="AE9" i="6" s="1"/>
  <c r="AD10" i="6"/>
  <c r="AE10" i="6" s="1"/>
  <c r="AD18" i="6"/>
  <c r="AE18" i="6" s="1"/>
  <c r="AD15" i="6"/>
  <c r="AE15" i="6" s="1"/>
  <c r="AD8" i="6"/>
  <c r="AE8" i="6" s="1"/>
  <c r="AD30" i="6"/>
  <c r="I31" i="6" s="1"/>
  <c r="AD14" i="6"/>
  <c r="AE14" i="6" s="1"/>
  <c r="AD16" i="6"/>
  <c r="AE16" i="6" s="1"/>
  <c r="AD27" i="6"/>
  <c r="AE27" i="6" s="1"/>
  <c r="AD3" i="6"/>
  <c r="AD2" i="6"/>
  <c r="I2" i="6" s="1"/>
  <c r="AE30" i="6" l="1"/>
  <c r="I32" i="6"/>
  <c r="I22" i="6"/>
  <c r="I19" i="6"/>
  <c r="I18" i="6"/>
  <c r="I15" i="6"/>
  <c r="I30" i="6"/>
  <c r="I23" i="6"/>
  <c r="I8" i="6"/>
  <c r="I9" i="6"/>
  <c r="I4" i="6"/>
  <c r="I20" i="6"/>
  <c r="I33" i="6"/>
  <c r="I16" i="6"/>
  <c r="J14" i="6"/>
  <c r="I24" i="6"/>
  <c r="AE3" i="6"/>
  <c r="J24" i="6" s="1"/>
  <c r="I6" i="6"/>
  <c r="I5" i="6"/>
  <c r="I13" i="6"/>
  <c r="I17" i="6"/>
  <c r="I14" i="6"/>
  <c r="I12" i="6"/>
  <c r="I7" i="6"/>
  <c r="I3" i="6"/>
  <c r="I10" i="6"/>
  <c r="J18" i="6"/>
  <c r="I26" i="6"/>
  <c r="J26" i="6"/>
  <c r="J7" i="6"/>
  <c r="AE2" i="6"/>
  <c r="I29" i="6"/>
  <c r="AD35" i="6"/>
  <c r="J23" i="6"/>
  <c r="I21" i="6"/>
  <c r="I27" i="6"/>
  <c r="J27" i="6"/>
  <c r="I28" i="6"/>
  <c r="I11" i="6"/>
  <c r="J16" i="6"/>
  <c r="J6" i="6"/>
  <c r="J17" i="6"/>
  <c r="J15" i="6"/>
  <c r="I25" i="6"/>
  <c r="J32" i="6" l="1"/>
  <c r="J30" i="6"/>
  <c r="J2" i="6"/>
  <c r="J20" i="6"/>
  <c r="J13" i="6"/>
  <c r="J31" i="6"/>
  <c r="J8" i="6"/>
  <c r="J12" i="6"/>
  <c r="J19" i="6"/>
  <c r="J22" i="6"/>
  <c r="J25" i="6"/>
  <c r="J9" i="6"/>
  <c r="J29" i="6"/>
  <c r="J33" i="6"/>
  <c r="J5" i="6"/>
  <c r="J4" i="6"/>
  <c r="J21" i="6"/>
  <c r="J10" i="6"/>
  <c r="J28" i="6"/>
  <c r="J11" i="6"/>
  <c r="AE35" i="6"/>
  <c r="J35" i="6" s="1"/>
  <c r="J3" i="6"/>
  <c r="AN8" i="25" l="1"/>
  <c r="AN68" i="25"/>
  <c r="AN18" i="25"/>
  <c r="AN28" i="25"/>
  <c r="AN78" i="25"/>
  <c r="AN5" i="25"/>
  <c r="AN88" i="25"/>
  <c r="AN47" i="25"/>
  <c r="AN57" i="25"/>
  <c r="AN36" i="25"/>
  <c r="AN46" i="25"/>
  <c r="AN96" i="25"/>
  <c r="AN106" i="25"/>
  <c r="AN116" i="25"/>
  <c r="AN19" i="25"/>
  <c r="AN29" i="25"/>
  <c r="AN69" i="25"/>
  <c r="AN89" i="25"/>
  <c r="AN35" i="25"/>
  <c r="AN45" i="25"/>
  <c r="AN6" i="25"/>
  <c r="AN16" i="25"/>
  <c r="AN26" i="25"/>
  <c r="AN38" i="25"/>
  <c r="AN48" i="25"/>
  <c r="AN58" i="25"/>
  <c r="AN108" i="25"/>
  <c r="AN118" i="25"/>
  <c r="AN97" i="25"/>
  <c r="AN65" i="25"/>
  <c r="AN75" i="25"/>
  <c r="AN85" i="25"/>
  <c r="AN107" i="25"/>
  <c r="AN76" i="25"/>
  <c r="AN117" i="25"/>
  <c r="AN95" i="25"/>
  <c r="AN105" i="25"/>
  <c r="AN115" i="25"/>
  <c r="AN7" i="25"/>
  <c r="AN39" i="25"/>
  <c r="AN49" i="25"/>
  <c r="AN59" i="25"/>
  <c r="AN109" i="25"/>
  <c r="AN119" i="25"/>
  <c r="AN86" i="25"/>
  <c r="AN17" i="25"/>
  <c r="AN27" i="25"/>
  <c r="AN77" i="25"/>
  <c r="AN87" i="25"/>
  <c r="AN154" i="25" l="1"/>
  <c r="AN170" i="25"/>
  <c r="AN142" i="25"/>
  <c r="AN20" i="25"/>
  <c r="AN13" i="25"/>
  <c r="AN12" i="25"/>
  <c r="AN14" i="25"/>
  <c r="AN103" i="25"/>
  <c r="AN102" i="25"/>
  <c r="AN104" i="25"/>
  <c r="AN110" i="25"/>
  <c r="AN40" i="25"/>
  <c r="AN33" i="25"/>
  <c r="AN34" i="25"/>
  <c r="AN130" i="25"/>
  <c r="AN148" i="25"/>
  <c r="AN160" i="25"/>
  <c r="AN83" i="25"/>
  <c r="AN82" i="25"/>
  <c r="AN84" i="25"/>
  <c r="AN90" i="25"/>
  <c r="AN100" i="25"/>
  <c r="AN93" i="25"/>
  <c r="AN92" i="25"/>
  <c r="AN94" i="25"/>
  <c r="AN67" i="25"/>
  <c r="AN158" i="25"/>
  <c r="AN99" i="25"/>
  <c r="AN172" i="25"/>
  <c r="AN124" i="25"/>
  <c r="AN140" i="25"/>
  <c r="AN70" i="25"/>
  <c r="AN64" i="25"/>
  <c r="AN62" i="25"/>
  <c r="AN63" i="25"/>
  <c r="AN25" i="25"/>
  <c r="AN98" i="25"/>
  <c r="AN66" i="25"/>
  <c r="AN55" i="25"/>
  <c r="AN79" i="25"/>
  <c r="AN9" i="25"/>
  <c r="AN56" i="25"/>
  <c r="AN80" i="25"/>
  <c r="AN74" i="25"/>
  <c r="AN73" i="25"/>
  <c r="AN72" i="25"/>
  <c r="AN37" i="25"/>
  <c r="AN53" i="25"/>
  <c r="AN52" i="25"/>
  <c r="AN60" i="25"/>
  <c r="AN54" i="25"/>
  <c r="AN15" i="25"/>
  <c r="AN10" i="25"/>
  <c r="AN4" i="25"/>
  <c r="AN3" i="25"/>
  <c r="AN138" i="25"/>
  <c r="AN132" i="25"/>
  <c r="AN128" i="25"/>
  <c r="AN144" i="25"/>
  <c r="AN30" i="25"/>
  <c r="AN23" i="25"/>
  <c r="AN22" i="25"/>
  <c r="AN24" i="25"/>
  <c r="AN120" i="25"/>
  <c r="AN114" i="25"/>
  <c r="AN113" i="25"/>
  <c r="AN112" i="25"/>
  <c r="AN43" i="25"/>
  <c r="AN42" i="25"/>
  <c r="AN50" i="25"/>
  <c r="AN44" i="25"/>
  <c r="AN188" i="25" l="1"/>
  <c r="AN146" i="25"/>
  <c r="AN126" i="25"/>
  <c r="AN2" i="25"/>
  <c r="AN168" i="25"/>
  <c r="AN152" i="25"/>
  <c r="AN134" i="25"/>
  <c r="AX98" i="4"/>
  <c r="AN136" i="25"/>
  <c r="AN164" i="25"/>
  <c r="AN182" i="25"/>
  <c r="AN166" i="25"/>
  <c r="AN162" i="25"/>
  <c r="AN32" i="25"/>
  <c r="AN204" i="25" l="1"/>
  <c r="X34" i="6"/>
  <c r="C34" i="6" s="1"/>
  <c r="AN196" i="25"/>
  <c r="AN198" i="25"/>
  <c r="AN180" i="25"/>
  <c r="AN176" i="25"/>
  <c r="AN193" i="25"/>
  <c r="AN178" i="25"/>
  <c r="AN150" i="25"/>
  <c r="AN186" i="25"/>
  <c r="AN201" i="25" l="1"/>
  <c r="AL40" i="25" l="1"/>
  <c r="AL110" i="25"/>
  <c r="AL63" i="25"/>
  <c r="AL62" i="25"/>
  <c r="AL92" i="25"/>
  <c r="AL12" i="25"/>
  <c r="AL70" i="25"/>
  <c r="AL100" i="25"/>
  <c r="AL103" i="25"/>
  <c r="AL32" i="25"/>
  <c r="AL33" i="25"/>
  <c r="AL20" i="25"/>
  <c r="AL13" i="25"/>
  <c r="AL93" i="25"/>
  <c r="AL102" i="25"/>
  <c r="AL112" i="25" l="1"/>
  <c r="AL50" i="25"/>
  <c r="AL10" i="25"/>
  <c r="AL72" i="25"/>
  <c r="AL30" i="25"/>
  <c r="AL53" i="25"/>
  <c r="AL43" i="25"/>
  <c r="AL60" i="25"/>
  <c r="AL42" i="25"/>
  <c r="AL113" i="25"/>
  <c r="AL2" i="25"/>
  <c r="AL90" i="25"/>
  <c r="AL22" i="25"/>
  <c r="AL3" i="25"/>
  <c r="AL52" i="25"/>
  <c r="AL120" i="25"/>
  <c r="AL80" i="25"/>
  <c r="AL73" i="25"/>
  <c r="AL82" i="25"/>
  <c r="AL83" i="25"/>
  <c r="AL23" i="25" l="1"/>
  <c r="AI34" i="6" l="1"/>
  <c r="AH34" i="6"/>
  <c r="AK34" i="6"/>
  <c r="AJ34" i="6"/>
  <c r="AG34" i="6" l="1"/>
  <c r="AF34" i="6"/>
  <c r="AL196" i="25" l="1"/>
</calcChain>
</file>

<file path=xl/sharedStrings.xml><?xml version="1.0" encoding="utf-8"?>
<sst xmlns="http://schemas.openxmlformats.org/spreadsheetml/2006/main" count="8528" uniqueCount="488">
  <si>
    <t>Vorrunde</t>
  </si>
  <si>
    <t>Gruppe A</t>
  </si>
  <si>
    <t xml:space="preserve"> </t>
  </si>
  <si>
    <t>Tabelle</t>
  </si>
  <si>
    <t>P</t>
  </si>
  <si>
    <t>T+</t>
  </si>
  <si>
    <t>T-</t>
  </si>
  <si>
    <t>T+/-</t>
  </si>
  <si>
    <t>G</t>
  </si>
  <si>
    <t>Berechnungen</t>
  </si>
  <si>
    <t>L0</t>
  </si>
  <si>
    <t>DV</t>
  </si>
  <si>
    <t>S1</t>
  </si>
  <si>
    <t>L1</t>
  </si>
  <si>
    <t>DV-TD</t>
  </si>
  <si>
    <t>S2</t>
  </si>
  <si>
    <t>DV-Tore</t>
  </si>
  <si>
    <t>S3</t>
  </si>
  <si>
    <t>L4</t>
  </si>
  <si>
    <t>Punkte</t>
  </si>
  <si>
    <t>OK</t>
  </si>
  <si>
    <t>Gruppe E</t>
  </si>
  <si>
    <t>Datum/Zeit</t>
  </si>
  <si>
    <t>Spielort</t>
  </si>
  <si>
    <t>-</t>
  </si>
  <si>
    <t>:</t>
  </si>
  <si>
    <t>ok</t>
  </si>
  <si>
    <t>1A</t>
  </si>
  <si>
    <t>1E</t>
  </si>
  <si>
    <t>2A</t>
  </si>
  <si>
    <t>2E</t>
  </si>
  <si>
    <t>Gruppe B</t>
  </si>
  <si>
    <t>Gruppe F</t>
  </si>
  <si>
    <t>1B</t>
  </si>
  <si>
    <t>1F</t>
  </si>
  <si>
    <t>2B</t>
  </si>
  <si>
    <t>2F</t>
  </si>
  <si>
    <t>Gruppe C</t>
  </si>
  <si>
    <t>1C</t>
  </si>
  <si>
    <t>2C</t>
  </si>
  <si>
    <t>Gruppe D</t>
  </si>
  <si>
    <t>1D</t>
  </si>
  <si>
    <t>2D</t>
  </si>
  <si>
    <t>Achtelfinale</t>
  </si>
  <si>
    <t>Viertelfinale</t>
  </si>
  <si>
    <t>AF1</t>
  </si>
  <si>
    <t>VF3</t>
  </si>
  <si>
    <t>AF2</t>
  </si>
  <si>
    <t>VF1</t>
  </si>
  <si>
    <t>AF3</t>
  </si>
  <si>
    <t>VF4</t>
  </si>
  <si>
    <t>AF4</t>
  </si>
  <si>
    <t>VF2</t>
  </si>
  <si>
    <t>AF5</t>
  </si>
  <si>
    <t>AF6</t>
  </si>
  <si>
    <t>Halbfinale</t>
  </si>
  <si>
    <t>AF7</t>
  </si>
  <si>
    <t>F1</t>
  </si>
  <si>
    <t>AF8</t>
  </si>
  <si>
    <t>F2</t>
  </si>
  <si>
    <t>HF1</t>
  </si>
  <si>
    <t>HF2</t>
  </si>
  <si>
    <t>Finale</t>
  </si>
  <si>
    <t>Weltmeister</t>
  </si>
  <si>
    <t>Um Platz 3</t>
  </si>
  <si>
    <t>Zufallsformel</t>
  </si>
  <si>
    <t>Spanien</t>
  </si>
  <si>
    <t>Deutschland</t>
  </si>
  <si>
    <t>Schweiz</t>
  </si>
  <si>
    <t>Frankreich</t>
  </si>
  <si>
    <t>England</t>
  </si>
  <si>
    <t>Niederlande</t>
  </si>
  <si>
    <t>SP</t>
  </si>
  <si>
    <t>In allen Vorrundenspielen</t>
  </si>
  <si>
    <t>maximal mögliche Punkte</t>
  </si>
  <si>
    <t>In den Viertelfinalen</t>
  </si>
  <si>
    <t>Anzahl Spiele</t>
  </si>
  <si>
    <t>In den Halbfinalen</t>
  </si>
  <si>
    <t xml:space="preserve">Richtiges Ergebnis </t>
  </si>
  <si>
    <t xml:space="preserve">Richtige Differenz  </t>
  </si>
  <si>
    <t xml:space="preserve">Sieg/Remis richtig  </t>
  </si>
  <si>
    <t>Mannschaft kommt weiter</t>
  </si>
  <si>
    <t>In den Achtelfinalen</t>
  </si>
  <si>
    <t xml:space="preserve">Sieger richtig      </t>
  </si>
  <si>
    <t>Im Finale, Spiel um Platz 3</t>
  </si>
  <si>
    <t>Random</t>
  </si>
  <si>
    <t>Summe</t>
  </si>
  <si>
    <t>Rang</t>
  </si>
  <si>
    <t>Name</t>
  </si>
  <si>
    <t>Einsatz</t>
  </si>
  <si>
    <t>Prämienplatz</t>
  </si>
  <si>
    <t>Gewinn</t>
  </si>
  <si>
    <t>Punkte*</t>
  </si>
  <si>
    <t>Abzug</t>
  </si>
  <si>
    <t>Verteile</t>
  </si>
  <si>
    <t>Sieger</t>
  </si>
  <si>
    <t>Zweiter</t>
  </si>
  <si>
    <t>Topf</t>
  </si>
  <si>
    <t>Platz</t>
  </si>
  <si>
    <t>maximal pro Platz</t>
  </si>
  <si>
    <t>Anzahl</t>
  </si>
  <si>
    <t>möglich</t>
  </si>
  <si>
    <t>Vergabe</t>
  </si>
  <si>
    <t>Einzel</t>
  </si>
  <si>
    <t>Alle</t>
  </si>
  <si>
    <t>Prämien</t>
  </si>
  <si>
    <t>Rest</t>
  </si>
  <si>
    <t>Gesamt</t>
  </si>
  <si>
    <t>Bernd Schubert</t>
  </si>
  <si>
    <t>NOBODY</t>
  </si>
  <si>
    <r>
      <t xml:space="preserve">Wenn zuwenige eingezahlt haben, so daß nach den % ein </t>
    </r>
    <r>
      <rPr>
        <b/>
        <sz val="10"/>
        <rFont val="Arial"/>
        <family val="2"/>
      </rPr>
      <t>Rest</t>
    </r>
    <r>
      <rPr>
        <sz val="10"/>
        <rFont val="Arial"/>
      </rPr>
      <t xml:space="preserve"> bleibt,</t>
    </r>
  </si>
  <si>
    <t>wird danach pro Kopf aufgeteilt!</t>
  </si>
  <si>
    <t>Wer nur 50% Einsatz bezahlt, kann auch nur 50% des Preises für die Klasse gewinnen.</t>
  </si>
  <si>
    <t>Die übrigbleibenden Abzüge werden zu gleichen Teilen an alle Gewinner verteilt.</t>
  </si>
  <si>
    <t>(aber keine doppelte "Bestrafung" - hierbei zählen die 50%igen dann wieder mit)</t>
  </si>
  <si>
    <t>Ergebnis Zufall</t>
  </si>
  <si>
    <t>Betrag</t>
  </si>
  <si>
    <t>Bernd</t>
  </si>
  <si>
    <t>R</t>
  </si>
  <si>
    <t>S</t>
  </si>
  <si>
    <t>Halbfinale2</t>
  </si>
  <si>
    <t>Halbfinale1</t>
  </si>
  <si>
    <t>Pro Mannschaft in anderem VF</t>
  </si>
  <si>
    <t>Pro Mannschaft in anderem HF</t>
  </si>
  <si>
    <t>Punkteverteilung</t>
  </si>
  <si>
    <t>Pro Mannschaft richtig im AF</t>
  </si>
  <si>
    <t>Pro Mannschaft richtig im VF</t>
  </si>
  <si>
    <t>Pro Mannschaft richtig im HF</t>
  </si>
  <si>
    <t>Pro Mannschaft richtig im Spiel</t>
  </si>
  <si>
    <t>1.Eintragen eines Mitspielers:</t>
  </si>
  <si>
    <t>Arbeitsmappe Mitspieler kopieren Elke (z.B.)</t>
  </si>
  <si>
    <t>In Elke alle ersetzen mspieler -&gt; elke</t>
  </si>
  <si>
    <t>In TipSpiel V bis AK alle ersetzen mitspieler -&gt; Elke</t>
  </si>
  <si>
    <t>Spalte W Elke eintragen und Spalte Y Einsatz</t>
  </si>
  <si>
    <t>2.Tabelle kürzen (auf mehr als 5 Mitspieler!)</t>
  </si>
  <si>
    <t>Gesamte unbenutze Ränge markieren</t>
  </si>
  <si>
    <t>(maximal jedoch 7 bis 30) so daß bei AO die Prämien bleiben und als Rang 31 Random!)</t>
  </si>
  <si>
    <t>Zellen löschen</t>
  </si>
  <si>
    <t>Spalten R bis U von der 2. auf den Rest (incl. Random!) reparieren</t>
  </si>
  <si>
    <t>In Spalte AL die Kreuzchen entfernen</t>
  </si>
  <si>
    <t>L0=AE hebelt Berechnung aus (top level Losen)</t>
  </si>
  <si>
    <t>L1=AK hebelt Direktvergleich (S1) aus</t>
  </si>
  <si>
    <t>3A</t>
  </si>
  <si>
    <t>L4=AV Losen UEFA-Koeffizient, Fairplay oder Münzwurf</t>
  </si>
  <si>
    <t>3B</t>
  </si>
  <si>
    <t>3C</t>
  </si>
  <si>
    <t>Gruppendritte</t>
  </si>
  <si>
    <t>A</t>
  </si>
  <si>
    <t>C</t>
  </si>
  <si>
    <t>L8</t>
  </si>
  <si>
    <t>3D</t>
  </si>
  <si>
    <t>3E</t>
  </si>
  <si>
    <t>3F</t>
  </si>
  <si>
    <t>D</t>
  </si>
  <si>
    <t>E</t>
  </si>
  <si>
    <t>B</t>
  </si>
  <si>
    <t>F</t>
  </si>
  <si>
    <t>(Gruppen-1.+2. oder als guter 3.)</t>
  </si>
  <si>
    <t>aus Vorlage</t>
  </si>
  <si>
    <t>leer</t>
  </si>
  <si>
    <t>3.(neues) Turnier mit Historie/Diagramm:</t>
  </si>
  <si>
    <t>SAMMEL kopieren in SNAPSHOT0, SNAPSHOT1, SNAPSHOT2</t>
  </si>
  <si>
    <t>im Ordner Fest SAMMEL um die Einzeltip-Verknüpfungen erleichtern (SNAPSHOTs bleiben) -&gt; umbenennen in WM15</t>
  </si>
  <si>
    <t>im Ordner Diag WM15 als WM15diag und WM15_d20150605 kopieren</t>
  </si>
  <si>
    <t>WM15 öffnen, in Ergebnisse alles leeren, Historie und Verknüpfungen auch</t>
  </si>
  <si>
    <t>WM15 wieder kopieren als WM15_d20150605</t>
  </si>
  <si>
    <t>W15diag öffnen und Verknüpfungen anpassen: SNAPSHOT0 -&gt; WM15, SNAPSHOT1 und SNAPSHOT2 -&gt; WM15_d20150605</t>
  </si>
  <si>
    <t>4a.normal Spieltag eintragen:</t>
  </si>
  <si>
    <t>in WM15 (hat keine Verknüpfungen mehr) und Sichern als WM15_d20150606,7,8.9 usw.</t>
  </si>
  <si>
    <t>4b.Spieltage in Historie/Diagramm nehmen:</t>
  </si>
  <si>
    <t>WM15diag öffnen, es werden die Ergebnisse aus WM15 aktualisiert!</t>
  </si>
  <si>
    <t>Mappe Historie, die einzelnen Tage fortführen pro Spalte (Rename 20150605 -&gt; 20150606 usw.)</t>
  </si>
  <si>
    <t>Speichern. Sicherheitskopien von WM15 und WM15diag anlegen!</t>
  </si>
  <si>
    <t>WM15diag wieder öffnen. Verknüpfungen alle löschen.</t>
  </si>
  <si>
    <t xml:space="preserve">WICHTIG!!! Jetzt die WM15diag SPEICHERN ALS WM15. </t>
  </si>
  <si>
    <t>Dann übernimmt Excel diesen Namen aktuell und beim Beenden kann Speichern JA gesagt werden. (WM15diag und ggf. Sicherung bleiben unbehelligt).</t>
  </si>
  <si>
    <t>WM15 wieder kopieren als WM15_d20150606</t>
  </si>
  <si>
    <t>WM15diag noch mal öffnen (aktualisiert aber die Werte waren schon gültig)</t>
  </si>
  <si>
    <t>WM15diag_d20150606 und WM15_d20150606 sichern im Stand-Ordner.</t>
  </si>
  <si>
    <t>WM15 und WM15_d20150606 zeigen das letzte aktualisierte Diagramm und haben keine Verknüpfungen ;-)</t>
  </si>
  <si>
    <t>In allen Spielen</t>
  </si>
  <si>
    <t>Pro Mannschaft, Toranzahl richtig</t>
  </si>
  <si>
    <t>Anzahl Spiele*</t>
  </si>
  <si>
    <t>Pkt</t>
  </si>
  <si>
    <t>Schottland</t>
  </si>
  <si>
    <t>Türkei</t>
  </si>
  <si>
    <t>Belgien</t>
  </si>
  <si>
    <t>Österreich</t>
  </si>
  <si>
    <t>Kroatien</t>
  </si>
  <si>
    <t>Tschechien</t>
  </si>
  <si>
    <t>Portugal</t>
  </si>
  <si>
    <t>ja</t>
  </si>
  <si>
    <t>Jackpot</t>
  </si>
  <si>
    <t>Fest</t>
  </si>
  <si>
    <t>Punkte-Gesamt</t>
  </si>
  <si>
    <t>Punkte pro Tag</t>
  </si>
  <si>
    <t>Tag</t>
  </si>
  <si>
    <t>Tages-Platz</t>
  </si>
  <si>
    <t>Tagessieg</t>
  </si>
  <si>
    <t>Gesamt-Erster</t>
  </si>
  <si>
    <t>Tagessiege</t>
  </si>
  <si>
    <t>Mexiko</t>
  </si>
  <si>
    <t>USA</t>
  </si>
  <si>
    <t>Südafrika</t>
  </si>
  <si>
    <t>Paraguay</t>
  </si>
  <si>
    <t>Südkorea</t>
  </si>
  <si>
    <t>Australien</t>
  </si>
  <si>
    <t>Kanada</t>
  </si>
  <si>
    <t>Bosnien/Herzg.</t>
  </si>
  <si>
    <t>Curaçao</t>
  </si>
  <si>
    <t>Katar</t>
  </si>
  <si>
    <t>Elfenbeinküste</t>
  </si>
  <si>
    <t>Ecuador</t>
  </si>
  <si>
    <t>Brasilien</t>
  </si>
  <si>
    <t>Marokko</t>
  </si>
  <si>
    <t>Japan</t>
  </si>
  <si>
    <t>Haiti</t>
  </si>
  <si>
    <t>Schweden</t>
  </si>
  <si>
    <t>Tunesien</t>
  </si>
  <si>
    <t>Gruppe G</t>
  </si>
  <si>
    <t>Gruppe J</t>
  </si>
  <si>
    <t>Argentinien</t>
  </si>
  <si>
    <t>Ägypten</t>
  </si>
  <si>
    <t>Algerien</t>
  </si>
  <si>
    <t>IR Iran</t>
  </si>
  <si>
    <t>Neuseeland</t>
  </si>
  <si>
    <t>Jordanien</t>
  </si>
  <si>
    <t>1G</t>
  </si>
  <si>
    <t>1J</t>
  </si>
  <si>
    <t>2G</t>
  </si>
  <si>
    <t>2J</t>
  </si>
  <si>
    <t>3G</t>
  </si>
  <si>
    <t>3J</t>
  </si>
  <si>
    <t>Gruppe H</t>
  </si>
  <si>
    <t>Gruppe K</t>
  </si>
  <si>
    <t>Kap Verde</t>
  </si>
  <si>
    <t>DR Kongo</t>
  </si>
  <si>
    <t>Saudiarabien</t>
  </si>
  <si>
    <t>Usbekistan</t>
  </si>
  <si>
    <t>Uruguay</t>
  </si>
  <si>
    <t>Kolumbien</t>
  </si>
  <si>
    <t>1H</t>
  </si>
  <si>
    <t>1K</t>
  </si>
  <si>
    <t>2H</t>
  </si>
  <si>
    <t>2K</t>
  </si>
  <si>
    <t>3H</t>
  </si>
  <si>
    <t>3K</t>
  </si>
  <si>
    <t>Gruppe I</t>
  </si>
  <si>
    <t>Gruppe L</t>
  </si>
  <si>
    <t>Senegal</t>
  </si>
  <si>
    <t>Irak</t>
  </si>
  <si>
    <t>Ghana</t>
  </si>
  <si>
    <t>Norwegen</t>
  </si>
  <si>
    <t>Panama</t>
  </si>
  <si>
    <t>1I</t>
  </si>
  <si>
    <t>1L</t>
  </si>
  <si>
    <t>2I</t>
  </si>
  <si>
    <t>2L</t>
  </si>
  <si>
    <t>3I</t>
  </si>
  <si>
    <t>3L</t>
  </si>
  <si>
    <t>Sechzehntelfinale</t>
  </si>
  <si>
    <t>S01</t>
  </si>
  <si>
    <t>S02</t>
  </si>
  <si>
    <t>Bestimmen Buchstabencode</t>
  </si>
  <si>
    <t>S03</t>
  </si>
  <si>
    <t>Team 1</t>
  </si>
  <si>
    <t>Dritter</t>
  </si>
  <si>
    <t>Automatisch</t>
  </si>
  <si>
    <t>Team 2</t>
  </si>
  <si>
    <t>L16</t>
  </si>
  <si>
    <t>S04</t>
  </si>
  <si>
    <t>3CEFHI</t>
  </si>
  <si>
    <t>S05</t>
  </si>
  <si>
    <t>3EFGIJ</t>
  </si>
  <si>
    <t>S06</t>
  </si>
  <si>
    <t>3BEFIJ</t>
  </si>
  <si>
    <t>S07</t>
  </si>
  <si>
    <t>3ABCDF</t>
  </si>
  <si>
    <t>S08</t>
  </si>
  <si>
    <t>3AEHIJ</t>
  </si>
  <si>
    <t>S09</t>
  </si>
  <si>
    <t>3CDFGH</t>
  </si>
  <si>
    <t>S10</t>
  </si>
  <si>
    <t>3DEIJL</t>
  </si>
  <si>
    <t>S11</t>
  </si>
  <si>
    <t>3EHIJK</t>
  </si>
  <si>
    <t>S12</t>
  </si>
  <si>
    <t>S13</t>
  </si>
  <si>
    <t>S14</t>
  </si>
  <si>
    <t>S15</t>
  </si>
  <si>
    <t>S16</t>
  </si>
  <si>
    <t>L8=AV Losen UEFA-Koeffizient, Fairplay oder Münzwurf</t>
  </si>
  <si>
    <t>L16=manuelle Zuordnung der Dritten (falls Algorithmus nicht hilft)</t>
  </si>
  <si>
    <t>Spiel Nr.</t>
  </si>
  <si>
    <t>Ortszeit</t>
  </si>
  <si>
    <t>Deutsche Zeit</t>
  </si>
  <si>
    <t>Runde</t>
  </si>
  <si>
    <t>Wer1</t>
  </si>
  <si>
    <t>Wer2</t>
  </si>
  <si>
    <t>Austragungsort</t>
  </si>
  <si>
    <t>Gruppe</t>
  </si>
  <si>
    <t>Spielort (Stadt)</t>
  </si>
  <si>
    <t>Abzug von MESZ</t>
  </si>
  <si>
    <t>Zeitzone (Local)</t>
  </si>
  <si>
    <t>Vorrunde 1</t>
  </si>
  <si>
    <t>New York</t>
  </si>
  <si>
    <t>Eastern Time (ET)</t>
  </si>
  <si>
    <t>A1</t>
  </si>
  <si>
    <t>A2</t>
  </si>
  <si>
    <t>Mexico City</t>
  </si>
  <si>
    <t>Miami</t>
  </si>
  <si>
    <t>A3</t>
  </si>
  <si>
    <t>A4</t>
  </si>
  <si>
    <t>Guadalajara</t>
  </si>
  <si>
    <t>Toronto</t>
  </si>
  <si>
    <t>D1</t>
  </si>
  <si>
    <t>D2</t>
  </si>
  <si>
    <t>Los Angeles</t>
  </si>
  <si>
    <t>Boston</t>
  </si>
  <si>
    <t>Bosnien/Herzeg.</t>
  </si>
  <si>
    <t>B1</t>
  </si>
  <si>
    <t>B2</t>
  </si>
  <si>
    <t>Philadelphia</t>
  </si>
  <si>
    <t>C3</t>
  </si>
  <si>
    <t>C4</t>
  </si>
  <si>
    <t>Atlanta</t>
  </si>
  <si>
    <t>E3</t>
  </si>
  <si>
    <t>E4</t>
  </si>
  <si>
    <t>Dallas</t>
  </si>
  <si>
    <t>Central Time (CT)</t>
  </si>
  <si>
    <t>D3</t>
  </si>
  <si>
    <t>D4</t>
  </si>
  <si>
    <t>Vancouver</t>
  </si>
  <si>
    <t>Houston</t>
  </si>
  <si>
    <t>C1</t>
  </si>
  <si>
    <t>C2</t>
  </si>
  <si>
    <t>Kansas City</t>
  </si>
  <si>
    <t>B3</t>
  </si>
  <si>
    <t>B4</t>
  </si>
  <si>
    <t>San Francisco</t>
  </si>
  <si>
    <t>Monterrey</t>
  </si>
  <si>
    <t>F3</t>
  </si>
  <si>
    <t>F4</t>
  </si>
  <si>
    <t>E1</t>
  </si>
  <si>
    <t>E2</t>
  </si>
  <si>
    <t>Pacific Time (PT)</t>
  </si>
  <si>
    <t>H1</t>
  </si>
  <si>
    <t>H2</t>
  </si>
  <si>
    <t>G3</t>
  </si>
  <si>
    <t>G4</t>
  </si>
  <si>
    <t>Seattle</t>
  </si>
  <si>
    <t>H3</t>
  </si>
  <si>
    <t>H4</t>
  </si>
  <si>
    <t>G1</t>
  </si>
  <si>
    <t>G2</t>
  </si>
  <si>
    <t>I1</t>
  </si>
  <si>
    <t>I2</t>
  </si>
  <si>
    <t>I3</t>
  </si>
  <si>
    <t>I4</t>
  </si>
  <si>
    <t>L3</t>
  </si>
  <si>
    <t>J3</t>
  </si>
  <si>
    <t>J4</t>
  </si>
  <si>
    <t>J1</t>
  </si>
  <si>
    <t>J2</t>
  </si>
  <si>
    <t>K1</t>
  </si>
  <si>
    <t>K2</t>
  </si>
  <si>
    <t>K3</t>
  </si>
  <si>
    <t>K4</t>
  </si>
  <si>
    <t>L2</t>
  </si>
  <si>
    <t>Vorrunde 2</t>
  </si>
  <si>
    <t>H</t>
  </si>
  <si>
    <t>I</t>
  </si>
  <si>
    <t>Vorrunde 3</t>
  </si>
  <si>
    <t>J</t>
  </si>
  <si>
    <t>K</t>
  </si>
  <si>
    <t>L</t>
  </si>
  <si>
    <t/>
  </si>
  <si>
    <t>SF01</t>
  </si>
  <si>
    <t>SF03</t>
  </si>
  <si>
    <t>3-ABCDF</t>
  </si>
  <si>
    <t>SF04</t>
  </si>
  <si>
    <t>SF02</t>
  </si>
  <si>
    <t>SF06</t>
  </si>
  <si>
    <t>3-CDFGH</t>
  </si>
  <si>
    <t>SF05</t>
  </si>
  <si>
    <t>SF07</t>
  </si>
  <si>
    <t>3-CEFHI</t>
  </si>
  <si>
    <t>SF08</t>
  </si>
  <si>
    <t>3-EHIJK</t>
  </si>
  <si>
    <t>SF10</t>
  </si>
  <si>
    <t>3-BEFIJ</t>
  </si>
  <si>
    <t>SF09</t>
  </si>
  <si>
    <t>3-AEHIJ</t>
  </si>
  <si>
    <t>SF12</t>
  </si>
  <si>
    <t>SF11</t>
  </si>
  <si>
    <t>SF13</t>
  </si>
  <si>
    <t>3-EFGIJ</t>
  </si>
  <si>
    <t>SF15</t>
  </si>
  <si>
    <t>SF16</t>
  </si>
  <si>
    <t>3-DEIJL</t>
  </si>
  <si>
    <t>SF14</t>
  </si>
  <si>
    <t>AF01</t>
  </si>
  <si>
    <t>W74</t>
  </si>
  <si>
    <t>W77</t>
  </si>
  <si>
    <t>AF02</t>
  </si>
  <si>
    <t>W73</t>
  </si>
  <si>
    <t>W75</t>
  </si>
  <si>
    <t>AF03</t>
  </si>
  <si>
    <t>W76</t>
  </si>
  <si>
    <t>W78</t>
  </si>
  <si>
    <t>AF04</t>
  </si>
  <si>
    <t>W79</t>
  </si>
  <si>
    <t>W80</t>
  </si>
  <si>
    <t>AF05</t>
  </si>
  <si>
    <t>W83</t>
  </si>
  <si>
    <t>W84</t>
  </si>
  <si>
    <t>AF06</t>
  </si>
  <si>
    <t>W81</t>
  </si>
  <si>
    <t>W82</t>
  </si>
  <si>
    <t>AF07</t>
  </si>
  <si>
    <t>W86</t>
  </si>
  <si>
    <t>W88</t>
  </si>
  <si>
    <t>AF08</t>
  </si>
  <si>
    <t>W85</t>
  </si>
  <si>
    <t>W87</t>
  </si>
  <si>
    <t>VF01</t>
  </si>
  <si>
    <t>W89</t>
  </si>
  <si>
    <t>W90</t>
  </si>
  <si>
    <t>VF02</t>
  </si>
  <si>
    <t>W93</t>
  </si>
  <si>
    <t>W94</t>
  </si>
  <si>
    <t>VF03</t>
  </si>
  <si>
    <t>W91</t>
  </si>
  <si>
    <t>W92</t>
  </si>
  <si>
    <t>VF04</t>
  </si>
  <si>
    <t>W95</t>
  </si>
  <si>
    <t>W96</t>
  </si>
  <si>
    <t>HF01</t>
  </si>
  <si>
    <t>W97</t>
  </si>
  <si>
    <t>W98</t>
  </si>
  <si>
    <t>HF02</t>
  </si>
  <si>
    <t>W99</t>
  </si>
  <si>
    <t>W100</t>
  </si>
  <si>
    <t>Dritter Platz</t>
  </si>
  <si>
    <t>PL03</t>
  </si>
  <si>
    <t>V101</t>
  </si>
  <si>
    <t>V102</t>
  </si>
  <si>
    <t>FINALE</t>
  </si>
  <si>
    <t>W101</t>
  </si>
  <si>
    <t>W102</t>
  </si>
  <si>
    <t>Option</t>
  </si>
  <si>
    <t>Combo</t>
  </si>
  <si>
    <t>Anzahl Spiele (12 Gruppen)</t>
  </si>
  <si>
    <t>Anzahl Sechzehntelfinalisten</t>
  </si>
  <si>
    <t>In den Sechzehntelfinalen</t>
  </si>
  <si>
    <t>Pro Mannschaft richtig im SF</t>
  </si>
  <si>
    <t>Tagessieger: 10 Punkte</t>
  </si>
  <si>
    <t>j</t>
  </si>
  <si>
    <t>Rangliste</t>
  </si>
  <si>
    <t>Nobody</t>
  </si>
  <si>
    <t>Mitspieler</t>
  </si>
  <si>
    <t>Mitspieler 1</t>
  </si>
  <si>
    <t>Mitspieler 2</t>
  </si>
  <si>
    <t>Mitspieler 3</t>
  </si>
  <si>
    <t>Mitspieler 4</t>
  </si>
  <si>
    <t>Mitspieler 5</t>
  </si>
  <si>
    <t>Mitspieler 6</t>
  </si>
  <si>
    <t>Mitspieler 7</t>
  </si>
  <si>
    <t>Mitspieler 8</t>
  </si>
  <si>
    <t>Mitspieler 9</t>
  </si>
  <si>
    <t>Mitspieler 10</t>
  </si>
  <si>
    <t>Mitspieler 11</t>
  </si>
  <si>
    <t>Mitspieler 12</t>
  </si>
  <si>
    <t>Mitspieler 13</t>
  </si>
  <si>
    <t>Mitspieler 14</t>
  </si>
  <si>
    <t>Mitspieler 15</t>
  </si>
  <si>
    <t>Mitspieler 16</t>
  </si>
  <si>
    <t>Mitspieler 17</t>
  </si>
  <si>
    <t>Mitspieler 18</t>
  </si>
  <si>
    <t>Mitspieler 19</t>
  </si>
  <si>
    <t>Mitspieler 20</t>
  </si>
  <si>
    <t>Mitspieler 22</t>
  </si>
  <si>
    <t>Mitspieler 23</t>
  </si>
  <si>
    <t>Mitspieler 24</t>
  </si>
  <si>
    <t>Mitspieler 25</t>
  </si>
  <si>
    <t>Mitspieler 26</t>
  </si>
  <si>
    <t>Mitspieler 27</t>
  </si>
  <si>
    <t>Mitspieler 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</si>
</sst>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3">
    <font>
      <sz val="10"/>
      <name val="Arial"/>
    </font>
    <font>
      <sz val="10"/>
      <name val="Arial"/>
    </font>
    <font>
      <b/>
      <sz val="10"/>
      <name val="Arial"/>
      <family val="2"/>
    </font>
    <font>
      <sz val="10"/>
      <name val="Arial"/>
      <family val="2"/>
    </font>
    <font>
      <b/>
      <sz val="10"/>
      <name val="Arial"/>
      <family val="2"/>
    </font>
    <font>
      <u/>
      <sz val="10"/>
      <color indexed="12"/>
      <name val="Arial"/>
      <family val="2"/>
    </font>
    <font>
      <b/>
      <sz val="10"/>
      <color indexed="12"/>
      <name val="Arial"/>
      <family val="2"/>
    </font>
    <font>
      <b/>
      <sz val="10"/>
      <color indexed="17"/>
      <name val="Arial"/>
      <family val="2"/>
    </font>
    <font>
      <sz val="10"/>
      <color indexed="17"/>
      <name val="Arial"/>
      <family val="2"/>
    </font>
    <font>
      <sz val="10"/>
      <color indexed="12"/>
      <name val="Arial"/>
      <family val="2"/>
    </font>
    <font>
      <b/>
      <sz val="10"/>
      <color indexed="10"/>
      <name val="Arial"/>
      <family val="2"/>
    </font>
    <font>
      <sz val="10"/>
      <color indexed="10"/>
      <name val="Arial"/>
      <family val="2"/>
    </font>
    <font>
      <b/>
      <sz val="10"/>
      <name val="Verdana"/>
      <family val="2"/>
    </font>
    <font>
      <b/>
      <sz val="10"/>
      <color indexed="10"/>
      <name val="Verdana"/>
      <family val="2"/>
    </font>
    <font>
      <b/>
      <sz val="10"/>
      <color indexed="48"/>
      <name val="Verdana"/>
      <family val="2"/>
    </font>
    <font>
      <b/>
      <sz val="12"/>
      <color indexed="10"/>
      <name val="Arial"/>
      <family val="2"/>
    </font>
    <font>
      <b/>
      <sz val="12"/>
      <name val="Arial"/>
      <family val="2"/>
    </font>
    <font>
      <b/>
      <sz val="11"/>
      <color indexed="10"/>
      <name val="Arial"/>
      <family val="2"/>
    </font>
    <font>
      <b/>
      <sz val="12"/>
      <color indexed="12"/>
      <name val="Arial"/>
      <family val="2"/>
    </font>
    <font>
      <b/>
      <sz val="11"/>
      <color indexed="12"/>
      <name val="Arial"/>
      <family val="2"/>
    </font>
    <font>
      <sz val="12"/>
      <name val="Arial"/>
      <family val="2"/>
    </font>
    <font>
      <b/>
      <sz val="12"/>
      <color indexed="57"/>
      <name val="Arial"/>
      <family val="2"/>
    </font>
    <font>
      <sz val="10"/>
      <color indexed="57"/>
      <name val="Arial"/>
      <family val="2"/>
    </font>
    <font>
      <sz val="8"/>
      <name val="Arial"/>
      <family val="2"/>
    </font>
    <font>
      <b/>
      <sz val="11"/>
      <name val="Arial"/>
      <family val="2"/>
    </font>
    <font>
      <b/>
      <sz val="9"/>
      <name val="Arial"/>
      <family val="2"/>
    </font>
    <font>
      <sz val="10"/>
      <name val="Arial"/>
    </font>
    <font>
      <b/>
      <sz val="11"/>
      <color theme="1"/>
      <name val="Calibri"/>
      <family val="2"/>
      <scheme val="minor"/>
    </font>
    <font>
      <b/>
      <sz val="10"/>
      <color rgb="FFFF0000"/>
      <name val="Arial"/>
      <family val="2"/>
    </font>
    <font>
      <b/>
      <sz val="11"/>
      <color theme="9" tint="-0.499984740745262"/>
      <name val="Arial"/>
      <family val="2"/>
    </font>
    <font>
      <b/>
      <sz val="11"/>
      <color rgb="FFC00000"/>
      <name val="Arial"/>
      <family val="2"/>
    </font>
    <font>
      <b/>
      <sz val="11"/>
      <color rgb="FFFF0000"/>
      <name val="Arial"/>
      <family val="2"/>
    </font>
    <font>
      <sz val="10"/>
      <color theme="1"/>
      <name val="Arial Unicode MS"/>
    </font>
  </fonts>
  <fills count="25">
    <fill>
      <patternFill patternType="none"/>
    </fill>
    <fill>
      <patternFill patternType="gray125"/>
    </fill>
    <fill>
      <patternFill patternType="solid">
        <fgColor indexed="43"/>
        <bgColor indexed="64"/>
      </patternFill>
    </fill>
    <fill>
      <patternFill patternType="solid">
        <fgColor indexed="45"/>
        <bgColor indexed="64"/>
      </patternFill>
    </fill>
    <fill>
      <patternFill patternType="solid">
        <fgColor indexed="53"/>
        <bgColor indexed="64"/>
      </patternFill>
    </fill>
    <fill>
      <patternFill patternType="solid">
        <fgColor indexed="13"/>
        <bgColor indexed="64"/>
      </patternFill>
    </fill>
    <fill>
      <patternFill patternType="solid">
        <fgColor indexed="40"/>
        <bgColor indexed="64"/>
      </patternFill>
    </fill>
    <fill>
      <patternFill patternType="solid">
        <fgColor indexed="51"/>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indexed="15"/>
        <bgColor indexed="64"/>
      </patternFill>
    </fill>
    <fill>
      <patternFill patternType="solid">
        <fgColor indexed="50"/>
        <bgColor indexed="64"/>
      </patternFill>
    </fill>
    <fill>
      <patternFill patternType="solid">
        <fgColor indexed="11"/>
        <bgColor indexed="64"/>
      </patternFill>
    </fill>
    <fill>
      <patternFill patternType="solid">
        <fgColor theme="5" tint="0.39997558519241921"/>
        <bgColor indexed="64"/>
      </patternFill>
    </fill>
    <fill>
      <patternFill patternType="solid">
        <fgColor rgb="FF92D05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7"/>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s>
  <borders count="12">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double">
        <color indexed="64"/>
      </right>
      <top/>
      <bottom/>
      <diagonal/>
    </border>
    <border>
      <left/>
      <right style="double">
        <color indexed="64"/>
      </right>
      <top style="double">
        <color indexed="64"/>
      </top>
      <bottom style="double">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right/>
      <top style="thin">
        <color indexed="64"/>
      </top>
      <bottom/>
      <diagonal/>
    </border>
    <border>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9" fontId="1" fillId="0" borderId="0" applyFont="0" applyFill="0" applyBorder="0" applyAlignment="0" applyProtection="0"/>
  </cellStyleXfs>
  <cellXfs count="285">
    <xf numFmtId="0" fontId="0" fillId="0" borderId="0" xfId="0"/>
    <xf numFmtId="0" fontId="0" fillId="0" borderId="0" xfId="0" applyAlignment="1" applyProtection="1">
      <alignment horizontal="center"/>
    </xf>
    <xf numFmtId="0" fontId="0" fillId="0" borderId="0" xfId="0" applyProtection="1"/>
    <xf numFmtId="0" fontId="0" fillId="0" borderId="0" xfId="0" applyAlignment="1" applyProtection="1">
      <alignment horizontal="left"/>
    </xf>
    <xf numFmtId="22" fontId="0" fillId="0" borderId="0" xfId="0" applyNumberFormat="1" applyAlignment="1" applyProtection="1">
      <alignment horizontal="left"/>
    </xf>
    <xf numFmtId="1" fontId="0" fillId="0" borderId="0" xfId="0" applyNumberFormat="1" applyAlignment="1" applyProtection="1">
      <alignment horizontal="left"/>
    </xf>
    <xf numFmtId="22" fontId="0" fillId="0" borderId="0" xfId="0" quotePrefix="1" applyNumberFormat="1" applyAlignment="1" applyProtection="1">
      <alignment horizontal="left"/>
    </xf>
    <xf numFmtId="0" fontId="0" fillId="0" borderId="0" xfId="0" applyAlignment="1" applyProtection="1">
      <alignment horizontal="center"/>
      <protection locked="0"/>
    </xf>
    <xf numFmtId="0" fontId="0" fillId="0" borderId="0" xfId="0" applyProtection="1">
      <protection locked="0"/>
    </xf>
    <xf numFmtId="0" fontId="0" fillId="0" borderId="0" xfId="0" applyAlignment="1" applyProtection="1"/>
    <xf numFmtId="0" fontId="2" fillId="0" borderId="0" xfId="0" applyFont="1" applyProtection="1"/>
    <xf numFmtId="0" fontId="3" fillId="0" borderId="0" xfId="0" applyFont="1" applyFill="1" applyBorder="1" applyAlignment="1" applyProtection="1">
      <alignment horizontal="center"/>
      <protection locked="0"/>
    </xf>
    <xf numFmtId="0" fontId="3" fillId="0" borderId="0" xfId="0" applyFont="1" applyFill="1" applyProtection="1">
      <protection locked="0"/>
    </xf>
    <xf numFmtId="0" fontId="4" fillId="0" borderId="0" xfId="0" applyFont="1" applyAlignment="1" applyProtection="1">
      <alignment horizontal="center"/>
    </xf>
    <xf numFmtId="0" fontId="3" fillId="0" borderId="0" xfId="0" applyFont="1" applyAlignment="1" applyProtection="1">
      <alignment horizontal="center"/>
    </xf>
    <xf numFmtId="0" fontId="3" fillId="0" borderId="0" xfId="0" applyFont="1" applyAlignment="1" applyProtection="1">
      <alignment horizontal="left"/>
    </xf>
    <xf numFmtId="0" fontId="3" fillId="0" borderId="0" xfId="0" applyFont="1" applyProtection="1"/>
    <xf numFmtId="0" fontId="2" fillId="0" borderId="0" xfId="0" applyFont="1" applyAlignment="1" applyProtection="1">
      <alignment horizontal="center"/>
    </xf>
    <xf numFmtId="0" fontId="2" fillId="2" borderId="0" xfId="0" applyFont="1" applyFill="1" applyAlignment="1" applyProtection="1">
      <alignment horizontal="left"/>
    </xf>
    <xf numFmtId="0" fontId="2" fillId="0" borderId="0" xfId="0" applyFont="1" applyFill="1" applyAlignment="1" applyProtection="1">
      <alignment horizontal="center"/>
      <protection locked="0"/>
    </xf>
    <xf numFmtId="0" fontId="2" fillId="0" borderId="0" xfId="0" applyFont="1" applyFill="1" applyBorder="1" applyAlignment="1" applyProtection="1">
      <alignment horizontal="center"/>
      <protection locked="0"/>
    </xf>
    <xf numFmtId="0" fontId="2" fillId="0" borderId="0" xfId="0" applyFont="1" applyAlignment="1" applyProtection="1">
      <alignment horizontal="left"/>
    </xf>
    <xf numFmtId="0" fontId="2" fillId="3" borderId="0" xfId="0" applyFont="1" applyFill="1" applyAlignment="1" applyProtection="1">
      <alignment horizontal="left"/>
    </xf>
    <xf numFmtId="0" fontId="2" fillId="0" borderId="0" xfId="0" applyFont="1" applyFill="1" applyProtection="1">
      <protection locked="0"/>
    </xf>
    <xf numFmtId="1" fontId="0" fillId="0" borderId="0" xfId="0" applyNumberFormat="1" applyProtection="1"/>
    <xf numFmtId="0" fontId="2" fillId="4" borderId="0" xfId="0" applyFont="1" applyFill="1" applyAlignment="1" applyProtection="1">
      <alignment horizontal="left"/>
    </xf>
    <xf numFmtId="0" fontId="2" fillId="5" borderId="0" xfId="0" applyFont="1" applyFill="1" applyAlignment="1" applyProtection="1">
      <alignment horizontal="left"/>
    </xf>
    <xf numFmtId="0" fontId="2" fillId="4" borderId="0" xfId="0" applyFont="1" applyFill="1" applyAlignment="1" applyProtection="1">
      <alignment horizontal="center"/>
    </xf>
    <xf numFmtId="0" fontId="2" fillId="5" borderId="0" xfId="0" applyFont="1" applyFill="1" applyAlignment="1" applyProtection="1">
      <alignment horizontal="center"/>
    </xf>
    <xf numFmtId="0" fontId="0" fillId="0" borderId="1" xfId="0" applyBorder="1" applyProtection="1"/>
    <xf numFmtId="0" fontId="0" fillId="0" borderId="2" xfId="0" applyBorder="1" applyProtection="1"/>
    <xf numFmtId="0" fontId="2" fillId="6" borderId="0" xfId="0" applyFont="1" applyFill="1" applyAlignment="1" applyProtection="1">
      <alignment horizontal="center"/>
    </xf>
    <xf numFmtId="0" fontId="2" fillId="6" borderId="0" xfId="0" applyFont="1" applyFill="1" applyAlignment="1" applyProtection="1">
      <alignment horizontal="left"/>
    </xf>
    <xf numFmtId="0" fontId="2" fillId="7" borderId="0" xfId="0" applyFont="1" applyFill="1" applyAlignment="1" applyProtection="1">
      <alignment horizontal="left"/>
    </xf>
    <xf numFmtId="0" fontId="2" fillId="8" borderId="0" xfId="0" applyFont="1" applyFill="1" applyAlignment="1" applyProtection="1">
      <alignment horizontal="left"/>
    </xf>
    <xf numFmtId="0" fontId="2" fillId="0" borderId="0" xfId="0" applyFont="1" applyAlignment="1" applyProtection="1"/>
    <xf numFmtId="0" fontId="2" fillId="5" borderId="0" xfId="0" applyFont="1" applyFill="1" applyAlignment="1" applyProtection="1"/>
    <xf numFmtId="0" fontId="2" fillId="6" borderId="0" xfId="0" applyFont="1" applyFill="1" applyAlignment="1" applyProtection="1"/>
    <xf numFmtId="0" fontId="2" fillId="4" borderId="0" xfId="0" applyFont="1" applyFill="1" applyAlignment="1" applyProtection="1"/>
    <xf numFmtId="0" fontId="6" fillId="0" borderId="0" xfId="0" applyFont="1" applyAlignment="1" applyProtection="1">
      <alignment horizontal="center"/>
    </xf>
    <xf numFmtId="0" fontId="3" fillId="0" borderId="0" xfId="0" applyFont="1" applyFill="1" applyAlignment="1" applyProtection="1">
      <alignment horizontal="left"/>
    </xf>
    <xf numFmtId="0" fontId="2" fillId="9" borderId="0" xfId="0" applyFont="1" applyFill="1" applyAlignment="1" applyProtection="1">
      <alignment horizontal="left"/>
    </xf>
    <xf numFmtId="0" fontId="3" fillId="2" borderId="0" xfId="0" applyFont="1" applyFill="1" applyAlignment="1" applyProtection="1">
      <alignment horizontal="left"/>
    </xf>
    <xf numFmtId="0" fontId="7" fillId="9" borderId="0" xfId="0" applyFont="1" applyFill="1" applyAlignment="1" applyProtection="1">
      <alignment horizontal="left"/>
    </xf>
    <xf numFmtId="0" fontId="8" fillId="2" borderId="0" xfId="0" applyFont="1" applyFill="1" applyAlignment="1" applyProtection="1">
      <alignment horizontal="left"/>
    </xf>
    <xf numFmtId="0" fontId="6" fillId="9" borderId="0" xfId="0" applyFont="1" applyFill="1" applyAlignment="1" applyProtection="1">
      <alignment horizontal="left"/>
    </xf>
    <xf numFmtId="0" fontId="9" fillId="2" borderId="0" xfId="0" applyFont="1" applyFill="1" applyAlignment="1" applyProtection="1">
      <alignment horizontal="left"/>
    </xf>
    <xf numFmtId="0" fontId="7" fillId="0" borderId="0" xfId="0" applyFont="1" applyAlignment="1" applyProtection="1">
      <alignment horizontal="center"/>
    </xf>
    <xf numFmtId="0" fontId="7" fillId="2" borderId="0" xfId="0" applyFont="1" applyFill="1" applyAlignment="1" applyProtection="1">
      <alignment horizontal="left"/>
    </xf>
    <xf numFmtId="0" fontId="6" fillId="2" borderId="0" xfId="0" applyFont="1" applyFill="1" applyAlignment="1" applyProtection="1">
      <alignment horizontal="left"/>
    </xf>
    <xf numFmtId="0" fontId="0" fillId="3" borderId="0" xfId="0" applyFill="1" applyAlignment="1" applyProtection="1">
      <alignment horizontal="left"/>
    </xf>
    <xf numFmtId="0" fontId="10" fillId="0" borderId="0" xfId="0" applyFont="1" applyAlignment="1" applyProtection="1">
      <alignment horizontal="center"/>
    </xf>
    <xf numFmtId="0" fontId="10" fillId="0" borderId="0" xfId="0" applyFont="1" applyAlignment="1" applyProtection="1">
      <alignment horizontal="left"/>
    </xf>
    <xf numFmtId="0" fontId="2" fillId="0" borderId="0" xfId="0" applyFont="1" applyFill="1" applyAlignment="1" applyProtection="1">
      <alignment horizontal="center"/>
    </xf>
    <xf numFmtId="0" fontId="3" fillId="0" borderId="0" xfId="0" applyFont="1" applyFill="1" applyAlignment="1" applyProtection="1">
      <alignment horizontal="center"/>
    </xf>
    <xf numFmtId="0" fontId="0" fillId="0" borderId="0" xfId="0" applyFill="1" applyProtection="1"/>
    <xf numFmtId="0" fontId="2" fillId="0" borderId="0" xfId="0" applyFont="1" applyFill="1" applyAlignment="1" applyProtection="1">
      <alignment horizontal="left"/>
    </xf>
    <xf numFmtId="0" fontId="2" fillId="0" borderId="3" xfId="0" applyFont="1" applyFill="1" applyBorder="1" applyAlignment="1" applyProtection="1">
      <alignment horizontal="center"/>
    </xf>
    <xf numFmtId="0" fontId="3" fillId="0" borderId="0" xfId="0" applyFont="1" applyFill="1" applyProtection="1"/>
    <xf numFmtId="0" fontId="2" fillId="0" borderId="0" xfId="0" applyFont="1" applyFill="1" applyProtection="1"/>
    <xf numFmtId="0" fontId="0" fillId="0" borderId="3" xfId="0" applyFill="1" applyBorder="1" applyProtection="1"/>
    <xf numFmtId="0" fontId="0" fillId="0" borderId="3" xfId="0" applyFill="1" applyBorder="1" applyAlignment="1" applyProtection="1">
      <alignment horizontal="center"/>
    </xf>
    <xf numFmtId="0" fontId="0" fillId="0" borderId="0" xfId="0" applyFill="1" applyAlignment="1" applyProtection="1">
      <alignment horizontal="center"/>
    </xf>
    <xf numFmtId="0" fontId="0" fillId="0" borderId="0" xfId="0" applyFill="1" applyAlignment="1" applyProtection="1">
      <alignment horizontal="left"/>
    </xf>
    <xf numFmtId="0" fontId="2" fillId="0" borderId="1" xfId="0" applyFont="1" applyFill="1" applyBorder="1" applyProtection="1">
      <protection locked="0"/>
    </xf>
    <xf numFmtId="0" fontId="0" fillId="0" borderId="0" xfId="0" applyBorder="1" applyProtection="1"/>
    <xf numFmtId="1" fontId="0" fillId="0" borderId="0" xfId="0" applyNumberFormat="1" applyFill="1" applyAlignment="1" applyProtection="1">
      <alignment horizontal="left"/>
    </xf>
    <xf numFmtId="0" fontId="2" fillId="0" borderId="1" xfId="0" applyFont="1" applyFill="1" applyBorder="1" applyAlignment="1" applyProtection="1">
      <alignment horizontal="center"/>
      <protection locked="0"/>
    </xf>
    <xf numFmtId="0" fontId="3" fillId="7" borderId="0" xfId="0" applyFont="1" applyFill="1" applyAlignment="1" applyProtection="1">
      <alignment horizontal="left"/>
    </xf>
    <xf numFmtId="0" fontId="11" fillId="2" borderId="0" xfId="0" applyFont="1" applyFill="1" applyAlignment="1" applyProtection="1">
      <alignment horizontal="left"/>
    </xf>
    <xf numFmtId="0" fontId="10" fillId="9" borderId="0" xfId="0" applyFont="1" applyFill="1" applyAlignment="1" applyProtection="1">
      <alignment horizontal="left"/>
    </xf>
    <xf numFmtId="0" fontId="10" fillId="2" borderId="0" xfId="0" applyFont="1" applyFill="1" applyAlignment="1" applyProtection="1">
      <alignment horizontal="left"/>
    </xf>
    <xf numFmtId="0" fontId="2" fillId="10" borderId="0" xfId="0" applyFont="1" applyFill="1" applyAlignment="1" applyProtection="1">
      <alignment horizontal="center"/>
    </xf>
    <xf numFmtId="0" fontId="2" fillId="10" borderId="0" xfId="0" applyFont="1" applyFill="1" applyAlignment="1" applyProtection="1"/>
    <xf numFmtId="0" fontId="2" fillId="8" borderId="0" xfId="0" applyFont="1" applyFill="1" applyAlignment="1" applyProtection="1">
      <alignment horizontal="center"/>
    </xf>
    <xf numFmtId="1" fontId="2" fillId="0" borderId="0" xfId="0" applyNumberFormat="1" applyFont="1" applyAlignment="1" applyProtection="1"/>
    <xf numFmtId="0" fontId="2" fillId="2" borderId="0" xfId="0" applyFont="1" applyFill="1" applyAlignment="1" applyProtection="1">
      <alignment horizontal="center"/>
    </xf>
    <xf numFmtId="0" fontId="16" fillId="0" borderId="4" xfId="0" applyFont="1" applyBorder="1" applyAlignment="1" applyProtection="1">
      <alignment horizontal="center"/>
    </xf>
    <xf numFmtId="0" fontId="15" fillId="0" borderId="5" xfId="0" applyFont="1" applyFill="1" applyBorder="1" applyAlignment="1" applyProtection="1">
      <alignment horizontal="center"/>
    </xf>
    <xf numFmtId="0" fontId="2" fillId="0" borderId="0" xfId="0" applyFont="1" applyFill="1" applyBorder="1" applyAlignment="1" applyProtection="1">
      <alignment horizontal="center"/>
    </xf>
    <xf numFmtId="0" fontId="3" fillId="0" borderId="0" xfId="0" applyFont="1" applyFill="1" applyBorder="1" applyAlignment="1" applyProtection="1">
      <alignment horizontal="center"/>
    </xf>
    <xf numFmtId="0" fontId="0" fillId="0" borderId="0" xfId="0" applyBorder="1" applyAlignment="1" applyProtection="1">
      <alignment horizontal="center"/>
    </xf>
    <xf numFmtId="0" fontId="0" fillId="0" borderId="6" xfId="0" applyBorder="1" applyProtection="1"/>
    <xf numFmtId="0" fontId="2" fillId="0" borderId="0" xfId="0" applyFont="1" applyAlignment="1" applyProtection="1">
      <alignment wrapText="1"/>
    </xf>
    <xf numFmtId="10" fontId="2" fillId="0" borderId="0" xfId="2" applyNumberFormat="1" applyFont="1" applyAlignment="1" applyProtection="1">
      <alignment wrapText="1"/>
    </xf>
    <xf numFmtId="164" fontId="2" fillId="0" borderId="0" xfId="2" applyNumberFormat="1" applyFont="1" applyAlignment="1" applyProtection="1">
      <alignment wrapText="1"/>
    </xf>
    <xf numFmtId="1" fontId="2" fillId="0" borderId="0" xfId="2" applyNumberFormat="1" applyFont="1" applyAlignment="1" applyProtection="1"/>
    <xf numFmtId="0" fontId="18" fillId="0" borderId="0" xfId="0" applyFont="1" applyAlignment="1" applyProtection="1">
      <alignment horizontal="center"/>
    </xf>
    <xf numFmtId="10" fontId="0" fillId="0" borderId="0" xfId="2" applyNumberFormat="1" applyFont="1" applyProtection="1"/>
    <xf numFmtId="10" fontId="2" fillId="11" borderId="0" xfId="2" applyNumberFormat="1" applyFont="1" applyFill="1" applyProtection="1"/>
    <xf numFmtId="164" fontId="0" fillId="0" borderId="0" xfId="0" applyNumberFormat="1" applyProtection="1"/>
    <xf numFmtId="1" fontId="0" fillId="0" borderId="0" xfId="0" applyNumberFormat="1" applyAlignment="1" applyProtection="1"/>
    <xf numFmtId="10" fontId="0" fillId="0" borderId="0" xfId="0" applyNumberFormat="1" applyProtection="1"/>
    <xf numFmtId="164" fontId="3" fillId="0" borderId="0" xfId="0" applyNumberFormat="1" applyFont="1" applyFill="1" applyProtection="1"/>
    <xf numFmtId="164" fontId="20" fillId="0" borderId="0" xfId="0" applyNumberFormat="1" applyFont="1" applyProtection="1"/>
    <xf numFmtId="164" fontId="2" fillId="0" borderId="0" xfId="2" applyNumberFormat="1" applyFont="1" applyProtection="1"/>
    <xf numFmtId="164" fontId="3" fillId="0" borderId="0" xfId="0" applyNumberFormat="1" applyFont="1" applyProtection="1"/>
    <xf numFmtId="164" fontId="11" fillId="0" borderId="0" xfId="0" applyNumberFormat="1" applyFont="1" applyProtection="1"/>
    <xf numFmtId="164" fontId="2" fillId="0" borderId="0" xfId="0" applyNumberFormat="1" applyFont="1" applyProtection="1"/>
    <xf numFmtId="10" fontId="1" fillId="0" borderId="0" xfId="2" applyNumberFormat="1" applyFont="1" applyProtection="1"/>
    <xf numFmtId="164" fontId="3" fillId="0" borderId="0" xfId="0" applyNumberFormat="1" applyFont="1" applyFill="1" applyAlignment="1" applyProtection="1">
      <alignment horizontal="center"/>
      <protection locked="0"/>
    </xf>
    <xf numFmtId="164" fontId="3" fillId="0" borderId="0" xfId="0" applyNumberFormat="1" applyFont="1" applyFill="1" applyAlignment="1" applyProtection="1">
      <alignment horizontal="center"/>
    </xf>
    <xf numFmtId="164" fontId="16" fillId="0" borderId="0" xfId="0" applyNumberFormat="1" applyFont="1" applyFill="1" applyAlignment="1" applyProtection="1">
      <alignment horizontal="center"/>
    </xf>
    <xf numFmtId="164" fontId="3" fillId="0" borderId="0" xfId="0" applyNumberFormat="1" applyFont="1" applyAlignment="1" applyProtection="1">
      <alignment horizontal="center"/>
    </xf>
    <xf numFmtId="0" fontId="0" fillId="0" borderId="0" xfId="0" applyAlignment="1">
      <alignment horizontal="center"/>
    </xf>
    <xf numFmtId="0" fontId="2" fillId="0" borderId="0" xfId="0" applyFont="1" applyBorder="1" applyAlignment="1" applyProtection="1">
      <alignment horizontal="center"/>
    </xf>
    <xf numFmtId="0" fontId="2" fillId="0" borderId="7" xfId="0" applyFont="1" applyFill="1" applyBorder="1" applyAlignment="1" applyProtection="1">
      <alignment horizontal="center"/>
      <protection locked="0"/>
    </xf>
    <xf numFmtId="0" fontId="2" fillId="0" borderId="3" xfId="0" applyFont="1" applyFill="1" applyBorder="1" applyAlignment="1" applyProtection="1">
      <alignment horizontal="center"/>
      <protection locked="0"/>
    </xf>
    <xf numFmtId="0" fontId="0" fillId="0" borderId="0" xfId="0" applyFill="1" applyProtection="1">
      <protection locked="0"/>
    </xf>
    <xf numFmtId="0" fontId="2" fillId="0" borderId="0" xfId="0" applyFont="1" applyFill="1" applyAlignment="1" applyProtection="1">
      <alignment wrapText="1"/>
    </xf>
    <xf numFmtId="0" fontId="2" fillId="0" borderId="0" xfId="0" applyFont="1" applyFill="1" applyAlignment="1" applyProtection="1"/>
    <xf numFmtId="0" fontId="17" fillId="0" borderId="0" xfId="0" applyFont="1" applyFill="1" applyAlignment="1" applyProtection="1">
      <alignment horizontal="center"/>
    </xf>
    <xf numFmtId="164" fontId="18" fillId="0" borderId="0" xfId="0" applyNumberFormat="1" applyFont="1" applyAlignment="1" applyProtection="1">
      <alignment horizontal="center"/>
    </xf>
    <xf numFmtId="0" fontId="19" fillId="0" borderId="0" xfId="0" applyFont="1" applyAlignment="1" applyProtection="1">
      <alignment horizontal="center"/>
    </xf>
    <xf numFmtId="164" fontId="21" fillId="0" borderId="0" xfId="0" applyNumberFormat="1" applyFont="1" applyFill="1" applyAlignment="1" applyProtection="1">
      <alignment horizontal="center"/>
    </xf>
    <xf numFmtId="0" fontId="10" fillId="2" borderId="0" xfId="0" applyFont="1" applyFill="1" applyAlignment="1" applyProtection="1">
      <alignment horizontal="center"/>
    </xf>
    <xf numFmtId="0" fontId="6" fillId="9" borderId="0" xfId="0" applyFont="1" applyFill="1" applyAlignment="1" applyProtection="1">
      <alignment horizontal="center"/>
    </xf>
    <xf numFmtId="0" fontId="2" fillId="0" borderId="0" xfId="0" applyFont="1" applyFill="1" applyAlignment="1" applyProtection="1">
      <alignment horizontal="center" wrapText="1"/>
    </xf>
    <xf numFmtId="164" fontId="2" fillId="0" borderId="0" xfId="0" applyNumberFormat="1" applyFont="1" applyFill="1" applyAlignment="1" applyProtection="1">
      <alignment horizontal="center" wrapText="1"/>
    </xf>
    <xf numFmtId="0" fontId="2" fillId="0" borderId="0" xfId="0" applyFont="1" applyAlignment="1" applyProtection="1">
      <alignment horizontal="center" wrapText="1"/>
    </xf>
    <xf numFmtId="164" fontId="2" fillId="0" borderId="0" xfId="0" applyNumberFormat="1" applyFont="1" applyAlignment="1" applyProtection="1">
      <alignment horizontal="center" wrapText="1"/>
    </xf>
    <xf numFmtId="0" fontId="2" fillId="0" borderId="0" xfId="0" applyFont="1" applyBorder="1" applyAlignment="1" applyProtection="1">
      <alignment horizontal="center" wrapText="1"/>
    </xf>
    <xf numFmtId="164" fontId="2" fillId="0" borderId="0" xfId="0" applyNumberFormat="1" applyFont="1" applyBorder="1" applyAlignment="1" applyProtection="1">
      <alignment horizontal="center" wrapText="1"/>
    </xf>
    <xf numFmtId="164" fontId="21" fillId="0" borderId="0" xfId="0" applyNumberFormat="1" applyFont="1" applyBorder="1" applyAlignment="1" applyProtection="1">
      <alignment horizontal="center" wrapText="1"/>
    </xf>
    <xf numFmtId="164" fontId="17" fillId="0" borderId="0" xfId="0" applyNumberFormat="1" applyFont="1" applyBorder="1" applyAlignment="1" applyProtection="1">
      <alignment horizontal="center" wrapText="1"/>
    </xf>
    <xf numFmtId="164" fontId="19" fillId="0" borderId="0" xfId="0" applyNumberFormat="1" applyFont="1" applyBorder="1" applyAlignment="1" applyProtection="1">
      <alignment horizontal="center" wrapText="1"/>
    </xf>
    <xf numFmtId="164" fontId="3" fillId="0" borderId="0" xfId="0" applyNumberFormat="1" applyFont="1" applyFill="1" applyBorder="1" applyAlignment="1" applyProtection="1">
      <alignment horizontal="center"/>
    </xf>
    <xf numFmtId="164" fontId="20" fillId="0" borderId="0" xfId="0" applyNumberFormat="1" applyFont="1" applyAlignment="1" applyProtection="1">
      <alignment horizontal="center"/>
    </xf>
    <xf numFmtId="0" fontId="20" fillId="0" borderId="0" xfId="0" applyFont="1" applyAlignment="1" applyProtection="1">
      <alignment horizontal="center"/>
    </xf>
    <xf numFmtId="164" fontId="15" fillId="0" borderId="0" xfId="0" applyNumberFormat="1" applyFont="1" applyFill="1" applyAlignment="1" applyProtection="1">
      <alignment horizontal="center"/>
    </xf>
    <xf numFmtId="164" fontId="18" fillId="0" borderId="0" xfId="0" applyNumberFormat="1" applyFont="1" applyFill="1" applyAlignment="1" applyProtection="1">
      <alignment horizontal="center"/>
    </xf>
    <xf numFmtId="164" fontId="22" fillId="0" borderId="0" xfId="0" applyNumberFormat="1" applyFont="1" applyAlignment="1" applyProtection="1">
      <alignment horizontal="center"/>
    </xf>
    <xf numFmtId="164" fontId="11" fillId="0" borderId="0" xfId="0" applyNumberFormat="1" applyFont="1" applyAlignment="1" applyProtection="1">
      <alignment horizontal="center"/>
    </xf>
    <xf numFmtId="164" fontId="9" fillId="0" borderId="0" xfId="0" applyNumberFormat="1" applyFont="1" applyAlignment="1" applyProtection="1">
      <alignment horizontal="center"/>
    </xf>
    <xf numFmtId="0" fontId="2" fillId="0" borderId="0" xfId="0" applyNumberFormat="1" applyFont="1" applyAlignment="1" applyProtection="1">
      <alignment horizontal="center"/>
    </xf>
    <xf numFmtId="9" fontId="2" fillId="0" borderId="0" xfId="0" applyNumberFormat="1" applyFont="1" applyAlignment="1" applyProtection="1">
      <alignment horizontal="center"/>
    </xf>
    <xf numFmtId="0" fontId="3" fillId="0" borderId="0" xfId="0" applyFont="1" applyFill="1" applyBorder="1" applyProtection="1"/>
    <xf numFmtId="0" fontId="3" fillId="0" borderId="8" xfId="0" applyFont="1" applyFill="1" applyBorder="1" applyProtection="1"/>
    <xf numFmtId="0" fontId="2" fillId="4" borderId="0" xfId="0" applyFont="1" applyFill="1" applyBorder="1" applyAlignment="1" applyProtection="1">
      <alignment horizontal="left"/>
    </xf>
    <xf numFmtId="0" fontId="2" fillId="0" borderId="8" xfId="0" applyFont="1" applyBorder="1" applyAlignment="1" applyProtection="1">
      <alignment wrapText="1"/>
    </xf>
    <xf numFmtId="0" fontId="3" fillId="0" borderId="0" xfId="0" applyFont="1" applyBorder="1" applyAlignment="1" applyProtection="1">
      <alignment horizontal="center" wrapText="1"/>
    </xf>
    <xf numFmtId="0" fontId="3" fillId="0" borderId="0" xfId="0" applyFont="1" applyAlignment="1" applyProtection="1">
      <alignment horizontal="center" wrapText="1"/>
    </xf>
    <xf numFmtId="0" fontId="3" fillId="0" borderId="8" xfId="0" applyFont="1" applyFill="1" applyBorder="1" applyAlignment="1" applyProtection="1">
      <alignment wrapText="1"/>
    </xf>
    <xf numFmtId="0" fontId="3" fillId="0" borderId="0" xfId="0" applyFont="1" applyFill="1" applyAlignment="1" applyProtection="1">
      <alignment wrapText="1"/>
    </xf>
    <xf numFmtId="0" fontId="3" fillId="0" borderId="0" xfId="0" applyFont="1" applyFill="1" applyAlignment="1" applyProtection="1">
      <alignment horizontal="center" wrapText="1"/>
    </xf>
    <xf numFmtId="164" fontId="3" fillId="0" borderId="0" xfId="0" applyNumberFormat="1" applyFont="1" applyFill="1" applyAlignment="1" applyProtection="1">
      <alignment horizontal="center" wrapText="1"/>
    </xf>
    <xf numFmtId="0" fontId="3" fillId="0" borderId="0" xfId="0" applyFont="1" applyFill="1" applyBorder="1" applyAlignment="1" applyProtection="1">
      <alignment horizontal="center" wrapText="1"/>
    </xf>
    <xf numFmtId="164" fontId="3" fillId="0" borderId="0" xfId="0" applyNumberFormat="1" applyFont="1" applyFill="1" applyBorder="1" applyAlignment="1" applyProtection="1">
      <alignment horizontal="center" wrapText="1"/>
    </xf>
    <xf numFmtId="164" fontId="3" fillId="0" borderId="8" xfId="0" applyNumberFormat="1" applyFont="1" applyFill="1" applyBorder="1" applyAlignment="1" applyProtection="1">
      <alignment horizontal="center"/>
    </xf>
    <xf numFmtId="0" fontId="17" fillId="0" borderId="8" xfId="0" applyFont="1" applyBorder="1" applyAlignment="1" applyProtection="1">
      <alignment horizontal="center"/>
    </xf>
    <xf numFmtId="0" fontId="0" fillId="0" borderId="0" xfId="0" applyBorder="1" applyAlignment="1" applyProtection="1"/>
    <xf numFmtId="0" fontId="3" fillId="0" borderId="8" xfId="0" applyFont="1" applyFill="1" applyBorder="1" applyAlignment="1" applyProtection="1">
      <alignment horizontal="center"/>
    </xf>
    <xf numFmtId="0" fontId="2" fillId="0" borderId="8" xfId="0" applyFont="1" applyBorder="1" applyProtection="1"/>
    <xf numFmtId="0" fontId="3" fillId="0" borderId="0" xfId="0" applyFont="1" applyFill="1" applyAlignment="1" applyProtection="1"/>
    <xf numFmtId="0" fontId="2" fillId="0" borderId="9" xfId="0" applyFont="1" applyBorder="1" applyAlignment="1" applyProtection="1">
      <alignment horizontal="center" wrapText="1"/>
      <protection locked="0"/>
    </xf>
    <xf numFmtId="0" fontId="3" fillId="0" borderId="9" xfId="0" applyFont="1" applyFill="1" applyBorder="1" applyAlignment="1" applyProtection="1">
      <alignment horizontal="center" wrapText="1"/>
      <protection locked="0"/>
    </xf>
    <xf numFmtId="0" fontId="3" fillId="0" borderId="0" xfId="0" applyNumberFormat="1" applyFont="1" applyFill="1" applyAlignment="1" applyProtection="1">
      <alignment horizontal="center"/>
    </xf>
    <xf numFmtId="9" fontId="3" fillId="0" borderId="0" xfId="0" applyNumberFormat="1" applyFont="1" applyFill="1" applyAlignment="1" applyProtection="1">
      <alignment horizontal="center"/>
    </xf>
    <xf numFmtId="164" fontId="3" fillId="0" borderId="0" xfId="0" applyNumberFormat="1" applyFont="1" applyFill="1" applyBorder="1" applyAlignment="1" applyProtection="1">
      <alignment horizontal="center"/>
      <protection locked="0"/>
    </xf>
    <xf numFmtId="164" fontId="16" fillId="0" borderId="0" xfId="0" applyNumberFormat="1" applyFont="1" applyFill="1" applyBorder="1" applyAlignment="1" applyProtection="1">
      <alignment horizontal="center"/>
    </xf>
    <xf numFmtId="164" fontId="3" fillId="0" borderId="0" xfId="0" applyNumberFormat="1" applyFont="1" applyBorder="1" applyAlignment="1" applyProtection="1">
      <alignment horizontal="center"/>
    </xf>
    <xf numFmtId="0" fontId="0" fillId="0" borderId="0" xfId="0" applyBorder="1" applyAlignment="1">
      <alignment horizontal="center"/>
    </xf>
    <xf numFmtId="164" fontId="24" fillId="0" borderId="0" xfId="0" applyNumberFormat="1" applyFont="1" applyBorder="1" applyAlignment="1" applyProtection="1">
      <alignment horizontal="center" wrapText="1"/>
    </xf>
    <xf numFmtId="0" fontId="12" fillId="0" borderId="0" xfId="0" applyFont="1" applyFill="1" applyAlignment="1" applyProtection="1"/>
    <xf numFmtId="1" fontId="12" fillId="0" borderId="0" xfId="0" applyNumberFormat="1" applyFont="1" applyFill="1" applyAlignment="1" applyProtection="1"/>
    <xf numFmtId="0" fontId="13" fillId="0" borderId="0" xfId="0" applyFont="1" applyFill="1" applyAlignment="1" applyProtection="1"/>
    <xf numFmtId="1" fontId="13" fillId="0" borderId="0" xfId="0" applyNumberFormat="1" applyFont="1" applyFill="1" applyAlignment="1" applyProtection="1"/>
    <xf numFmtId="0" fontId="12" fillId="0" borderId="0" xfId="0" quotePrefix="1" applyFont="1" applyFill="1" applyAlignment="1" applyProtection="1"/>
    <xf numFmtId="0" fontId="14" fillId="0" borderId="0" xfId="0" applyFont="1" applyFill="1" applyAlignment="1" applyProtection="1"/>
    <xf numFmtId="1" fontId="14" fillId="0" borderId="0" xfId="0" applyNumberFormat="1" applyFont="1" applyFill="1" applyAlignment="1" applyProtection="1"/>
    <xf numFmtId="0" fontId="13" fillId="0" borderId="0" xfId="0" quotePrefix="1" applyFont="1" applyFill="1" applyAlignment="1" applyProtection="1"/>
    <xf numFmtId="0" fontId="12" fillId="0" borderId="0" xfId="0" applyFont="1" applyFill="1" applyBorder="1" applyAlignment="1" applyProtection="1"/>
    <xf numFmtId="0" fontId="2" fillId="0" borderId="6" xfId="0" applyFont="1" applyBorder="1" applyAlignment="1" applyProtection="1">
      <alignment horizontal="center"/>
    </xf>
    <xf numFmtId="0" fontId="2" fillId="0" borderId="9" xfId="0" applyFont="1" applyFill="1" applyBorder="1" applyAlignment="1" applyProtection="1">
      <alignment horizontal="center"/>
      <protection locked="0"/>
    </xf>
    <xf numFmtId="1" fontId="0" fillId="0" borderId="0" xfId="0" applyNumberFormat="1" applyFill="1" applyProtection="1"/>
    <xf numFmtId="0" fontId="0" fillId="12" borderId="0" xfId="0" applyFill="1" applyAlignment="1" applyProtection="1"/>
    <xf numFmtId="1" fontId="2" fillId="0" borderId="0" xfId="0" applyNumberFormat="1" applyFont="1" applyFill="1" applyAlignment="1" applyProtection="1">
      <alignment horizontal="left"/>
    </xf>
    <xf numFmtId="0" fontId="2" fillId="2" borderId="0" xfId="0" applyFont="1" applyFill="1" applyAlignment="1" applyProtection="1"/>
    <xf numFmtId="0" fontId="3" fillId="0" borderId="9" xfId="0" applyFont="1" applyFill="1" applyBorder="1" applyProtection="1">
      <protection locked="0"/>
    </xf>
    <xf numFmtId="0" fontId="2" fillId="0" borderId="9" xfId="0" applyFont="1" applyFill="1" applyBorder="1" applyAlignment="1" applyProtection="1">
      <alignment horizontal="center"/>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2" fillId="0" borderId="0" xfId="0" applyFont="1"/>
    <xf numFmtId="14" fontId="2" fillId="0" borderId="0" xfId="0" applyNumberFormat="1" applyFont="1" applyAlignment="1">
      <alignment horizontal="center"/>
    </xf>
    <xf numFmtId="0" fontId="2" fillId="0" borderId="0" xfId="0" applyFont="1" applyAlignment="1">
      <alignment horizontal="center"/>
    </xf>
    <xf numFmtId="0" fontId="19" fillId="0" borderId="0" xfId="0" applyFont="1" applyFill="1" applyAlignment="1" applyProtection="1">
      <alignment horizontal="center"/>
    </xf>
    <xf numFmtId="1" fontId="13" fillId="0" borderId="0" xfId="0" applyNumberFormat="1" applyFont="1" applyAlignment="1" applyProtection="1"/>
    <xf numFmtId="1" fontId="12" fillId="0" borderId="0" xfId="0" applyNumberFormat="1" applyFont="1" applyAlignment="1" applyProtection="1"/>
    <xf numFmtId="1" fontId="14" fillId="0" borderId="0" xfId="0" applyNumberFormat="1" applyFont="1" applyAlignment="1" applyProtection="1"/>
    <xf numFmtId="0" fontId="10" fillId="0" borderId="10" xfId="0" applyFont="1" applyBorder="1" applyAlignment="1" applyProtection="1"/>
    <xf numFmtId="0" fontId="2" fillId="0" borderId="2" xfId="0" applyFont="1" applyBorder="1" applyAlignment="1" applyProtection="1">
      <alignment horizontal="center"/>
    </xf>
    <xf numFmtId="0" fontId="2" fillId="0" borderId="2" xfId="0" applyFont="1" applyFill="1" applyBorder="1" applyAlignment="1" applyProtection="1">
      <alignment horizontal="center"/>
    </xf>
    <xf numFmtId="0" fontId="0" fillId="0" borderId="2" xfId="0" applyBorder="1" applyAlignment="1" applyProtection="1">
      <alignment horizontal="center"/>
    </xf>
    <xf numFmtId="0" fontId="3" fillId="0" borderId="2" xfId="0" applyFont="1" applyFill="1" applyBorder="1" applyProtection="1"/>
    <xf numFmtId="0" fontId="2" fillId="0" borderId="11" xfId="0" applyFont="1" applyBorder="1" applyProtection="1"/>
    <xf numFmtId="0" fontId="0" fillId="0" borderId="8" xfId="0" applyBorder="1" applyAlignment="1" applyProtection="1"/>
    <xf numFmtId="0" fontId="0" fillId="0" borderId="0" xfId="0" applyFill="1" applyBorder="1" applyAlignment="1" applyProtection="1">
      <alignment horizontal="center"/>
    </xf>
    <xf numFmtId="0" fontId="0" fillId="0" borderId="2" xfId="0" applyFill="1" applyBorder="1" applyProtection="1"/>
    <xf numFmtId="0" fontId="0" fillId="0" borderId="8" xfId="0" applyFill="1" applyBorder="1" applyAlignment="1" applyProtection="1"/>
    <xf numFmtId="0" fontId="25" fillId="0" borderId="0" xfId="0" applyFont="1" applyFill="1" applyBorder="1" applyAlignment="1" applyProtection="1">
      <alignment horizontal="center"/>
    </xf>
    <xf numFmtId="0" fontId="0" fillId="0" borderId="2" xfId="0" applyBorder="1" applyAlignment="1" applyProtection="1">
      <alignment horizontal="left"/>
    </xf>
    <xf numFmtId="0" fontId="2" fillId="0" borderId="0" xfId="0" applyFont="1" applyFill="1" applyAlignment="1">
      <alignment horizontal="center"/>
    </xf>
    <xf numFmtId="0" fontId="2" fillId="0" borderId="9" xfId="0" applyFont="1" applyBorder="1" applyAlignment="1" applyProtection="1">
      <alignment horizontal="center"/>
    </xf>
    <xf numFmtId="0" fontId="0" fillId="0" borderId="3" xfId="0" applyFill="1" applyBorder="1" applyAlignment="1" applyProtection="1">
      <alignment horizontal="center"/>
      <protection locked="0"/>
    </xf>
    <xf numFmtId="0" fontId="0" fillId="0" borderId="0" xfId="0" applyFill="1" applyAlignment="1" applyProtection="1">
      <alignment horizontal="center"/>
      <protection locked="0"/>
    </xf>
    <xf numFmtId="0" fontId="2" fillId="0" borderId="3" xfId="0" applyFont="1" applyBorder="1" applyAlignment="1" applyProtection="1">
      <alignment horizontal="center"/>
    </xf>
    <xf numFmtId="0" fontId="0" fillId="0" borderId="0" xfId="0" applyFill="1"/>
    <xf numFmtId="0" fontId="0" fillId="0" borderId="3" xfId="0" applyBorder="1" applyAlignment="1" applyProtection="1">
      <alignment horizontal="center"/>
      <protection locked="0"/>
    </xf>
    <xf numFmtId="0" fontId="28" fillId="2" borderId="0" xfId="0" applyFont="1" applyFill="1" applyAlignment="1" applyProtection="1">
      <alignment horizontal="left"/>
    </xf>
    <xf numFmtId="0" fontId="28" fillId="0" borderId="0" xfId="0" applyFont="1"/>
    <xf numFmtId="0" fontId="29" fillId="0" borderId="0" xfId="0" applyFont="1" applyFill="1" applyAlignment="1" applyProtection="1">
      <alignment horizontal="center"/>
    </xf>
    <xf numFmtId="0" fontId="28" fillId="0" borderId="0" xfId="0" applyFont="1" applyAlignment="1">
      <alignment horizontal="left"/>
    </xf>
    <xf numFmtId="0" fontId="30" fillId="0" borderId="0" xfId="0" applyFont="1" applyFill="1" applyAlignment="1" applyProtection="1">
      <alignment horizontal="center"/>
    </xf>
    <xf numFmtId="0" fontId="31" fillId="0" borderId="0" xfId="0" applyFont="1" applyFill="1" applyAlignment="1" applyProtection="1">
      <alignment horizontal="center"/>
    </xf>
    <xf numFmtId="0" fontId="24" fillId="0" borderId="0" xfId="0" applyFont="1" applyFill="1" applyAlignment="1" applyProtection="1">
      <alignment horizontal="center"/>
    </xf>
    <xf numFmtId="0" fontId="2" fillId="0" borderId="0" xfId="0" applyFont="1" applyBorder="1" applyProtection="1"/>
    <xf numFmtId="0" fontId="3" fillId="0" borderId="0" xfId="0" applyFont="1" applyAlignment="1" applyProtection="1"/>
    <xf numFmtId="0" fontId="26" fillId="0" borderId="0" xfId="0" applyFont="1" applyFill="1" applyAlignment="1" applyProtection="1">
      <alignment horizontal="center"/>
    </xf>
    <xf numFmtId="0" fontId="26" fillId="0" borderId="0" xfId="0" applyFont="1" applyAlignment="1" applyProtection="1">
      <alignment horizontal="center"/>
    </xf>
    <xf numFmtId="0" fontId="26" fillId="0" borderId="0" xfId="0" applyFont="1" applyFill="1" applyProtection="1"/>
    <xf numFmtId="0" fontId="26" fillId="0" borderId="0" xfId="0" applyFont="1" applyProtection="1"/>
    <xf numFmtId="0" fontId="2" fillId="14" borderId="0" xfId="0" applyFont="1" applyFill="1" applyAlignment="1" applyProtection="1">
      <alignment horizontal="center"/>
    </xf>
    <xf numFmtId="0" fontId="2" fillId="14" borderId="0" xfId="0" applyFont="1" applyFill="1" applyAlignment="1" applyProtection="1">
      <alignment horizontal="left"/>
    </xf>
    <xf numFmtId="0" fontId="2" fillId="14" borderId="0" xfId="0" applyFont="1" applyFill="1" applyAlignment="1" applyProtection="1"/>
    <xf numFmtId="0" fontId="2" fillId="15" borderId="0" xfId="0" applyFont="1" applyFill="1" applyAlignment="1" applyProtection="1">
      <alignment horizontal="center"/>
    </xf>
    <xf numFmtId="0" fontId="2" fillId="15" borderId="0" xfId="0" applyFont="1" applyFill="1" applyAlignment="1" applyProtection="1">
      <alignment horizontal="left"/>
    </xf>
    <xf numFmtId="0" fontId="2" fillId="13" borderId="0" xfId="0" applyFont="1" applyFill="1" applyAlignment="1" applyProtection="1">
      <alignment horizontal="center"/>
    </xf>
    <xf numFmtId="0" fontId="2" fillId="13" borderId="0" xfId="0" applyFont="1" applyFill="1" applyAlignment="1" applyProtection="1"/>
    <xf numFmtId="0" fontId="2" fillId="15" borderId="0" xfId="0" applyFont="1" applyFill="1" applyAlignment="1" applyProtection="1"/>
    <xf numFmtId="0" fontId="2" fillId="16" borderId="0" xfId="0" applyFont="1" applyFill="1" applyAlignment="1" applyProtection="1">
      <alignment horizontal="center"/>
    </xf>
    <xf numFmtId="0" fontId="2" fillId="16" borderId="0" xfId="0" applyFont="1" applyFill="1" applyAlignment="1" applyProtection="1">
      <alignment horizontal="left"/>
    </xf>
    <xf numFmtId="0" fontId="2" fillId="17" borderId="0" xfId="0" applyFont="1" applyFill="1" applyAlignment="1" applyProtection="1">
      <alignment horizontal="center"/>
    </xf>
    <xf numFmtId="0" fontId="2" fillId="17" borderId="0" xfId="0" applyFont="1" applyFill="1" applyAlignment="1" applyProtection="1"/>
    <xf numFmtId="0" fontId="2" fillId="16" borderId="0" xfId="0" applyFont="1" applyFill="1" applyAlignment="1" applyProtection="1"/>
    <xf numFmtId="0" fontId="2" fillId="18" borderId="0" xfId="0" applyFont="1" applyFill="1" applyAlignment="1" applyProtection="1">
      <alignment horizontal="center"/>
    </xf>
    <xf numFmtId="0" fontId="2" fillId="18" borderId="0" xfId="0" applyFont="1" applyFill="1" applyAlignment="1" applyProtection="1">
      <alignment horizontal="left"/>
    </xf>
    <xf numFmtId="0" fontId="2" fillId="19" borderId="0" xfId="0" applyFont="1" applyFill="1" applyAlignment="1" applyProtection="1">
      <alignment horizontal="center"/>
    </xf>
    <xf numFmtId="0" fontId="2" fillId="19" borderId="0" xfId="0" applyFont="1" applyFill="1" applyAlignment="1" applyProtection="1"/>
    <xf numFmtId="0" fontId="2" fillId="18" borderId="0" xfId="0" applyFont="1" applyFill="1" applyAlignment="1" applyProtection="1"/>
    <xf numFmtId="0" fontId="2" fillId="3" borderId="0" xfId="0" applyFont="1" applyFill="1" applyAlignment="1" applyProtection="1">
      <alignment horizontal="center"/>
    </xf>
    <xf numFmtId="0" fontId="11" fillId="17" borderId="0" xfId="0" applyFont="1" applyFill="1" applyAlignment="1" applyProtection="1">
      <alignment horizontal="left"/>
    </xf>
    <xf numFmtId="0" fontId="0" fillId="15" borderId="0" xfId="0" applyFill="1" applyAlignment="1" applyProtection="1">
      <alignment horizontal="center"/>
    </xf>
    <xf numFmtId="0" fontId="3" fillId="17" borderId="0" xfId="0" applyFont="1" applyFill="1" applyAlignment="1" applyProtection="1">
      <alignment horizontal="left"/>
    </xf>
    <xf numFmtId="0" fontId="2" fillId="20" borderId="0" xfId="0" applyFont="1" applyFill="1" applyAlignment="1" applyProtection="1">
      <alignment horizontal="center"/>
    </xf>
    <xf numFmtId="1" fontId="0" fillId="0" borderId="0" xfId="0" applyNumberFormat="1" applyAlignment="1" applyProtection="1">
      <alignment horizontal="center"/>
    </xf>
    <xf numFmtId="0" fontId="3" fillId="15" borderId="0" xfId="0" applyFont="1" applyFill="1" applyAlignment="1" applyProtection="1">
      <alignment horizontal="center"/>
      <protection locked="0"/>
    </xf>
    <xf numFmtId="0" fontId="0" fillId="21" borderId="0" xfId="0" applyFill="1" applyAlignment="1" applyProtection="1">
      <alignment horizontal="center"/>
    </xf>
    <xf numFmtId="0" fontId="2" fillId="22" borderId="0" xfId="0" applyFont="1" applyFill="1" applyAlignment="1" applyProtection="1">
      <alignment horizontal="center"/>
    </xf>
    <xf numFmtId="0" fontId="2" fillId="23" borderId="0" xfId="0" applyFont="1" applyFill="1" applyAlignment="1" applyProtection="1">
      <alignment horizontal="center"/>
    </xf>
    <xf numFmtId="0" fontId="8" fillId="17" borderId="0" xfId="0" applyFont="1" applyFill="1" applyAlignment="1" applyProtection="1">
      <alignment horizontal="left"/>
    </xf>
    <xf numFmtId="0" fontId="3" fillId="15" borderId="0" xfId="0" applyFont="1" applyFill="1" applyAlignment="1" applyProtection="1">
      <alignment horizontal="center"/>
    </xf>
    <xf numFmtId="0" fontId="2" fillId="23" borderId="0" xfId="0" applyFont="1" applyFill="1" applyProtection="1"/>
    <xf numFmtId="0" fontId="9" fillId="17" borderId="0" xfId="0" applyFont="1" applyFill="1" applyAlignment="1" applyProtection="1">
      <alignment horizontal="left"/>
    </xf>
    <xf numFmtId="22" fontId="3" fillId="0" borderId="0" xfId="0" applyNumberFormat="1" applyFont="1" applyFill="1" applyAlignment="1" applyProtection="1"/>
    <xf numFmtId="0" fontId="3" fillId="0" borderId="0" xfId="0" applyFont="1" applyAlignment="1">
      <alignment horizontal="center"/>
    </xf>
    <xf numFmtId="0" fontId="6" fillId="0" borderId="0" xfId="0" applyFont="1" applyFill="1" applyAlignment="1" applyProtection="1">
      <alignment horizontal="left"/>
    </xf>
    <xf numFmtId="0" fontId="10" fillId="17" borderId="0" xfId="0" applyFont="1" applyFill="1" applyAlignment="1" applyProtection="1">
      <alignment horizontal="left"/>
    </xf>
    <xf numFmtId="0" fontId="11" fillId="21" borderId="0" xfId="0" applyFont="1" applyFill="1" applyAlignment="1" applyProtection="1">
      <alignment horizontal="left"/>
    </xf>
    <xf numFmtId="0" fontId="2" fillId="17" borderId="0" xfId="0" applyFont="1" applyFill="1" applyAlignment="1" applyProtection="1">
      <alignment horizontal="left"/>
    </xf>
    <xf numFmtId="0" fontId="7" fillId="17" borderId="0" xfId="0" applyFont="1" applyFill="1" applyAlignment="1" applyProtection="1">
      <alignment horizontal="left"/>
    </xf>
    <xf numFmtId="0" fontId="3" fillId="21" borderId="0" xfId="0" applyFont="1" applyFill="1" applyAlignment="1" applyProtection="1">
      <alignment horizontal="left"/>
    </xf>
    <xf numFmtId="0" fontId="6" fillId="17" borderId="0" xfId="0" applyFont="1" applyFill="1" applyAlignment="1" applyProtection="1">
      <alignment horizontal="left"/>
    </xf>
    <xf numFmtId="0" fontId="8" fillId="21" borderId="0" xfId="0" applyFont="1" applyFill="1" applyAlignment="1" applyProtection="1">
      <alignment horizontal="left"/>
    </xf>
    <xf numFmtId="0" fontId="9" fillId="21" borderId="0" xfId="0" applyFont="1" applyFill="1" applyAlignment="1" applyProtection="1">
      <alignment horizontal="left"/>
    </xf>
    <xf numFmtId="0" fontId="27" fillId="0" borderId="0" xfId="0" applyFont="1" applyAlignment="1">
      <alignment horizontal="left" vertical="center" wrapText="1"/>
    </xf>
    <xf numFmtId="14" fontId="0" fillId="0" borderId="0" xfId="0" applyNumberFormat="1"/>
    <xf numFmtId="0" fontId="27" fillId="0" borderId="0" xfId="0" applyFont="1" applyAlignment="1">
      <alignment vertical="center" wrapText="1"/>
    </xf>
    <xf numFmtId="0" fontId="0" fillId="0" borderId="0" xfId="0" applyAlignment="1">
      <alignment vertical="center" wrapText="1"/>
    </xf>
    <xf numFmtId="22" fontId="0" fillId="0" borderId="0" xfId="0" applyNumberFormat="1"/>
    <xf numFmtId="0" fontId="32" fillId="0" borderId="0" xfId="0" applyFont="1" applyAlignment="1">
      <alignment horizontal="center" vertical="center"/>
    </xf>
    <xf numFmtId="1" fontId="12" fillId="23" borderId="0" xfId="0" applyNumberFormat="1" applyFont="1" applyFill="1" applyAlignment="1" applyProtection="1"/>
    <xf numFmtId="1" fontId="14" fillId="23" borderId="0" xfId="0" applyNumberFormat="1" applyFont="1" applyFill="1" applyAlignment="1" applyProtection="1"/>
    <xf numFmtId="1" fontId="13" fillId="23" borderId="0" xfId="0" applyNumberFormat="1" applyFont="1" applyFill="1" applyAlignment="1" applyProtection="1"/>
    <xf numFmtId="0" fontId="0" fillId="0" borderId="0" xfId="0" applyBorder="1" applyAlignment="1" applyProtection="1">
      <alignment horizontal="left"/>
    </xf>
    <xf numFmtId="0" fontId="0" fillId="0" borderId="0" xfId="0" applyFill="1" applyBorder="1" applyAlignment="1" applyProtection="1">
      <alignment horizontal="left"/>
    </xf>
    <xf numFmtId="0" fontId="0" fillId="0" borderId="2" xfId="0" applyFill="1" applyBorder="1" applyAlignment="1" applyProtection="1">
      <alignment horizontal="left"/>
    </xf>
    <xf numFmtId="0" fontId="3" fillId="23" borderId="0" xfId="0" applyFont="1" applyFill="1" applyAlignment="1" applyProtection="1">
      <alignment horizontal="left"/>
    </xf>
    <xf numFmtId="0" fontId="3" fillId="24" borderId="0" xfId="0" applyFont="1" applyFill="1" applyAlignment="1" applyProtection="1">
      <alignment horizontal="left"/>
    </xf>
    <xf numFmtId="10" fontId="2" fillId="0" borderId="0" xfId="0" applyNumberFormat="1" applyFont="1" applyAlignment="1" applyProtection="1">
      <alignment wrapText="1"/>
    </xf>
    <xf numFmtId="0" fontId="1" fillId="0" borderId="0" xfId="0" applyFont="1" applyFill="1" applyAlignment="1" applyProtection="1">
      <alignment horizontal="center"/>
    </xf>
    <xf numFmtId="0" fontId="1" fillId="0" borderId="0" xfId="0" applyFont="1" applyAlignment="1" applyProtection="1">
      <alignment horizontal="center"/>
    </xf>
    <xf numFmtId="0" fontId="1" fillId="0" borderId="0" xfId="0" applyFont="1" applyFill="1" applyProtection="1"/>
    <xf numFmtId="0" fontId="1" fillId="0" borderId="0" xfId="0" applyFont="1" applyProtection="1"/>
    <xf numFmtId="0" fontId="2" fillId="4" borderId="8" xfId="0" applyFont="1" applyFill="1" applyBorder="1" applyAlignment="1" applyProtection="1">
      <alignment horizontal="left"/>
    </xf>
    <xf numFmtId="0" fontId="2" fillId="4" borderId="0" xfId="0" applyFont="1" applyFill="1" applyBorder="1" applyAlignment="1" applyProtection="1">
      <alignment horizontal="left"/>
    </xf>
  </cellXfs>
  <cellStyles count="3">
    <cellStyle name="Hyperlink" xfId="1" xr:uid="{00000000-0005-0000-0000-000000000000}"/>
    <cellStyle name="Prozent" xfId="2" builtinId="5"/>
    <cellStyle name="Standard" xfId="0" builtinId="0"/>
  </cellStyles>
  <dxfs count="882">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11"/>
        </patternFill>
      </fill>
    </dxf>
    <dxf>
      <fill>
        <patternFill>
          <bgColor indexed="11"/>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ill>
        <patternFill>
          <bgColor indexed="43"/>
        </patternFill>
      </fill>
    </dxf>
    <dxf>
      <fill>
        <patternFill>
          <bgColor indexed="11"/>
        </patternFill>
      </fill>
    </dxf>
    <dxf>
      <fill>
        <patternFill>
          <bgColor indexed="43"/>
        </patternFill>
      </fill>
    </dxf>
    <dxf>
      <fill>
        <patternFill>
          <bgColor indexed="11"/>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3"/>
        </patternFill>
      </fill>
    </dxf>
    <dxf>
      <fill>
        <patternFill>
          <bgColor indexed="11"/>
        </patternFill>
      </fill>
    </dxf>
    <dxf>
      <fill>
        <patternFill>
          <bgColor indexed="43"/>
        </patternFill>
      </fill>
    </dxf>
    <dxf>
      <fill>
        <patternFill>
          <bgColor indexed="11"/>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ill>
        <patternFill>
          <bgColor indexed="43"/>
        </patternFill>
      </fill>
    </dxf>
    <dxf>
      <fill>
        <patternFill>
          <bgColor indexed="11"/>
        </patternFill>
      </fill>
    </dxf>
    <dxf>
      <font>
        <condense val="0"/>
        <extend val="0"/>
        <color auto="1"/>
      </font>
      <fill>
        <patternFill>
          <bgColor indexed="11"/>
        </patternFill>
      </fill>
    </dxf>
    <dxf>
      <font>
        <condense val="0"/>
        <extend val="0"/>
        <color auto="1"/>
      </font>
      <fill>
        <patternFill>
          <bgColor indexed="43"/>
        </patternFill>
      </fill>
    </dxf>
    <dxf>
      <fill>
        <patternFill>
          <bgColor indexed="43"/>
        </patternFill>
      </fill>
    </dxf>
    <dxf>
      <fill>
        <patternFill>
          <bgColor indexed="11"/>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3"/>
        </patternFill>
      </fill>
    </dxf>
    <dxf>
      <fill>
        <patternFill>
          <bgColor indexed="11"/>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11"/>
        </patternFill>
      </fill>
    </dxf>
    <dxf>
      <fill>
        <patternFill>
          <bgColor indexed="11"/>
        </patternFill>
      </fill>
    </dxf>
    <dxf>
      <fill>
        <patternFill>
          <bgColor indexed="43"/>
        </patternFill>
      </fill>
    </dxf>
    <dxf>
      <fill>
        <patternFill>
          <bgColor indexed="11"/>
        </patternFill>
      </fill>
    </dxf>
    <dxf>
      <fill>
        <patternFill>
          <bgColor indexed="43"/>
        </patternFill>
      </fill>
    </dxf>
    <dxf>
      <fill>
        <patternFill>
          <bgColor indexed="11"/>
        </patternFill>
      </fill>
    </dxf>
    <dxf>
      <fill>
        <patternFill>
          <bgColor indexed="43"/>
        </patternFill>
      </fill>
    </dxf>
    <dxf>
      <fill>
        <patternFill>
          <bgColor indexed="11"/>
        </patternFill>
      </fill>
    </dxf>
    <dxf>
      <fill>
        <patternFill>
          <bgColor indexed="11"/>
        </patternFill>
      </fill>
    </dxf>
    <dxf>
      <fill>
        <patternFill>
          <bgColor indexed="11"/>
        </patternFill>
      </fill>
    </dxf>
    <dxf>
      <fill>
        <patternFill>
          <bgColor indexed="43"/>
        </patternFill>
      </fill>
    </dxf>
    <dxf>
      <fill>
        <patternFill>
          <bgColor indexed="11"/>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11"/>
        </patternFill>
      </fill>
    </dxf>
    <dxf>
      <fill>
        <patternFill>
          <bgColor indexed="11"/>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ill>
        <patternFill>
          <bgColor indexed="43"/>
        </patternFill>
      </fill>
    </dxf>
    <dxf>
      <fill>
        <patternFill>
          <bgColor indexed="11"/>
        </patternFill>
      </fill>
    </dxf>
    <dxf>
      <fill>
        <patternFill>
          <bgColor indexed="43"/>
        </patternFill>
      </fill>
    </dxf>
    <dxf>
      <fill>
        <patternFill>
          <bgColor indexed="11"/>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3"/>
        </patternFill>
      </fill>
    </dxf>
    <dxf>
      <fill>
        <patternFill>
          <bgColor indexed="11"/>
        </patternFill>
      </fill>
    </dxf>
    <dxf>
      <fill>
        <patternFill>
          <bgColor indexed="43"/>
        </patternFill>
      </fill>
    </dxf>
    <dxf>
      <fill>
        <patternFill>
          <bgColor indexed="11"/>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ill>
        <patternFill>
          <bgColor indexed="43"/>
        </patternFill>
      </fill>
    </dxf>
    <dxf>
      <fill>
        <patternFill>
          <bgColor indexed="11"/>
        </patternFill>
      </fill>
    </dxf>
    <dxf>
      <font>
        <condense val="0"/>
        <extend val="0"/>
        <color auto="1"/>
      </font>
      <fill>
        <patternFill>
          <bgColor indexed="11"/>
        </patternFill>
      </fill>
    </dxf>
    <dxf>
      <font>
        <condense val="0"/>
        <extend val="0"/>
        <color auto="1"/>
      </font>
      <fill>
        <patternFill>
          <bgColor indexed="43"/>
        </patternFill>
      </fill>
    </dxf>
    <dxf>
      <fill>
        <patternFill>
          <bgColor indexed="43"/>
        </patternFill>
      </fill>
    </dxf>
    <dxf>
      <fill>
        <patternFill>
          <bgColor indexed="11"/>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3"/>
        </patternFill>
      </fill>
    </dxf>
    <dxf>
      <fill>
        <patternFill>
          <bgColor indexed="11"/>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45"/>
        </patternFill>
      </fill>
    </dxf>
    <dxf>
      <fill>
        <patternFill>
          <bgColor indexed="45"/>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ont>
        <condense val="0"/>
        <extend val="0"/>
        <color auto="1"/>
      </font>
      <fill>
        <patternFill>
          <bgColor indexed="11"/>
        </patternFill>
      </fill>
    </dxf>
    <dxf>
      <font>
        <condense val="0"/>
        <extend val="0"/>
        <color auto="1"/>
      </font>
      <fill>
        <patternFill>
          <bgColor indexed="43"/>
        </patternFill>
      </fill>
    </dxf>
    <dxf>
      <fill>
        <patternFill>
          <bgColor indexed="11"/>
        </patternFill>
      </fill>
    </dxf>
    <dxf>
      <fill>
        <patternFill>
          <bgColor indexed="11"/>
        </patternFill>
      </fill>
    </dxf>
    <dxf>
      <fill>
        <patternFill>
          <bgColor indexed="43"/>
        </patternFill>
      </fill>
    </dxf>
    <dxf>
      <fill>
        <patternFill>
          <bgColor indexed="11"/>
        </patternFill>
      </fill>
    </dxf>
    <dxf>
      <fill>
        <patternFill>
          <bgColor indexed="43"/>
        </patternFill>
      </fill>
    </dxf>
    <dxf>
      <fill>
        <patternFill>
          <bgColor indexed="11"/>
        </patternFill>
      </fill>
    </dxf>
    <dxf>
      <fill>
        <patternFill>
          <bgColor indexed="43"/>
        </patternFill>
      </fill>
    </dxf>
    <dxf>
      <fill>
        <patternFill>
          <bgColor indexed="11"/>
        </patternFill>
      </fill>
    </dxf>
    <dxf>
      <fill>
        <patternFill>
          <bgColor indexed="11"/>
        </patternFill>
      </fill>
    </dxf>
    <dxf>
      <fill>
        <patternFill>
          <bgColor indexed="11"/>
        </patternFill>
      </fill>
    </dxf>
    <dxf>
      <fill>
        <patternFill>
          <bgColor indexed="43"/>
        </patternFill>
      </fill>
    </dxf>
    <dxf>
      <fill>
        <patternFill>
          <bgColor indexed="11"/>
        </patternFill>
      </fill>
    </dxf>
    <dxf>
      <fill>
        <patternFill>
          <bgColor indexed="45"/>
        </patternFill>
      </fill>
    </dxf>
    <dxf>
      <fill>
        <patternFill>
          <bgColor indexed="45"/>
        </patternFill>
      </fill>
    </dxf>
    <dxf>
      <fill>
        <patternFill>
          <bgColor indexed="13"/>
        </patternFill>
      </fill>
    </dxf>
    <dxf>
      <font>
        <condense val="0"/>
        <extend val="0"/>
        <color auto="1"/>
      </font>
      <fill>
        <patternFill>
          <bgColor indexed="11"/>
        </patternFill>
      </fill>
    </dxf>
    <dxf>
      <fill>
        <patternFill>
          <bgColor indexed="13"/>
        </patternFill>
      </fill>
    </dxf>
    <dxf>
      <font>
        <condense val="0"/>
        <extend val="0"/>
        <color auto="1"/>
      </font>
      <fill>
        <patternFill>
          <bgColor indexed="11"/>
        </patternFill>
      </fill>
    </dxf>
    <dxf>
      <fill>
        <patternFill>
          <bgColor indexed="13"/>
        </patternFill>
      </fill>
    </dxf>
    <dxf>
      <font>
        <condense val="0"/>
        <extend val="0"/>
        <color auto="1"/>
      </font>
      <fill>
        <patternFill>
          <bgColor indexed="11"/>
        </patternFill>
      </fill>
    </dxf>
    <dxf>
      <fill>
        <patternFill>
          <bgColor indexed="13"/>
        </patternFill>
      </fill>
    </dxf>
    <dxf>
      <font>
        <condense val="0"/>
        <extend val="0"/>
        <color auto="1"/>
      </font>
      <fill>
        <patternFill>
          <bgColor indexed="11"/>
        </patternFill>
      </fill>
    </dxf>
    <dxf>
      <fill>
        <patternFill>
          <bgColor indexed="13"/>
        </patternFill>
      </fill>
    </dxf>
    <dxf>
      <font>
        <condense val="0"/>
        <extend val="0"/>
        <color auto="1"/>
      </font>
      <fill>
        <patternFill>
          <bgColor indexed="11"/>
        </patternFill>
      </fill>
    </dxf>
    <dxf>
      <fill>
        <patternFill>
          <bgColor indexed="13"/>
        </patternFill>
      </fill>
    </dxf>
    <dxf>
      <font>
        <condense val="0"/>
        <extend val="0"/>
        <color auto="1"/>
      </font>
      <fill>
        <patternFill>
          <bgColor indexed="11"/>
        </patternFill>
      </fill>
    </dxf>
    <dxf>
      <fill>
        <patternFill>
          <bgColor indexed="13"/>
        </patternFill>
      </fill>
    </dxf>
    <dxf>
      <font>
        <condense val="0"/>
        <extend val="0"/>
        <color auto="1"/>
      </font>
      <fill>
        <patternFill>
          <bgColor indexed="11"/>
        </patternFill>
      </fill>
    </dxf>
    <dxf>
      <fill>
        <patternFill>
          <bgColor indexed="13"/>
        </patternFill>
      </fill>
    </dxf>
    <dxf>
      <font>
        <condense val="0"/>
        <extend val="0"/>
        <color auto="1"/>
      </font>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04566276964388E-2"/>
          <c:y val="5.7644180818477858E-2"/>
          <c:w val="0.84993141771172209"/>
          <c:h val="0.91102868380507396"/>
        </c:manualLayout>
      </c:layout>
      <c:lineChart>
        <c:grouping val="standard"/>
        <c:varyColors val="0"/>
        <c:ser>
          <c:idx val="0"/>
          <c:order val="0"/>
          <c:tx>
            <c:strRef>
              <c:f>Historie!$A$2</c:f>
              <c:strCache>
                <c:ptCount val="1"/>
                <c:pt idx="0">
                  <c:v>Bernd Schubert</c:v>
                </c:pt>
              </c:strCache>
            </c:strRef>
          </c:tx>
          <c:spPr>
            <a:ln w="38100">
              <a:solidFill>
                <a:srgbClr val="000080"/>
              </a:solidFill>
              <a:prstDash val="solid"/>
            </a:ln>
          </c:spPr>
          <c:marker>
            <c:symbol val="none"/>
          </c:marker>
          <c:cat>
            <c:numRef>
              <c:f>Historie!$B$1:$W$1</c:f>
              <c:numCache>
                <c:formatCode>m/d/yyyy</c:formatCode>
                <c:ptCount val="22"/>
                <c:pt idx="0">
                  <c:v>46182</c:v>
                </c:pt>
                <c:pt idx="1">
                  <c:v>46184</c:v>
                </c:pt>
              </c:numCache>
            </c:numRef>
          </c:cat>
          <c:val>
            <c:numRef>
              <c:f>Historie!$B$2:$W$2</c:f>
              <c:numCache>
                <c:formatCode>General</c:formatCode>
                <c:ptCount val="22"/>
                <c:pt idx="0">
                  <c:v>#N/A</c:v>
                </c:pt>
                <c:pt idx="1">
                  <c:v>#N/A</c:v>
                </c:pt>
              </c:numCache>
            </c:numRef>
          </c:val>
          <c:smooth val="1"/>
          <c:extLst>
            <c:ext xmlns:c16="http://schemas.microsoft.com/office/drawing/2014/chart" uri="{C3380CC4-5D6E-409C-BE32-E72D297353CC}">
              <c16:uniqueId val="{00000000-1578-43B3-A8A4-1C8F41A6DD0C}"/>
            </c:ext>
          </c:extLst>
        </c:ser>
        <c:ser>
          <c:idx val="1"/>
          <c:order val="1"/>
          <c:tx>
            <c:strRef>
              <c:f>Historie!$A$3</c:f>
              <c:strCache>
                <c:ptCount val="1"/>
                <c:pt idx="0">
                  <c:v>Mitspieler 1</c:v>
                </c:pt>
              </c:strCache>
            </c:strRef>
          </c:tx>
          <c:spPr>
            <a:ln w="38100">
              <a:solidFill>
                <a:srgbClr val="FF00FF"/>
              </a:solidFill>
              <a:prstDash val="solid"/>
            </a:ln>
          </c:spPr>
          <c:marker>
            <c:symbol val="none"/>
          </c:marker>
          <c:cat>
            <c:numRef>
              <c:f>Historie!$B$1:$W$1</c:f>
              <c:numCache>
                <c:formatCode>m/d/yyyy</c:formatCode>
                <c:ptCount val="22"/>
                <c:pt idx="0">
                  <c:v>46182</c:v>
                </c:pt>
                <c:pt idx="1">
                  <c:v>46184</c:v>
                </c:pt>
              </c:numCache>
            </c:numRef>
          </c:cat>
          <c:val>
            <c:numRef>
              <c:f>Historie!$B$3:$W$3</c:f>
              <c:numCache>
                <c:formatCode>General</c:formatCode>
                <c:ptCount val="22"/>
                <c:pt idx="0">
                  <c:v>#N/A</c:v>
                </c:pt>
                <c:pt idx="1">
                  <c:v>#N/A</c:v>
                </c:pt>
              </c:numCache>
            </c:numRef>
          </c:val>
          <c:smooth val="1"/>
          <c:extLst>
            <c:ext xmlns:c16="http://schemas.microsoft.com/office/drawing/2014/chart" uri="{C3380CC4-5D6E-409C-BE32-E72D297353CC}">
              <c16:uniqueId val="{00000001-1578-43B3-A8A4-1C8F41A6DD0C}"/>
            </c:ext>
          </c:extLst>
        </c:ser>
        <c:ser>
          <c:idx val="2"/>
          <c:order val="2"/>
          <c:tx>
            <c:strRef>
              <c:f>Historie!$A$4</c:f>
              <c:strCache>
                <c:ptCount val="1"/>
                <c:pt idx="0">
                  <c:v>Mitspieler 2</c:v>
                </c:pt>
              </c:strCache>
            </c:strRef>
          </c:tx>
          <c:spPr>
            <a:ln w="38100">
              <a:solidFill>
                <a:srgbClr val="FFFF00"/>
              </a:solidFill>
              <a:prstDash val="solid"/>
            </a:ln>
          </c:spPr>
          <c:marker>
            <c:symbol val="none"/>
          </c:marker>
          <c:cat>
            <c:numRef>
              <c:f>Historie!$B$1:$W$1</c:f>
              <c:numCache>
                <c:formatCode>m/d/yyyy</c:formatCode>
                <c:ptCount val="22"/>
                <c:pt idx="0">
                  <c:v>46182</c:v>
                </c:pt>
                <c:pt idx="1">
                  <c:v>46184</c:v>
                </c:pt>
              </c:numCache>
            </c:numRef>
          </c:cat>
          <c:val>
            <c:numRef>
              <c:f>Historie!$B$4:$W$4</c:f>
              <c:numCache>
                <c:formatCode>General</c:formatCode>
                <c:ptCount val="22"/>
                <c:pt idx="0">
                  <c:v>#N/A</c:v>
                </c:pt>
                <c:pt idx="1">
                  <c:v>#N/A</c:v>
                </c:pt>
              </c:numCache>
            </c:numRef>
          </c:val>
          <c:smooth val="1"/>
          <c:extLst>
            <c:ext xmlns:c16="http://schemas.microsoft.com/office/drawing/2014/chart" uri="{C3380CC4-5D6E-409C-BE32-E72D297353CC}">
              <c16:uniqueId val="{00000002-1578-43B3-A8A4-1C8F41A6DD0C}"/>
            </c:ext>
          </c:extLst>
        </c:ser>
        <c:ser>
          <c:idx val="3"/>
          <c:order val="3"/>
          <c:tx>
            <c:strRef>
              <c:f>Historie!$A$5</c:f>
              <c:strCache>
                <c:ptCount val="1"/>
                <c:pt idx="0">
                  <c:v>Mitspieler 3</c:v>
                </c:pt>
              </c:strCache>
            </c:strRef>
          </c:tx>
          <c:spPr>
            <a:ln w="38100">
              <a:solidFill>
                <a:srgbClr val="00FFFF"/>
              </a:solidFill>
              <a:prstDash val="solid"/>
            </a:ln>
          </c:spPr>
          <c:marker>
            <c:symbol val="none"/>
          </c:marker>
          <c:cat>
            <c:numRef>
              <c:f>Historie!$B$1:$W$1</c:f>
              <c:numCache>
                <c:formatCode>m/d/yyyy</c:formatCode>
                <c:ptCount val="22"/>
                <c:pt idx="0">
                  <c:v>46182</c:v>
                </c:pt>
                <c:pt idx="1">
                  <c:v>46184</c:v>
                </c:pt>
              </c:numCache>
            </c:numRef>
          </c:cat>
          <c:val>
            <c:numRef>
              <c:f>Historie!$B$5:$W$5</c:f>
              <c:numCache>
                <c:formatCode>General</c:formatCode>
                <c:ptCount val="22"/>
                <c:pt idx="0">
                  <c:v>#N/A</c:v>
                </c:pt>
                <c:pt idx="1">
                  <c:v>#N/A</c:v>
                </c:pt>
              </c:numCache>
            </c:numRef>
          </c:val>
          <c:smooth val="1"/>
          <c:extLst>
            <c:ext xmlns:c16="http://schemas.microsoft.com/office/drawing/2014/chart" uri="{C3380CC4-5D6E-409C-BE32-E72D297353CC}">
              <c16:uniqueId val="{00000003-1578-43B3-A8A4-1C8F41A6DD0C}"/>
            </c:ext>
          </c:extLst>
        </c:ser>
        <c:ser>
          <c:idx val="4"/>
          <c:order val="4"/>
          <c:tx>
            <c:strRef>
              <c:f>Historie!$A$6</c:f>
              <c:strCache>
                <c:ptCount val="1"/>
                <c:pt idx="0">
                  <c:v>Mitspieler 4</c:v>
                </c:pt>
              </c:strCache>
            </c:strRef>
          </c:tx>
          <c:spPr>
            <a:ln w="38100">
              <a:solidFill>
                <a:srgbClr val="800080"/>
              </a:solidFill>
              <a:prstDash val="solid"/>
            </a:ln>
          </c:spPr>
          <c:marker>
            <c:symbol val="none"/>
          </c:marker>
          <c:cat>
            <c:numRef>
              <c:f>Historie!$B$1:$W$1</c:f>
              <c:numCache>
                <c:formatCode>m/d/yyyy</c:formatCode>
                <c:ptCount val="22"/>
                <c:pt idx="0">
                  <c:v>46182</c:v>
                </c:pt>
                <c:pt idx="1">
                  <c:v>46184</c:v>
                </c:pt>
              </c:numCache>
            </c:numRef>
          </c:cat>
          <c:val>
            <c:numRef>
              <c:f>Historie!$B$6:$W$6</c:f>
              <c:numCache>
                <c:formatCode>General</c:formatCode>
                <c:ptCount val="22"/>
                <c:pt idx="0">
                  <c:v>#N/A</c:v>
                </c:pt>
                <c:pt idx="1">
                  <c:v>#N/A</c:v>
                </c:pt>
              </c:numCache>
            </c:numRef>
          </c:val>
          <c:smooth val="1"/>
          <c:extLst>
            <c:ext xmlns:c16="http://schemas.microsoft.com/office/drawing/2014/chart" uri="{C3380CC4-5D6E-409C-BE32-E72D297353CC}">
              <c16:uniqueId val="{00000004-1578-43B3-A8A4-1C8F41A6DD0C}"/>
            </c:ext>
          </c:extLst>
        </c:ser>
        <c:ser>
          <c:idx val="5"/>
          <c:order val="5"/>
          <c:tx>
            <c:strRef>
              <c:f>Historie!$A$7</c:f>
              <c:strCache>
                <c:ptCount val="1"/>
                <c:pt idx="0">
                  <c:v>Mitspieler 5</c:v>
                </c:pt>
              </c:strCache>
            </c:strRef>
          </c:tx>
          <c:spPr>
            <a:ln w="38100">
              <a:solidFill>
                <a:srgbClr val="800000"/>
              </a:solidFill>
              <a:prstDash val="solid"/>
            </a:ln>
          </c:spPr>
          <c:marker>
            <c:symbol val="none"/>
          </c:marker>
          <c:cat>
            <c:numRef>
              <c:f>Historie!$B$1:$W$1</c:f>
              <c:numCache>
                <c:formatCode>m/d/yyyy</c:formatCode>
                <c:ptCount val="22"/>
                <c:pt idx="0">
                  <c:v>46182</c:v>
                </c:pt>
                <c:pt idx="1">
                  <c:v>46184</c:v>
                </c:pt>
              </c:numCache>
            </c:numRef>
          </c:cat>
          <c:val>
            <c:numRef>
              <c:f>Historie!$B$7:$W$7</c:f>
              <c:numCache>
                <c:formatCode>General</c:formatCode>
                <c:ptCount val="22"/>
                <c:pt idx="0">
                  <c:v>#N/A</c:v>
                </c:pt>
                <c:pt idx="1">
                  <c:v>#N/A</c:v>
                </c:pt>
              </c:numCache>
            </c:numRef>
          </c:val>
          <c:smooth val="1"/>
          <c:extLst>
            <c:ext xmlns:c16="http://schemas.microsoft.com/office/drawing/2014/chart" uri="{C3380CC4-5D6E-409C-BE32-E72D297353CC}">
              <c16:uniqueId val="{00000005-1578-43B3-A8A4-1C8F41A6DD0C}"/>
            </c:ext>
          </c:extLst>
        </c:ser>
        <c:ser>
          <c:idx val="6"/>
          <c:order val="6"/>
          <c:tx>
            <c:strRef>
              <c:f>Historie!$A$8</c:f>
              <c:strCache>
                <c:ptCount val="1"/>
                <c:pt idx="0">
                  <c:v>Mitspieler 6</c:v>
                </c:pt>
              </c:strCache>
            </c:strRef>
          </c:tx>
          <c:spPr>
            <a:ln w="38100">
              <a:solidFill>
                <a:srgbClr val="008080"/>
              </a:solidFill>
              <a:prstDash val="solid"/>
            </a:ln>
          </c:spPr>
          <c:marker>
            <c:symbol val="none"/>
          </c:marker>
          <c:cat>
            <c:numRef>
              <c:f>Historie!$B$1:$W$1</c:f>
              <c:numCache>
                <c:formatCode>m/d/yyyy</c:formatCode>
                <c:ptCount val="22"/>
                <c:pt idx="0">
                  <c:v>46182</c:v>
                </c:pt>
                <c:pt idx="1">
                  <c:v>46184</c:v>
                </c:pt>
              </c:numCache>
            </c:numRef>
          </c:cat>
          <c:val>
            <c:numRef>
              <c:f>Historie!$B$8:$W$8</c:f>
              <c:numCache>
                <c:formatCode>General</c:formatCode>
                <c:ptCount val="22"/>
                <c:pt idx="0">
                  <c:v>#N/A</c:v>
                </c:pt>
                <c:pt idx="1">
                  <c:v>#N/A</c:v>
                </c:pt>
              </c:numCache>
            </c:numRef>
          </c:val>
          <c:smooth val="1"/>
          <c:extLst>
            <c:ext xmlns:c16="http://schemas.microsoft.com/office/drawing/2014/chart" uri="{C3380CC4-5D6E-409C-BE32-E72D297353CC}">
              <c16:uniqueId val="{00000006-1578-43B3-A8A4-1C8F41A6DD0C}"/>
            </c:ext>
          </c:extLst>
        </c:ser>
        <c:ser>
          <c:idx val="7"/>
          <c:order val="7"/>
          <c:tx>
            <c:strRef>
              <c:f>Historie!$A$9</c:f>
              <c:strCache>
                <c:ptCount val="1"/>
                <c:pt idx="0">
                  <c:v>Mitspieler 7</c:v>
                </c:pt>
              </c:strCache>
            </c:strRef>
          </c:tx>
          <c:spPr>
            <a:ln w="38100">
              <a:solidFill>
                <a:srgbClr val="0000FF"/>
              </a:solidFill>
              <a:prstDash val="solid"/>
            </a:ln>
          </c:spPr>
          <c:marker>
            <c:symbol val="none"/>
          </c:marker>
          <c:cat>
            <c:numRef>
              <c:f>Historie!$B$1:$W$1</c:f>
              <c:numCache>
                <c:formatCode>m/d/yyyy</c:formatCode>
                <c:ptCount val="22"/>
                <c:pt idx="0">
                  <c:v>46182</c:v>
                </c:pt>
                <c:pt idx="1">
                  <c:v>46184</c:v>
                </c:pt>
              </c:numCache>
            </c:numRef>
          </c:cat>
          <c:val>
            <c:numRef>
              <c:f>Historie!$B$9:$W$9</c:f>
              <c:numCache>
                <c:formatCode>General</c:formatCode>
                <c:ptCount val="22"/>
                <c:pt idx="0">
                  <c:v>#N/A</c:v>
                </c:pt>
                <c:pt idx="1">
                  <c:v>#N/A</c:v>
                </c:pt>
              </c:numCache>
            </c:numRef>
          </c:val>
          <c:smooth val="1"/>
          <c:extLst>
            <c:ext xmlns:c16="http://schemas.microsoft.com/office/drawing/2014/chart" uri="{C3380CC4-5D6E-409C-BE32-E72D297353CC}">
              <c16:uniqueId val="{00000007-1578-43B3-A8A4-1C8F41A6DD0C}"/>
            </c:ext>
          </c:extLst>
        </c:ser>
        <c:ser>
          <c:idx val="8"/>
          <c:order val="8"/>
          <c:tx>
            <c:strRef>
              <c:f>Historie!$A$10</c:f>
              <c:strCache>
                <c:ptCount val="1"/>
                <c:pt idx="0">
                  <c:v>Mitspieler 8</c:v>
                </c:pt>
              </c:strCache>
            </c:strRef>
          </c:tx>
          <c:spPr>
            <a:ln w="38100">
              <a:solidFill>
                <a:srgbClr val="00CCFF"/>
              </a:solidFill>
              <a:prstDash val="solid"/>
            </a:ln>
          </c:spPr>
          <c:marker>
            <c:symbol val="none"/>
          </c:marker>
          <c:cat>
            <c:numRef>
              <c:f>Historie!$B$1:$W$1</c:f>
              <c:numCache>
                <c:formatCode>m/d/yyyy</c:formatCode>
                <c:ptCount val="22"/>
                <c:pt idx="0">
                  <c:v>46182</c:v>
                </c:pt>
                <c:pt idx="1">
                  <c:v>46184</c:v>
                </c:pt>
              </c:numCache>
            </c:numRef>
          </c:cat>
          <c:val>
            <c:numRef>
              <c:f>Historie!$B$10:$W$10</c:f>
              <c:numCache>
                <c:formatCode>General</c:formatCode>
                <c:ptCount val="22"/>
                <c:pt idx="0">
                  <c:v>#N/A</c:v>
                </c:pt>
                <c:pt idx="1">
                  <c:v>#N/A</c:v>
                </c:pt>
              </c:numCache>
            </c:numRef>
          </c:val>
          <c:smooth val="1"/>
          <c:extLst>
            <c:ext xmlns:c16="http://schemas.microsoft.com/office/drawing/2014/chart" uri="{C3380CC4-5D6E-409C-BE32-E72D297353CC}">
              <c16:uniqueId val="{00000008-1578-43B3-A8A4-1C8F41A6DD0C}"/>
            </c:ext>
          </c:extLst>
        </c:ser>
        <c:ser>
          <c:idx val="9"/>
          <c:order val="9"/>
          <c:tx>
            <c:strRef>
              <c:f>Historie!$A$11</c:f>
              <c:strCache>
                <c:ptCount val="1"/>
                <c:pt idx="0">
                  <c:v>Mitspieler 9</c:v>
                </c:pt>
              </c:strCache>
            </c:strRef>
          </c:tx>
          <c:spPr>
            <a:ln w="38100">
              <a:solidFill>
                <a:srgbClr val="CCFFFF"/>
              </a:solidFill>
              <a:prstDash val="solid"/>
            </a:ln>
          </c:spPr>
          <c:marker>
            <c:symbol val="none"/>
          </c:marker>
          <c:cat>
            <c:numRef>
              <c:f>Historie!$B$1:$W$1</c:f>
              <c:numCache>
                <c:formatCode>m/d/yyyy</c:formatCode>
                <c:ptCount val="22"/>
                <c:pt idx="0">
                  <c:v>46182</c:v>
                </c:pt>
                <c:pt idx="1">
                  <c:v>46184</c:v>
                </c:pt>
              </c:numCache>
            </c:numRef>
          </c:cat>
          <c:val>
            <c:numRef>
              <c:f>Historie!$B$11:$W$11</c:f>
              <c:numCache>
                <c:formatCode>General</c:formatCode>
                <c:ptCount val="22"/>
                <c:pt idx="0">
                  <c:v>#N/A</c:v>
                </c:pt>
                <c:pt idx="1">
                  <c:v>#N/A</c:v>
                </c:pt>
              </c:numCache>
            </c:numRef>
          </c:val>
          <c:smooth val="1"/>
          <c:extLst>
            <c:ext xmlns:c16="http://schemas.microsoft.com/office/drawing/2014/chart" uri="{C3380CC4-5D6E-409C-BE32-E72D297353CC}">
              <c16:uniqueId val="{00000009-1578-43B3-A8A4-1C8F41A6DD0C}"/>
            </c:ext>
          </c:extLst>
        </c:ser>
        <c:ser>
          <c:idx val="10"/>
          <c:order val="10"/>
          <c:tx>
            <c:strRef>
              <c:f>Historie!$A$12</c:f>
              <c:strCache>
                <c:ptCount val="1"/>
                <c:pt idx="0">
                  <c:v>Mitspieler 10</c:v>
                </c:pt>
              </c:strCache>
            </c:strRef>
          </c:tx>
          <c:spPr>
            <a:ln w="38100">
              <a:solidFill>
                <a:srgbClr val="CCFFCC"/>
              </a:solidFill>
              <a:prstDash val="solid"/>
            </a:ln>
          </c:spPr>
          <c:marker>
            <c:symbol val="none"/>
          </c:marker>
          <c:cat>
            <c:numRef>
              <c:f>Historie!$B$1:$W$1</c:f>
              <c:numCache>
                <c:formatCode>m/d/yyyy</c:formatCode>
                <c:ptCount val="22"/>
                <c:pt idx="0">
                  <c:v>46182</c:v>
                </c:pt>
                <c:pt idx="1">
                  <c:v>46184</c:v>
                </c:pt>
              </c:numCache>
            </c:numRef>
          </c:cat>
          <c:val>
            <c:numRef>
              <c:f>Historie!$B$12:$W$12</c:f>
              <c:numCache>
                <c:formatCode>General</c:formatCode>
                <c:ptCount val="22"/>
                <c:pt idx="0">
                  <c:v>#N/A</c:v>
                </c:pt>
                <c:pt idx="1">
                  <c:v>#N/A</c:v>
                </c:pt>
              </c:numCache>
            </c:numRef>
          </c:val>
          <c:smooth val="1"/>
          <c:extLst>
            <c:ext xmlns:c16="http://schemas.microsoft.com/office/drawing/2014/chart" uri="{C3380CC4-5D6E-409C-BE32-E72D297353CC}">
              <c16:uniqueId val="{0000000A-1578-43B3-A8A4-1C8F41A6DD0C}"/>
            </c:ext>
          </c:extLst>
        </c:ser>
        <c:ser>
          <c:idx val="11"/>
          <c:order val="11"/>
          <c:tx>
            <c:strRef>
              <c:f>Historie!$A$13</c:f>
              <c:strCache>
                <c:ptCount val="1"/>
                <c:pt idx="0">
                  <c:v>Mitspieler 11</c:v>
                </c:pt>
              </c:strCache>
            </c:strRef>
          </c:tx>
          <c:spPr>
            <a:ln w="38100">
              <a:solidFill>
                <a:srgbClr val="FFFF99"/>
              </a:solidFill>
              <a:prstDash val="solid"/>
            </a:ln>
          </c:spPr>
          <c:marker>
            <c:symbol val="none"/>
          </c:marker>
          <c:cat>
            <c:numRef>
              <c:f>Historie!$B$1:$W$1</c:f>
              <c:numCache>
                <c:formatCode>m/d/yyyy</c:formatCode>
                <c:ptCount val="22"/>
                <c:pt idx="0">
                  <c:v>46182</c:v>
                </c:pt>
                <c:pt idx="1">
                  <c:v>46184</c:v>
                </c:pt>
              </c:numCache>
            </c:numRef>
          </c:cat>
          <c:val>
            <c:numRef>
              <c:f>Historie!$B$13:$W$13</c:f>
              <c:numCache>
                <c:formatCode>General</c:formatCode>
                <c:ptCount val="22"/>
                <c:pt idx="0">
                  <c:v>#N/A</c:v>
                </c:pt>
                <c:pt idx="1">
                  <c:v>#N/A</c:v>
                </c:pt>
              </c:numCache>
            </c:numRef>
          </c:val>
          <c:smooth val="1"/>
          <c:extLst>
            <c:ext xmlns:c16="http://schemas.microsoft.com/office/drawing/2014/chart" uri="{C3380CC4-5D6E-409C-BE32-E72D297353CC}">
              <c16:uniqueId val="{0000000B-1578-43B3-A8A4-1C8F41A6DD0C}"/>
            </c:ext>
          </c:extLst>
        </c:ser>
        <c:ser>
          <c:idx val="12"/>
          <c:order val="12"/>
          <c:tx>
            <c:strRef>
              <c:f>Historie!$A$14</c:f>
              <c:strCache>
                <c:ptCount val="1"/>
                <c:pt idx="0">
                  <c:v>Mitspieler 12</c:v>
                </c:pt>
              </c:strCache>
            </c:strRef>
          </c:tx>
          <c:spPr>
            <a:ln w="38100">
              <a:solidFill>
                <a:srgbClr val="99CCFF"/>
              </a:solidFill>
              <a:prstDash val="solid"/>
            </a:ln>
          </c:spPr>
          <c:marker>
            <c:symbol val="none"/>
          </c:marker>
          <c:cat>
            <c:numRef>
              <c:f>Historie!$B$1:$W$1</c:f>
              <c:numCache>
                <c:formatCode>m/d/yyyy</c:formatCode>
                <c:ptCount val="22"/>
                <c:pt idx="0">
                  <c:v>46182</c:v>
                </c:pt>
                <c:pt idx="1">
                  <c:v>46184</c:v>
                </c:pt>
              </c:numCache>
            </c:numRef>
          </c:cat>
          <c:val>
            <c:numRef>
              <c:f>Historie!$B$14:$W$14</c:f>
              <c:numCache>
                <c:formatCode>General</c:formatCode>
                <c:ptCount val="22"/>
                <c:pt idx="0">
                  <c:v>#N/A</c:v>
                </c:pt>
                <c:pt idx="1">
                  <c:v>#N/A</c:v>
                </c:pt>
              </c:numCache>
            </c:numRef>
          </c:val>
          <c:smooth val="1"/>
          <c:extLst>
            <c:ext xmlns:c16="http://schemas.microsoft.com/office/drawing/2014/chart" uri="{C3380CC4-5D6E-409C-BE32-E72D297353CC}">
              <c16:uniqueId val="{0000000C-1578-43B3-A8A4-1C8F41A6DD0C}"/>
            </c:ext>
          </c:extLst>
        </c:ser>
        <c:ser>
          <c:idx val="13"/>
          <c:order val="13"/>
          <c:tx>
            <c:strRef>
              <c:f>Historie!$A$15</c:f>
              <c:strCache>
                <c:ptCount val="1"/>
                <c:pt idx="0">
                  <c:v>Mitspieler 13</c:v>
                </c:pt>
              </c:strCache>
            </c:strRef>
          </c:tx>
          <c:spPr>
            <a:ln w="38100">
              <a:solidFill>
                <a:srgbClr val="FF99CC"/>
              </a:solidFill>
              <a:prstDash val="solid"/>
            </a:ln>
          </c:spPr>
          <c:marker>
            <c:symbol val="none"/>
          </c:marker>
          <c:cat>
            <c:numRef>
              <c:f>Historie!$B$1:$W$1</c:f>
              <c:numCache>
                <c:formatCode>m/d/yyyy</c:formatCode>
                <c:ptCount val="22"/>
                <c:pt idx="0">
                  <c:v>46182</c:v>
                </c:pt>
                <c:pt idx="1">
                  <c:v>46184</c:v>
                </c:pt>
              </c:numCache>
            </c:numRef>
          </c:cat>
          <c:val>
            <c:numRef>
              <c:f>Historie!$B$15:$W$15</c:f>
              <c:numCache>
                <c:formatCode>General</c:formatCode>
                <c:ptCount val="22"/>
                <c:pt idx="0">
                  <c:v>#N/A</c:v>
                </c:pt>
                <c:pt idx="1">
                  <c:v>#N/A</c:v>
                </c:pt>
              </c:numCache>
            </c:numRef>
          </c:val>
          <c:smooth val="1"/>
          <c:extLst>
            <c:ext xmlns:c16="http://schemas.microsoft.com/office/drawing/2014/chart" uri="{C3380CC4-5D6E-409C-BE32-E72D297353CC}">
              <c16:uniqueId val="{0000000D-1578-43B3-A8A4-1C8F41A6DD0C}"/>
            </c:ext>
          </c:extLst>
        </c:ser>
        <c:ser>
          <c:idx val="14"/>
          <c:order val="14"/>
          <c:tx>
            <c:strRef>
              <c:f>Historie!$A$16</c:f>
              <c:strCache>
                <c:ptCount val="1"/>
                <c:pt idx="0">
                  <c:v>Mitspieler 14</c:v>
                </c:pt>
              </c:strCache>
            </c:strRef>
          </c:tx>
          <c:spPr>
            <a:ln w="38100">
              <a:solidFill>
                <a:srgbClr val="CC99FF"/>
              </a:solidFill>
              <a:prstDash val="solid"/>
            </a:ln>
          </c:spPr>
          <c:marker>
            <c:symbol val="none"/>
          </c:marker>
          <c:cat>
            <c:numRef>
              <c:f>Historie!$B$1:$W$1</c:f>
              <c:numCache>
                <c:formatCode>m/d/yyyy</c:formatCode>
                <c:ptCount val="22"/>
                <c:pt idx="0">
                  <c:v>46182</c:v>
                </c:pt>
                <c:pt idx="1">
                  <c:v>46184</c:v>
                </c:pt>
              </c:numCache>
            </c:numRef>
          </c:cat>
          <c:val>
            <c:numRef>
              <c:f>Historie!$B$16:$W$16</c:f>
              <c:numCache>
                <c:formatCode>General</c:formatCode>
                <c:ptCount val="22"/>
                <c:pt idx="0">
                  <c:v>#N/A</c:v>
                </c:pt>
                <c:pt idx="1">
                  <c:v>#N/A</c:v>
                </c:pt>
              </c:numCache>
            </c:numRef>
          </c:val>
          <c:smooth val="1"/>
          <c:extLst>
            <c:ext xmlns:c16="http://schemas.microsoft.com/office/drawing/2014/chart" uri="{C3380CC4-5D6E-409C-BE32-E72D297353CC}">
              <c16:uniqueId val="{0000000E-1578-43B3-A8A4-1C8F41A6DD0C}"/>
            </c:ext>
          </c:extLst>
        </c:ser>
        <c:ser>
          <c:idx val="15"/>
          <c:order val="15"/>
          <c:tx>
            <c:strRef>
              <c:f>Historie!$A$17</c:f>
              <c:strCache>
                <c:ptCount val="1"/>
                <c:pt idx="0">
                  <c:v>Mitspieler 15</c:v>
                </c:pt>
              </c:strCache>
            </c:strRef>
          </c:tx>
          <c:spPr>
            <a:ln w="38100">
              <a:solidFill>
                <a:srgbClr val="E3E3E3"/>
              </a:solidFill>
              <a:prstDash val="solid"/>
            </a:ln>
          </c:spPr>
          <c:marker>
            <c:symbol val="none"/>
          </c:marker>
          <c:cat>
            <c:numRef>
              <c:f>Historie!$B$1:$W$1</c:f>
              <c:numCache>
                <c:formatCode>m/d/yyyy</c:formatCode>
                <c:ptCount val="22"/>
                <c:pt idx="0">
                  <c:v>46182</c:v>
                </c:pt>
                <c:pt idx="1">
                  <c:v>46184</c:v>
                </c:pt>
              </c:numCache>
            </c:numRef>
          </c:cat>
          <c:val>
            <c:numRef>
              <c:f>Historie!$B$17:$W$17</c:f>
              <c:numCache>
                <c:formatCode>General</c:formatCode>
                <c:ptCount val="22"/>
                <c:pt idx="0">
                  <c:v>#N/A</c:v>
                </c:pt>
                <c:pt idx="1">
                  <c:v>#N/A</c:v>
                </c:pt>
              </c:numCache>
            </c:numRef>
          </c:val>
          <c:smooth val="1"/>
          <c:extLst>
            <c:ext xmlns:c16="http://schemas.microsoft.com/office/drawing/2014/chart" uri="{C3380CC4-5D6E-409C-BE32-E72D297353CC}">
              <c16:uniqueId val="{0000000F-1578-43B3-A8A4-1C8F41A6DD0C}"/>
            </c:ext>
          </c:extLst>
        </c:ser>
        <c:ser>
          <c:idx val="16"/>
          <c:order val="16"/>
          <c:tx>
            <c:strRef>
              <c:f>Historie!$A$18</c:f>
              <c:strCache>
                <c:ptCount val="1"/>
                <c:pt idx="0">
                  <c:v>Mitspieler 16</c:v>
                </c:pt>
              </c:strCache>
            </c:strRef>
          </c:tx>
          <c:spPr>
            <a:ln w="38100">
              <a:solidFill>
                <a:srgbClr val="3366FF"/>
              </a:solidFill>
              <a:prstDash val="solid"/>
            </a:ln>
          </c:spPr>
          <c:marker>
            <c:symbol val="none"/>
          </c:marker>
          <c:cat>
            <c:numRef>
              <c:f>Historie!$B$1:$W$1</c:f>
              <c:numCache>
                <c:formatCode>m/d/yyyy</c:formatCode>
                <c:ptCount val="22"/>
                <c:pt idx="0">
                  <c:v>46182</c:v>
                </c:pt>
                <c:pt idx="1">
                  <c:v>46184</c:v>
                </c:pt>
              </c:numCache>
            </c:numRef>
          </c:cat>
          <c:val>
            <c:numRef>
              <c:f>Historie!$B$18:$W$18</c:f>
              <c:numCache>
                <c:formatCode>General</c:formatCode>
                <c:ptCount val="22"/>
                <c:pt idx="0">
                  <c:v>#N/A</c:v>
                </c:pt>
                <c:pt idx="1">
                  <c:v>#N/A</c:v>
                </c:pt>
              </c:numCache>
            </c:numRef>
          </c:val>
          <c:smooth val="1"/>
          <c:extLst>
            <c:ext xmlns:c16="http://schemas.microsoft.com/office/drawing/2014/chart" uri="{C3380CC4-5D6E-409C-BE32-E72D297353CC}">
              <c16:uniqueId val="{00000010-1578-43B3-A8A4-1C8F41A6DD0C}"/>
            </c:ext>
          </c:extLst>
        </c:ser>
        <c:ser>
          <c:idx val="17"/>
          <c:order val="17"/>
          <c:tx>
            <c:strRef>
              <c:f>Historie!$A$19</c:f>
              <c:strCache>
                <c:ptCount val="1"/>
                <c:pt idx="0">
                  <c:v>Mitspieler 17</c:v>
                </c:pt>
              </c:strCache>
            </c:strRef>
          </c:tx>
          <c:spPr>
            <a:ln w="38100">
              <a:solidFill>
                <a:srgbClr val="33CCCC"/>
              </a:solidFill>
              <a:prstDash val="solid"/>
            </a:ln>
          </c:spPr>
          <c:marker>
            <c:symbol val="none"/>
          </c:marker>
          <c:cat>
            <c:numRef>
              <c:f>Historie!$B$1:$W$1</c:f>
              <c:numCache>
                <c:formatCode>m/d/yyyy</c:formatCode>
                <c:ptCount val="22"/>
                <c:pt idx="0">
                  <c:v>46182</c:v>
                </c:pt>
                <c:pt idx="1">
                  <c:v>46184</c:v>
                </c:pt>
              </c:numCache>
            </c:numRef>
          </c:cat>
          <c:val>
            <c:numRef>
              <c:f>Historie!$B$19:$W$19</c:f>
              <c:numCache>
                <c:formatCode>General</c:formatCode>
                <c:ptCount val="22"/>
                <c:pt idx="0">
                  <c:v>#N/A</c:v>
                </c:pt>
                <c:pt idx="1">
                  <c:v>#N/A</c:v>
                </c:pt>
              </c:numCache>
            </c:numRef>
          </c:val>
          <c:smooth val="1"/>
          <c:extLst>
            <c:ext xmlns:c16="http://schemas.microsoft.com/office/drawing/2014/chart" uri="{C3380CC4-5D6E-409C-BE32-E72D297353CC}">
              <c16:uniqueId val="{00000011-1578-43B3-A8A4-1C8F41A6DD0C}"/>
            </c:ext>
          </c:extLst>
        </c:ser>
        <c:ser>
          <c:idx val="18"/>
          <c:order val="18"/>
          <c:tx>
            <c:strRef>
              <c:f>Historie!$A$20</c:f>
              <c:strCache>
                <c:ptCount val="1"/>
                <c:pt idx="0">
                  <c:v>Mitspieler 18</c:v>
                </c:pt>
              </c:strCache>
            </c:strRef>
          </c:tx>
          <c:spPr>
            <a:ln w="38100">
              <a:solidFill>
                <a:srgbClr val="99CC00"/>
              </a:solidFill>
              <a:prstDash val="solid"/>
            </a:ln>
          </c:spPr>
          <c:marker>
            <c:symbol val="none"/>
          </c:marker>
          <c:cat>
            <c:numRef>
              <c:f>Historie!$B$1:$W$1</c:f>
              <c:numCache>
                <c:formatCode>m/d/yyyy</c:formatCode>
                <c:ptCount val="22"/>
                <c:pt idx="0">
                  <c:v>46182</c:v>
                </c:pt>
                <c:pt idx="1">
                  <c:v>46184</c:v>
                </c:pt>
              </c:numCache>
            </c:numRef>
          </c:cat>
          <c:val>
            <c:numRef>
              <c:f>Historie!$B$20:$W$20</c:f>
              <c:numCache>
                <c:formatCode>General</c:formatCode>
                <c:ptCount val="22"/>
                <c:pt idx="0">
                  <c:v>#N/A</c:v>
                </c:pt>
                <c:pt idx="1">
                  <c:v>#N/A</c:v>
                </c:pt>
              </c:numCache>
            </c:numRef>
          </c:val>
          <c:smooth val="1"/>
          <c:extLst>
            <c:ext xmlns:c16="http://schemas.microsoft.com/office/drawing/2014/chart" uri="{C3380CC4-5D6E-409C-BE32-E72D297353CC}">
              <c16:uniqueId val="{00000012-1578-43B3-A8A4-1C8F41A6DD0C}"/>
            </c:ext>
          </c:extLst>
        </c:ser>
        <c:ser>
          <c:idx val="19"/>
          <c:order val="19"/>
          <c:tx>
            <c:strRef>
              <c:f>Historie!$A$21</c:f>
              <c:strCache>
                <c:ptCount val="1"/>
                <c:pt idx="0">
                  <c:v>Mitspieler 19</c:v>
                </c:pt>
              </c:strCache>
            </c:strRef>
          </c:tx>
          <c:spPr>
            <a:ln w="38100">
              <a:solidFill>
                <a:srgbClr val="FFCC00"/>
              </a:solidFill>
              <a:prstDash val="solid"/>
            </a:ln>
          </c:spPr>
          <c:marker>
            <c:symbol val="none"/>
          </c:marker>
          <c:cat>
            <c:numRef>
              <c:f>Historie!$B$1:$W$1</c:f>
              <c:numCache>
                <c:formatCode>m/d/yyyy</c:formatCode>
                <c:ptCount val="22"/>
                <c:pt idx="0">
                  <c:v>46182</c:v>
                </c:pt>
                <c:pt idx="1">
                  <c:v>46184</c:v>
                </c:pt>
              </c:numCache>
            </c:numRef>
          </c:cat>
          <c:val>
            <c:numRef>
              <c:f>Historie!$B$21:$W$21</c:f>
              <c:numCache>
                <c:formatCode>General</c:formatCode>
                <c:ptCount val="22"/>
                <c:pt idx="0">
                  <c:v>#N/A</c:v>
                </c:pt>
                <c:pt idx="1">
                  <c:v>#N/A</c:v>
                </c:pt>
              </c:numCache>
            </c:numRef>
          </c:val>
          <c:smooth val="1"/>
          <c:extLst>
            <c:ext xmlns:c16="http://schemas.microsoft.com/office/drawing/2014/chart" uri="{C3380CC4-5D6E-409C-BE32-E72D297353CC}">
              <c16:uniqueId val="{00000013-1578-43B3-A8A4-1C8F41A6DD0C}"/>
            </c:ext>
          </c:extLst>
        </c:ser>
        <c:ser>
          <c:idx val="20"/>
          <c:order val="20"/>
          <c:tx>
            <c:strRef>
              <c:f>Historie!$A$22</c:f>
              <c:strCache>
                <c:ptCount val="1"/>
                <c:pt idx="0">
                  <c:v>Mitspieler 20</c:v>
                </c:pt>
              </c:strCache>
            </c:strRef>
          </c:tx>
          <c:spPr>
            <a:ln w="38100">
              <a:solidFill>
                <a:srgbClr val="FF9900"/>
              </a:solidFill>
              <a:prstDash val="solid"/>
            </a:ln>
          </c:spPr>
          <c:marker>
            <c:symbol val="none"/>
          </c:marker>
          <c:cat>
            <c:numRef>
              <c:f>Historie!$B$1:$W$1</c:f>
              <c:numCache>
                <c:formatCode>m/d/yyyy</c:formatCode>
                <c:ptCount val="22"/>
                <c:pt idx="0">
                  <c:v>46182</c:v>
                </c:pt>
                <c:pt idx="1">
                  <c:v>46184</c:v>
                </c:pt>
              </c:numCache>
            </c:numRef>
          </c:cat>
          <c:val>
            <c:numRef>
              <c:f>Historie!$B$22:$W$22</c:f>
              <c:numCache>
                <c:formatCode>General</c:formatCode>
                <c:ptCount val="22"/>
                <c:pt idx="0">
                  <c:v>#N/A</c:v>
                </c:pt>
                <c:pt idx="1">
                  <c:v>#N/A</c:v>
                </c:pt>
              </c:numCache>
            </c:numRef>
          </c:val>
          <c:smooth val="1"/>
          <c:extLst>
            <c:ext xmlns:c16="http://schemas.microsoft.com/office/drawing/2014/chart" uri="{C3380CC4-5D6E-409C-BE32-E72D297353CC}">
              <c16:uniqueId val="{00000014-1578-43B3-A8A4-1C8F41A6DD0C}"/>
            </c:ext>
          </c:extLst>
        </c:ser>
        <c:ser>
          <c:idx val="21"/>
          <c:order val="21"/>
          <c:tx>
            <c:strRef>
              <c:f>Historie!$A$23</c:f>
              <c:strCache>
                <c:ptCount val="1"/>
                <c:pt idx="0">
                  <c:v>Mitspieler 22</c:v>
                </c:pt>
              </c:strCache>
            </c:strRef>
          </c:tx>
          <c:spPr>
            <a:ln w="38100">
              <a:solidFill>
                <a:srgbClr val="FF6600"/>
              </a:solidFill>
              <a:prstDash val="solid"/>
            </a:ln>
          </c:spPr>
          <c:marker>
            <c:symbol val="none"/>
          </c:marker>
          <c:cat>
            <c:numRef>
              <c:f>Historie!$B$1:$W$1</c:f>
              <c:numCache>
                <c:formatCode>m/d/yyyy</c:formatCode>
                <c:ptCount val="22"/>
                <c:pt idx="0">
                  <c:v>46182</c:v>
                </c:pt>
                <c:pt idx="1">
                  <c:v>46184</c:v>
                </c:pt>
              </c:numCache>
            </c:numRef>
          </c:cat>
          <c:val>
            <c:numRef>
              <c:f>Historie!$B$23:$W$23</c:f>
              <c:numCache>
                <c:formatCode>General</c:formatCode>
                <c:ptCount val="22"/>
                <c:pt idx="0">
                  <c:v>#N/A</c:v>
                </c:pt>
                <c:pt idx="1">
                  <c:v>#N/A</c:v>
                </c:pt>
              </c:numCache>
            </c:numRef>
          </c:val>
          <c:smooth val="1"/>
          <c:extLst>
            <c:ext xmlns:c16="http://schemas.microsoft.com/office/drawing/2014/chart" uri="{C3380CC4-5D6E-409C-BE32-E72D297353CC}">
              <c16:uniqueId val="{00000015-1578-43B3-A8A4-1C8F41A6DD0C}"/>
            </c:ext>
          </c:extLst>
        </c:ser>
        <c:ser>
          <c:idx val="22"/>
          <c:order val="22"/>
          <c:tx>
            <c:strRef>
              <c:f>Historie!$A$24</c:f>
              <c:strCache>
                <c:ptCount val="1"/>
                <c:pt idx="0">
                  <c:v>Mitspieler 22</c:v>
                </c:pt>
              </c:strCache>
            </c:strRef>
          </c:tx>
          <c:spPr>
            <a:ln w="12700">
              <a:solidFill>
                <a:srgbClr val="666699"/>
              </a:solidFill>
              <a:prstDash val="solid"/>
            </a:ln>
          </c:spPr>
          <c:marker>
            <c:symbol val="none"/>
          </c:marker>
          <c:cat>
            <c:numRef>
              <c:f>Historie!$B$1:$W$1</c:f>
              <c:numCache>
                <c:formatCode>m/d/yyyy</c:formatCode>
                <c:ptCount val="22"/>
                <c:pt idx="0">
                  <c:v>46182</c:v>
                </c:pt>
                <c:pt idx="1">
                  <c:v>46184</c:v>
                </c:pt>
              </c:numCache>
            </c:numRef>
          </c:cat>
          <c:val>
            <c:numRef>
              <c:f>Historie!$B$24:$W$24</c:f>
              <c:numCache>
                <c:formatCode>General</c:formatCode>
                <c:ptCount val="22"/>
                <c:pt idx="0">
                  <c:v>#N/A</c:v>
                </c:pt>
                <c:pt idx="1">
                  <c:v>#N/A</c:v>
                </c:pt>
              </c:numCache>
            </c:numRef>
          </c:val>
          <c:smooth val="1"/>
          <c:extLst>
            <c:ext xmlns:c16="http://schemas.microsoft.com/office/drawing/2014/chart" uri="{C3380CC4-5D6E-409C-BE32-E72D297353CC}">
              <c16:uniqueId val="{00000016-1578-43B3-A8A4-1C8F41A6DD0C}"/>
            </c:ext>
          </c:extLst>
        </c:ser>
        <c:ser>
          <c:idx val="23"/>
          <c:order val="23"/>
          <c:tx>
            <c:strRef>
              <c:f>Historie!$A$25</c:f>
              <c:strCache>
                <c:ptCount val="1"/>
                <c:pt idx="0">
                  <c:v>Mitspieler 23</c:v>
                </c:pt>
              </c:strCache>
            </c:strRef>
          </c:tx>
          <c:spPr>
            <a:ln w="12700">
              <a:solidFill>
                <a:srgbClr val="969696"/>
              </a:solidFill>
              <a:prstDash val="solid"/>
            </a:ln>
          </c:spPr>
          <c:marker>
            <c:symbol val="none"/>
          </c:marker>
          <c:cat>
            <c:numRef>
              <c:f>Historie!$B$1:$W$1</c:f>
              <c:numCache>
                <c:formatCode>m/d/yyyy</c:formatCode>
                <c:ptCount val="22"/>
                <c:pt idx="0">
                  <c:v>46182</c:v>
                </c:pt>
                <c:pt idx="1">
                  <c:v>46184</c:v>
                </c:pt>
              </c:numCache>
            </c:numRef>
          </c:cat>
          <c:val>
            <c:numRef>
              <c:f>Historie!$B$25:$W$25</c:f>
              <c:numCache>
                <c:formatCode>General</c:formatCode>
                <c:ptCount val="22"/>
                <c:pt idx="0">
                  <c:v>#N/A</c:v>
                </c:pt>
                <c:pt idx="1">
                  <c:v>#N/A</c:v>
                </c:pt>
              </c:numCache>
            </c:numRef>
          </c:val>
          <c:smooth val="1"/>
          <c:extLst>
            <c:ext xmlns:c16="http://schemas.microsoft.com/office/drawing/2014/chart" uri="{C3380CC4-5D6E-409C-BE32-E72D297353CC}">
              <c16:uniqueId val="{00000017-1578-43B3-A8A4-1C8F41A6DD0C}"/>
            </c:ext>
          </c:extLst>
        </c:ser>
        <c:ser>
          <c:idx val="24"/>
          <c:order val="24"/>
          <c:tx>
            <c:strRef>
              <c:f>Historie!$A$26</c:f>
              <c:strCache>
                <c:ptCount val="1"/>
                <c:pt idx="0">
                  <c:v>Mitspieler 24</c:v>
                </c:pt>
              </c:strCache>
            </c:strRef>
          </c:tx>
          <c:spPr>
            <a:ln w="12700">
              <a:solidFill>
                <a:srgbClr val="003366"/>
              </a:solidFill>
              <a:prstDash val="solid"/>
            </a:ln>
          </c:spPr>
          <c:marker>
            <c:symbol val="none"/>
          </c:marker>
          <c:cat>
            <c:numRef>
              <c:f>Historie!$B$1:$W$1</c:f>
              <c:numCache>
                <c:formatCode>m/d/yyyy</c:formatCode>
                <c:ptCount val="22"/>
                <c:pt idx="0">
                  <c:v>46182</c:v>
                </c:pt>
                <c:pt idx="1">
                  <c:v>46184</c:v>
                </c:pt>
              </c:numCache>
            </c:numRef>
          </c:cat>
          <c:val>
            <c:numRef>
              <c:f>Historie!$B$26:$W$26</c:f>
              <c:numCache>
                <c:formatCode>General</c:formatCode>
                <c:ptCount val="22"/>
                <c:pt idx="0">
                  <c:v>#N/A</c:v>
                </c:pt>
                <c:pt idx="1">
                  <c:v>#N/A</c:v>
                </c:pt>
              </c:numCache>
            </c:numRef>
          </c:val>
          <c:smooth val="1"/>
          <c:extLst>
            <c:ext xmlns:c16="http://schemas.microsoft.com/office/drawing/2014/chart" uri="{C3380CC4-5D6E-409C-BE32-E72D297353CC}">
              <c16:uniqueId val="{00000018-1578-43B3-A8A4-1C8F41A6DD0C}"/>
            </c:ext>
          </c:extLst>
        </c:ser>
        <c:ser>
          <c:idx val="25"/>
          <c:order val="25"/>
          <c:tx>
            <c:strRef>
              <c:f>Historie!$A$27</c:f>
              <c:strCache>
                <c:ptCount val="1"/>
                <c:pt idx="0">
                  <c:v>Mitspieler 25</c:v>
                </c:pt>
              </c:strCache>
            </c:strRef>
          </c:tx>
          <c:spPr>
            <a:ln w="12700">
              <a:solidFill>
                <a:srgbClr val="339966"/>
              </a:solidFill>
              <a:prstDash val="solid"/>
            </a:ln>
          </c:spPr>
          <c:marker>
            <c:symbol val="none"/>
          </c:marker>
          <c:cat>
            <c:numRef>
              <c:f>Historie!$B$1:$W$1</c:f>
              <c:numCache>
                <c:formatCode>m/d/yyyy</c:formatCode>
                <c:ptCount val="22"/>
                <c:pt idx="0">
                  <c:v>46182</c:v>
                </c:pt>
                <c:pt idx="1">
                  <c:v>46184</c:v>
                </c:pt>
              </c:numCache>
            </c:numRef>
          </c:cat>
          <c:val>
            <c:numRef>
              <c:f>Historie!$B$27:$W$27</c:f>
              <c:numCache>
                <c:formatCode>General</c:formatCode>
                <c:ptCount val="22"/>
                <c:pt idx="0">
                  <c:v>#N/A</c:v>
                </c:pt>
                <c:pt idx="1">
                  <c:v>#N/A</c:v>
                </c:pt>
              </c:numCache>
            </c:numRef>
          </c:val>
          <c:smooth val="1"/>
          <c:extLst>
            <c:ext xmlns:c16="http://schemas.microsoft.com/office/drawing/2014/chart" uri="{C3380CC4-5D6E-409C-BE32-E72D297353CC}">
              <c16:uniqueId val="{00000019-1578-43B3-A8A4-1C8F41A6DD0C}"/>
            </c:ext>
          </c:extLst>
        </c:ser>
        <c:ser>
          <c:idx val="26"/>
          <c:order val="26"/>
          <c:tx>
            <c:strRef>
              <c:f>Historie!$A$28</c:f>
              <c:strCache>
                <c:ptCount val="1"/>
                <c:pt idx="0">
                  <c:v>Mitspieler 26</c:v>
                </c:pt>
              </c:strCache>
            </c:strRef>
          </c:tx>
          <c:spPr>
            <a:ln w="12700">
              <a:solidFill>
                <a:srgbClr val="003300"/>
              </a:solidFill>
              <a:prstDash val="solid"/>
            </a:ln>
          </c:spPr>
          <c:marker>
            <c:symbol val="none"/>
          </c:marker>
          <c:cat>
            <c:numRef>
              <c:f>Historie!$B$1:$W$1</c:f>
              <c:numCache>
                <c:formatCode>m/d/yyyy</c:formatCode>
                <c:ptCount val="22"/>
                <c:pt idx="0">
                  <c:v>46182</c:v>
                </c:pt>
                <c:pt idx="1">
                  <c:v>46184</c:v>
                </c:pt>
              </c:numCache>
            </c:numRef>
          </c:cat>
          <c:val>
            <c:numRef>
              <c:f>Historie!$B$28:$W$28</c:f>
              <c:numCache>
                <c:formatCode>General</c:formatCode>
                <c:ptCount val="22"/>
                <c:pt idx="0">
                  <c:v>#N/A</c:v>
                </c:pt>
                <c:pt idx="1">
                  <c:v>#N/A</c:v>
                </c:pt>
              </c:numCache>
            </c:numRef>
          </c:val>
          <c:smooth val="1"/>
          <c:extLst>
            <c:ext xmlns:c16="http://schemas.microsoft.com/office/drawing/2014/chart" uri="{C3380CC4-5D6E-409C-BE32-E72D297353CC}">
              <c16:uniqueId val="{0000001A-1578-43B3-A8A4-1C8F41A6DD0C}"/>
            </c:ext>
          </c:extLst>
        </c:ser>
        <c:ser>
          <c:idx val="27"/>
          <c:order val="27"/>
          <c:tx>
            <c:strRef>
              <c:f>Historie!$A$29</c:f>
              <c:strCache>
                <c:ptCount val="1"/>
                <c:pt idx="0">
                  <c:v>Mitspieler 27</c:v>
                </c:pt>
              </c:strCache>
            </c:strRef>
          </c:tx>
          <c:spPr>
            <a:ln w="12700">
              <a:solidFill>
                <a:srgbClr val="333300"/>
              </a:solidFill>
              <a:prstDash val="solid"/>
            </a:ln>
          </c:spPr>
          <c:marker>
            <c:symbol val="none"/>
          </c:marker>
          <c:cat>
            <c:numRef>
              <c:f>Historie!$B$1:$W$1</c:f>
              <c:numCache>
                <c:formatCode>m/d/yyyy</c:formatCode>
                <c:ptCount val="22"/>
                <c:pt idx="0">
                  <c:v>46182</c:v>
                </c:pt>
                <c:pt idx="1">
                  <c:v>46184</c:v>
                </c:pt>
              </c:numCache>
            </c:numRef>
          </c:cat>
          <c:val>
            <c:numRef>
              <c:f>Historie!$B$29:$W$29</c:f>
              <c:numCache>
                <c:formatCode>General</c:formatCode>
                <c:ptCount val="22"/>
                <c:pt idx="0">
                  <c:v>#N/A</c:v>
                </c:pt>
                <c:pt idx="1">
                  <c:v>#N/A</c:v>
                </c:pt>
              </c:numCache>
            </c:numRef>
          </c:val>
          <c:smooth val="1"/>
          <c:extLst>
            <c:ext xmlns:c16="http://schemas.microsoft.com/office/drawing/2014/chart" uri="{C3380CC4-5D6E-409C-BE32-E72D297353CC}">
              <c16:uniqueId val="{0000001B-1578-43B3-A8A4-1C8F41A6DD0C}"/>
            </c:ext>
          </c:extLst>
        </c:ser>
        <c:ser>
          <c:idx val="28"/>
          <c:order val="28"/>
          <c:tx>
            <c:strRef>
              <c:f>Historie!$A$30</c:f>
              <c:strCache>
                <c:ptCount val="1"/>
                <c:pt idx="0">
                  <c:v>Mitspieler 28</c:v>
                </c:pt>
              </c:strCache>
            </c:strRef>
          </c:tx>
          <c:spPr>
            <a:ln w="12700">
              <a:solidFill>
                <a:srgbClr val="993300"/>
              </a:solidFill>
              <a:prstDash val="solid"/>
            </a:ln>
          </c:spPr>
          <c:marker>
            <c:symbol val="none"/>
          </c:marker>
          <c:cat>
            <c:numRef>
              <c:f>Historie!$B$1:$W$1</c:f>
              <c:numCache>
                <c:formatCode>m/d/yyyy</c:formatCode>
                <c:ptCount val="22"/>
                <c:pt idx="0">
                  <c:v>46182</c:v>
                </c:pt>
                <c:pt idx="1">
                  <c:v>46184</c:v>
                </c:pt>
              </c:numCache>
            </c:numRef>
          </c:cat>
          <c:val>
            <c:numRef>
              <c:f>Historie!$B$30:$W$30</c:f>
              <c:numCache>
                <c:formatCode>General</c:formatCode>
                <c:ptCount val="22"/>
                <c:pt idx="0">
                  <c:v>#N/A</c:v>
                </c:pt>
                <c:pt idx="1">
                  <c:v>#N/A</c:v>
                </c:pt>
              </c:numCache>
            </c:numRef>
          </c:val>
          <c:smooth val="1"/>
          <c:extLst>
            <c:ext xmlns:c16="http://schemas.microsoft.com/office/drawing/2014/chart" uri="{C3380CC4-5D6E-409C-BE32-E72D297353CC}">
              <c16:uniqueId val="{0000001C-1578-43B3-A8A4-1C8F41A6DD0C}"/>
            </c:ext>
          </c:extLst>
        </c:ser>
        <c:ser>
          <c:idx val="31"/>
          <c:order val="29"/>
          <c:tx>
            <c:v>Mitspieler29</c:v>
          </c:tx>
          <c:marker>
            <c:symbol val="none"/>
          </c:marker>
          <c:val>
            <c:numRef>
              <c:f>Historie!$B$31:$W$31</c:f>
              <c:numCache>
                <c:formatCode>General</c:formatCode>
                <c:ptCount val="22"/>
                <c:pt idx="0">
                  <c:v>#N/A</c:v>
                </c:pt>
                <c:pt idx="1">
                  <c:v>#N/A</c:v>
                </c:pt>
              </c:numCache>
            </c:numRef>
          </c:val>
          <c:smooth val="0"/>
          <c:extLst>
            <c:ext xmlns:c16="http://schemas.microsoft.com/office/drawing/2014/chart" uri="{C3380CC4-5D6E-409C-BE32-E72D297353CC}">
              <c16:uniqueId val="{0000001D-1578-43B3-A8A4-1C8F41A6DD0C}"/>
            </c:ext>
          </c:extLst>
        </c:ser>
        <c:ser>
          <c:idx val="29"/>
          <c:order val="30"/>
          <c:tx>
            <c:strRef>
              <c:f>Historie!$A$32</c:f>
              <c:strCache>
                <c:ptCount val="1"/>
                <c:pt idx="0">
                  <c:v>Fest</c:v>
                </c:pt>
              </c:strCache>
            </c:strRef>
          </c:tx>
          <c:spPr>
            <a:ln w="12700">
              <a:solidFill>
                <a:srgbClr val="993366"/>
              </a:solidFill>
              <a:prstDash val="solid"/>
            </a:ln>
          </c:spPr>
          <c:marker>
            <c:symbol val="none"/>
          </c:marker>
          <c:cat>
            <c:numRef>
              <c:f>Historie!$B$1:$W$1</c:f>
              <c:numCache>
                <c:formatCode>m/d/yyyy</c:formatCode>
                <c:ptCount val="22"/>
                <c:pt idx="0">
                  <c:v>46182</c:v>
                </c:pt>
                <c:pt idx="1">
                  <c:v>46184</c:v>
                </c:pt>
              </c:numCache>
            </c:numRef>
          </c:cat>
          <c:val>
            <c:numRef>
              <c:f>Historie!$B$32:$W$32</c:f>
              <c:numCache>
                <c:formatCode>General</c:formatCode>
                <c:ptCount val="22"/>
                <c:pt idx="0">
                  <c:v>#N/A</c:v>
                </c:pt>
                <c:pt idx="1">
                  <c:v>#N/A</c:v>
                </c:pt>
              </c:numCache>
            </c:numRef>
          </c:val>
          <c:smooth val="1"/>
          <c:extLst>
            <c:ext xmlns:c16="http://schemas.microsoft.com/office/drawing/2014/chart" uri="{C3380CC4-5D6E-409C-BE32-E72D297353CC}">
              <c16:uniqueId val="{0000001E-1578-43B3-A8A4-1C8F41A6DD0C}"/>
            </c:ext>
          </c:extLst>
        </c:ser>
        <c:ser>
          <c:idx val="30"/>
          <c:order val="31"/>
          <c:tx>
            <c:strRef>
              <c:f>Historie!$A$33</c:f>
              <c:strCache>
                <c:ptCount val="1"/>
                <c:pt idx="0">
                  <c:v>Random</c:v>
                </c:pt>
              </c:strCache>
            </c:strRef>
          </c:tx>
          <c:spPr>
            <a:ln w="12700">
              <a:solidFill>
                <a:srgbClr val="333399"/>
              </a:solidFill>
              <a:prstDash val="solid"/>
            </a:ln>
          </c:spPr>
          <c:marker>
            <c:symbol val="none"/>
          </c:marker>
          <c:cat>
            <c:numRef>
              <c:f>Historie!$B$1:$W$1</c:f>
              <c:numCache>
                <c:formatCode>m/d/yyyy</c:formatCode>
                <c:ptCount val="22"/>
                <c:pt idx="0">
                  <c:v>46182</c:v>
                </c:pt>
                <c:pt idx="1">
                  <c:v>46184</c:v>
                </c:pt>
              </c:numCache>
            </c:numRef>
          </c:cat>
          <c:val>
            <c:numRef>
              <c:f>Historie!$B$33:$W$33</c:f>
              <c:numCache>
                <c:formatCode>General</c:formatCode>
                <c:ptCount val="22"/>
                <c:pt idx="0">
                  <c:v>#N/A</c:v>
                </c:pt>
                <c:pt idx="1">
                  <c:v>#N/A</c:v>
                </c:pt>
              </c:numCache>
            </c:numRef>
          </c:val>
          <c:smooth val="1"/>
          <c:extLst>
            <c:ext xmlns:c16="http://schemas.microsoft.com/office/drawing/2014/chart" uri="{C3380CC4-5D6E-409C-BE32-E72D297353CC}">
              <c16:uniqueId val="{0000001F-1578-43B3-A8A4-1C8F41A6DD0C}"/>
            </c:ext>
          </c:extLst>
        </c:ser>
        <c:dLbls>
          <c:showLegendKey val="0"/>
          <c:showVal val="0"/>
          <c:showCatName val="0"/>
          <c:showSerName val="0"/>
          <c:showPercent val="0"/>
          <c:showBubbleSize val="0"/>
        </c:dLbls>
        <c:smooth val="0"/>
        <c:axId val="467247984"/>
        <c:axId val="1"/>
      </c:lineChart>
      <c:catAx>
        <c:axId val="467247984"/>
        <c:scaling>
          <c:orientation val="minMax"/>
        </c:scaling>
        <c:delete val="0"/>
        <c:axPos val="t"/>
        <c:numFmt formatCode="m/d/yyyy"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
        <c:crosses val="autoZero"/>
        <c:auto val="0"/>
        <c:lblAlgn val="ctr"/>
        <c:lblOffset val="100"/>
        <c:tickLblSkip val="1"/>
        <c:tickMarkSkip val="1"/>
        <c:noMultiLvlLbl val="0"/>
      </c:catAx>
      <c:valAx>
        <c:axId val="1"/>
        <c:scaling>
          <c:orientation val="maxMin"/>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467247984"/>
        <c:crosses val="autoZero"/>
        <c:crossBetween val="midCat"/>
      </c:valAx>
      <c:spPr>
        <a:solidFill>
          <a:srgbClr val="C0C0C0"/>
        </a:solidFill>
        <a:ln w="38100">
          <a:solidFill>
            <a:srgbClr val="808080"/>
          </a:solidFill>
          <a:prstDash val="solid"/>
        </a:ln>
      </c:spPr>
    </c:plotArea>
    <c:legend>
      <c:legendPos val="r"/>
      <c:layout>
        <c:manualLayout>
          <c:xMode val="edge"/>
          <c:yMode val="edge"/>
          <c:x val="0.90802270070223523"/>
          <c:y val="6.7669369299134641E-2"/>
          <c:w val="8.9211715792163138E-2"/>
          <c:h val="0.8972442244224423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9" l="0.78740157499999996" r="0.78740157499999996" t="0.984251969"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419100</xdr:colOff>
      <xdr:row>2</xdr:row>
      <xdr:rowOff>66675</xdr:rowOff>
    </xdr:from>
    <xdr:to>
      <xdr:col>21</xdr:col>
      <xdr:colOff>561975</xdr:colOff>
      <xdr:row>49</xdr:row>
      <xdr:rowOff>152400</xdr:rowOff>
    </xdr:to>
    <xdr:graphicFrame macro="">
      <xdr:nvGraphicFramePr>
        <xdr:cNvPr id="1151" name="Diagramm 1">
          <a:extLst>
            <a:ext uri="{FF2B5EF4-FFF2-40B4-BE49-F238E27FC236}">
              <a16:creationId xmlns:a16="http://schemas.microsoft.com/office/drawing/2014/main" id="{9EBB7E97-F97C-40B1-A41A-76B7EDAD6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CZ103"/>
  <sheetViews>
    <sheetView tabSelected="1" topLeftCell="A66" workbookViewId="0">
      <selection activeCell="H98" sqref="H98"/>
    </sheetView>
  </sheetViews>
  <sheetFormatPr baseColWidth="10" defaultRowHeight="12.75"/>
  <cols>
    <col min="1" max="1" width="4.28515625" style="2" customWidth="1"/>
    <col min="2" max="2" width="15.28515625" style="2" customWidth="1"/>
    <col min="3" max="4" width="14.28515625" style="2" customWidth="1"/>
    <col min="5" max="5" width="2" style="2" customWidth="1"/>
    <col min="6" max="6" width="14.28515625" style="2" customWidth="1"/>
    <col min="7" max="7" width="1.5703125" style="2" customWidth="1"/>
    <col min="8" max="8" width="3.5703125" style="12" customWidth="1"/>
    <col min="9" max="9" width="1.5703125" style="12" customWidth="1"/>
    <col min="10" max="10" width="3.5703125" style="12" customWidth="1"/>
    <col min="11" max="11" width="3" style="7" customWidth="1"/>
    <col min="12" max="12" width="2" style="2" customWidth="1"/>
    <col min="13" max="13" width="14.28515625" style="9" customWidth="1"/>
    <col min="14" max="17" width="4.28515625" style="2" customWidth="1"/>
    <col min="18" max="18" width="3.85546875" style="2" customWidth="1"/>
    <col min="19" max="22" width="2" style="55" hidden="1" customWidth="1"/>
    <col min="23" max="23" width="1.7109375" style="55" hidden="1" customWidth="1"/>
    <col min="24" max="24" width="3" style="55" hidden="1" customWidth="1"/>
    <col min="25" max="25" width="14.28515625" style="55" hidden="1" customWidth="1"/>
    <col min="26" max="26" width="2.28515625" style="55" hidden="1" customWidth="1"/>
    <col min="27" max="27" width="3.28515625" style="55" hidden="1" customWidth="1"/>
    <col min="28" max="28" width="3" style="55" hidden="1" customWidth="1"/>
    <col min="29" max="29" width="4.42578125" style="55" hidden="1" customWidth="1"/>
    <col min="30" max="30" width="19.28515625" style="55" hidden="1" customWidth="1"/>
    <col min="31" max="31" width="3.140625" style="55" hidden="1" customWidth="1"/>
    <col min="32" max="32" width="3.5703125" style="55" hidden="1" customWidth="1"/>
    <col min="33" max="36" width="2.85546875" style="55" hidden="1" customWidth="1"/>
    <col min="37" max="37" width="3.140625" style="55" hidden="1" customWidth="1"/>
    <col min="38" max="38" width="6.42578125" style="55" hidden="1" customWidth="1"/>
    <col min="39" max="42" width="2.85546875" style="55" hidden="1" customWidth="1"/>
    <col min="43" max="43" width="7.7109375" style="55" hidden="1" customWidth="1"/>
    <col min="44" max="47" width="3" style="55" hidden="1" customWidth="1"/>
    <col min="48" max="48" width="3.140625" style="55" hidden="1" customWidth="1"/>
    <col min="49" max="52" width="11.42578125" style="55" hidden="1" customWidth="1"/>
    <col min="53" max="53" width="5" style="2" customWidth="1"/>
    <col min="54" max="54" width="15.28515625" style="2" customWidth="1"/>
    <col min="55" max="56" width="14.28515625" style="2" customWidth="1"/>
    <col min="57" max="57" width="2" style="2" customWidth="1"/>
    <col min="58" max="58" width="14.28515625" style="2" customWidth="1"/>
    <col min="59" max="59" width="1.5703125" style="2" customWidth="1"/>
    <col min="60" max="60" width="3.5703125" style="12" customWidth="1"/>
    <col min="61" max="61" width="1.5703125" style="12" customWidth="1"/>
    <col min="62" max="62" width="3.5703125" style="12" customWidth="1"/>
    <col min="63" max="63" width="3" style="7" customWidth="1"/>
    <col min="64" max="64" width="2" style="2" customWidth="1"/>
    <col min="65" max="65" width="14.28515625" style="9" customWidth="1"/>
    <col min="66" max="69" width="4.28515625" style="2" customWidth="1"/>
    <col min="70" max="70" width="3.85546875" style="2" customWidth="1"/>
    <col min="71" max="74" width="2" style="2" hidden="1" customWidth="1"/>
    <col min="75" max="75" width="1.7109375" style="2" hidden="1" customWidth="1"/>
    <col min="76" max="76" width="3" style="2" hidden="1" customWidth="1"/>
    <col min="77" max="77" width="14.28515625" style="55" hidden="1" customWidth="1"/>
    <col min="78" max="78" width="2.28515625" style="2" hidden="1" customWidth="1"/>
    <col min="79" max="79" width="3.28515625" style="2" hidden="1" customWidth="1"/>
    <col min="80" max="80" width="3" style="2" hidden="1" customWidth="1"/>
    <col min="81" max="81" width="4.42578125" style="2" hidden="1" customWidth="1"/>
    <col min="82" max="82" width="19.28515625" style="2" hidden="1" customWidth="1"/>
    <col min="83" max="100" width="5" style="2" hidden="1" customWidth="1"/>
    <col min="101" max="104" width="11.42578125" style="2" hidden="1" customWidth="1"/>
    <col min="105" max="16384" width="11.42578125" style="2"/>
  </cols>
  <sheetData>
    <row r="1" spans="1:100" s="10" customFormat="1" ht="14.25" thickTop="1" thickBot="1">
      <c r="A1" s="10" t="s">
        <v>72</v>
      </c>
      <c r="B1" s="28" t="s">
        <v>0</v>
      </c>
      <c r="C1" s="26" t="s">
        <v>1</v>
      </c>
      <c r="D1" s="17" t="s">
        <v>2</v>
      </c>
      <c r="E1" s="14"/>
      <c r="F1" s="17"/>
      <c r="G1" s="172"/>
      <c r="H1" s="173"/>
      <c r="I1" s="19"/>
      <c r="J1" s="20"/>
      <c r="K1" s="180"/>
      <c r="L1" s="17"/>
      <c r="M1" s="35" t="s">
        <v>3</v>
      </c>
      <c r="N1" s="17" t="s">
        <v>4</v>
      </c>
      <c r="O1" s="17" t="s">
        <v>5</v>
      </c>
      <c r="P1" s="17" t="s">
        <v>6</v>
      </c>
      <c r="Q1" s="17" t="s">
        <v>7</v>
      </c>
      <c r="R1" s="17"/>
      <c r="S1" s="55"/>
      <c r="T1" s="55"/>
      <c r="U1" s="55"/>
      <c r="V1" s="55"/>
      <c r="W1" s="53"/>
      <c r="X1" s="53" t="s">
        <v>8</v>
      </c>
      <c r="Y1" s="56" t="s">
        <v>9</v>
      </c>
      <c r="Z1" s="53" t="s">
        <v>4</v>
      </c>
      <c r="AA1" s="53" t="s">
        <v>5</v>
      </c>
      <c r="AB1" s="53" t="s">
        <v>6</v>
      </c>
      <c r="AC1" s="53" t="s">
        <v>7</v>
      </c>
      <c r="AD1" s="53"/>
      <c r="AE1" s="19" t="s">
        <v>10</v>
      </c>
      <c r="AF1" s="40" t="s">
        <v>11</v>
      </c>
      <c r="AG1" s="40"/>
      <c r="AH1" s="40"/>
      <c r="AI1" s="40"/>
      <c r="AJ1" s="40" t="s">
        <v>12</v>
      </c>
      <c r="AK1" s="56" t="s">
        <v>13</v>
      </c>
      <c r="AL1" s="40" t="s">
        <v>14</v>
      </c>
      <c r="AM1" s="40"/>
      <c r="AN1" s="40"/>
      <c r="AO1" s="40"/>
      <c r="AP1" s="40" t="s">
        <v>15</v>
      </c>
      <c r="AQ1" s="40" t="s">
        <v>16</v>
      </c>
      <c r="AR1" s="40"/>
      <c r="AS1" s="40"/>
      <c r="AT1" s="40"/>
      <c r="AU1" s="58" t="s">
        <v>17</v>
      </c>
      <c r="AV1" s="56" t="s">
        <v>18</v>
      </c>
      <c r="BA1" s="10" t="s">
        <v>72</v>
      </c>
      <c r="BB1" s="76" t="s">
        <v>0</v>
      </c>
      <c r="BC1" s="177" t="s">
        <v>40</v>
      </c>
      <c r="BD1" s="53" t="s">
        <v>2</v>
      </c>
      <c r="BE1" s="54"/>
      <c r="BF1" s="53"/>
      <c r="BG1" s="53"/>
      <c r="BH1" s="20"/>
      <c r="BI1" s="19"/>
      <c r="BJ1" s="20"/>
      <c r="BK1" s="180"/>
      <c r="BL1" s="17"/>
      <c r="BM1" s="35" t="s">
        <v>3</v>
      </c>
      <c r="BN1" s="17" t="s">
        <v>4</v>
      </c>
      <c r="BO1" s="17" t="s">
        <v>5</v>
      </c>
      <c r="BP1" s="17" t="s">
        <v>6</v>
      </c>
      <c r="BQ1" s="17" t="s">
        <v>7</v>
      </c>
      <c r="BR1" s="17"/>
      <c r="BS1" s="2"/>
      <c r="BT1" s="2"/>
      <c r="BU1" s="2"/>
      <c r="BV1" s="2"/>
      <c r="BW1" s="17"/>
      <c r="BX1" s="17" t="s">
        <v>8</v>
      </c>
      <c r="BY1" s="56" t="s">
        <v>9</v>
      </c>
      <c r="BZ1" s="17" t="s">
        <v>4</v>
      </c>
      <c r="CA1" s="17" t="s">
        <v>5</v>
      </c>
      <c r="CB1" s="17" t="s">
        <v>6</v>
      </c>
      <c r="CC1" s="17" t="s">
        <v>7</v>
      </c>
      <c r="CD1" s="17"/>
      <c r="CE1" s="180" t="s">
        <v>10</v>
      </c>
      <c r="CF1" s="15" t="s">
        <v>11</v>
      </c>
      <c r="CG1" s="15"/>
      <c r="CH1" s="15"/>
      <c r="CI1" s="15"/>
      <c r="CJ1" s="15" t="s">
        <v>12</v>
      </c>
      <c r="CK1" s="21" t="s">
        <v>13</v>
      </c>
      <c r="CL1" s="15" t="s">
        <v>14</v>
      </c>
      <c r="CM1" s="15"/>
      <c r="CN1" s="15"/>
      <c r="CO1" s="15"/>
      <c r="CP1" s="15" t="s">
        <v>15</v>
      </c>
      <c r="CQ1" s="15" t="s">
        <v>16</v>
      </c>
      <c r="CR1" s="15"/>
      <c r="CS1" s="15"/>
      <c r="CT1" s="15"/>
      <c r="CU1" s="16" t="s">
        <v>17</v>
      </c>
      <c r="CV1" s="21" t="s">
        <v>18</v>
      </c>
    </row>
    <row r="2" spans="1:100" ht="13.5" thickTop="1">
      <c r="B2" s="3" t="s">
        <v>22</v>
      </c>
      <c r="C2" s="3" t="s">
        <v>23</v>
      </c>
      <c r="L2" s="1"/>
      <c r="M2" s="9" t="str">
        <f ca="1">VLOOKUP(1,$X$2:$AC$5,2,FALSE)</f>
        <v>Südafrika</v>
      </c>
      <c r="N2" s="2">
        <f ca="1">VLOOKUP(1,$X$2:$AC$5,3,FALSE)</f>
        <v>6</v>
      </c>
      <c r="O2" s="2">
        <f ca="1">VLOOKUP(1,$X$2:$AC$5,4,FALSE)</f>
        <v>10</v>
      </c>
      <c r="P2" s="2">
        <f ca="1">VLOOKUP(1,$X$2:$AC$5,5,FALSE)</f>
        <v>7</v>
      </c>
      <c r="Q2" s="2">
        <f ca="1">VLOOKUP(1,$X$2:$AC$5,6,FALSE)</f>
        <v>3</v>
      </c>
      <c r="S2" s="60"/>
      <c r="T2" s="61">
        <f ca="1">IF(H3="",0,IF(K3=$B$98,IF(H3&gt;J3,3,IF(H3=J3,1,0)),0))</f>
        <v>3</v>
      </c>
      <c r="U2" s="61">
        <f ca="1">IF(H5="",0,IF(K5=$B$98,IF(H5&gt;J5,3,IF(H5=J5,1,0)),0))</f>
        <v>0</v>
      </c>
      <c r="V2" s="61">
        <f ca="1">IF(J7="",0,IF(K8=$B$98,IF(H7&lt;J7,3,IF(H7=J7,1,0)),0))</f>
        <v>0</v>
      </c>
      <c r="W2" s="62"/>
      <c r="X2" s="62">
        <f ca="1">RANK(AD2,$AD$2:$AD$5)</f>
        <v>4</v>
      </c>
      <c r="Y2" s="216" t="s">
        <v>201</v>
      </c>
      <c r="Z2" s="62">
        <f ca="1">SUM(S2:V2)</f>
        <v>3</v>
      </c>
      <c r="AA2" s="62">
        <f ca="1">SUM(S6:V6)</f>
        <v>6</v>
      </c>
      <c r="AB2" s="62">
        <f ca="1">SUM(S6:S9)</f>
        <v>16</v>
      </c>
      <c r="AC2" s="62">
        <f ca="1">AA2-AB2</f>
        <v>-10</v>
      </c>
      <c r="AD2" s="24">
        <f ca="1">IF(P$8="",(((((((AE2*10+Z2)*100+AC2)*100+AA2)*10+AK2)*10+AJ2)*100+AP2)*100+AU2)*10+AV2,(((((((AE2*10+Z2)*10+AK2)*10+AJ2)*100+AP2)*100+AU2)*100+AC2)*100+AA2)*10+AV2)</f>
        <v>296939990064</v>
      </c>
      <c r="AE2" s="203"/>
      <c r="AF2" s="279"/>
      <c r="AG2" s="279">
        <f ca="1">IF($Z2=$Z3,$T2-$S3,0)</f>
        <v>0</v>
      </c>
      <c r="AH2" s="279">
        <f ca="1">IF($Z2=$Z4,$U2-$S4,0)</f>
        <v>-3</v>
      </c>
      <c r="AI2" s="279">
        <f ca="1">IF($Z2=$Z5,$V2-$S5,0)</f>
        <v>0</v>
      </c>
      <c r="AJ2" s="279">
        <f ca="1">SUM(AF2:AI2)</f>
        <v>-3</v>
      </c>
      <c r="AK2" s="203"/>
      <c r="AL2" s="279"/>
      <c r="AM2" s="279">
        <f ca="1">IF($Z2=$Z3,$T6-$S7,0)</f>
        <v>0</v>
      </c>
      <c r="AN2" s="279">
        <f ca="1">IF($Z2=$Z4,$U6-$S8,0)</f>
        <v>-6</v>
      </c>
      <c r="AO2" s="279">
        <f ca="1">IF($Z2=$Z5,$V6-$S9,0)</f>
        <v>0</v>
      </c>
      <c r="AP2" s="279">
        <f ca="1">SUM(AL2:AO2)</f>
        <v>-6</v>
      </c>
      <c r="AQ2" s="279"/>
      <c r="AR2" s="279">
        <f ca="1">IF($Z2=$Z3,$T6,0)</f>
        <v>0</v>
      </c>
      <c r="AS2" s="279">
        <f ca="1">IF($Z2=$Z4,$U6,0)</f>
        <v>0</v>
      </c>
      <c r="AT2" s="279">
        <f ca="1">IF($Z2=$Z5,$V6,0)</f>
        <v>0</v>
      </c>
      <c r="AU2" s="279">
        <f ca="1">SUM(AQ2:AT2)</f>
        <v>0</v>
      </c>
      <c r="AV2" s="203">
        <v>4</v>
      </c>
      <c r="AW2" s="2"/>
      <c r="AX2" s="2"/>
      <c r="AY2" s="2"/>
      <c r="AZ2" s="2"/>
      <c r="BB2" s="3" t="s">
        <v>22</v>
      </c>
      <c r="BC2" s="3" t="s">
        <v>23</v>
      </c>
      <c r="BD2" s="55"/>
      <c r="BE2" s="55"/>
      <c r="BF2" s="55"/>
      <c r="BG2" s="55"/>
      <c r="BL2" s="1"/>
      <c r="BM2" s="9" t="str">
        <f ca="1">VLOOKUP(1,$BX$2:$CC$5,2,FALSE)</f>
        <v>Türkei</v>
      </c>
      <c r="BN2" s="2">
        <f ca="1">VLOOKUP(1,$BX$2:$CC$5,3,FALSE)</f>
        <v>6</v>
      </c>
      <c r="BO2" s="2">
        <f ca="1">VLOOKUP(1,$BX$2:$CC$5,4,FALSE)</f>
        <v>8</v>
      </c>
      <c r="BP2" s="2">
        <f ca="1">VLOOKUP(1,$BX$2:$CC$5,5,FALSE)</f>
        <v>8</v>
      </c>
      <c r="BQ2" s="2">
        <f ca="1">VLOOKUP(1,$BX$2:$CC$5,6,FALSE)</f>
        <v>0</v>
      </c>
      <c r="BS2" s="60"/>
      <c r="BT2" s="61">
        <f ca="1">IF(BH3="",0,IF(BK3=$B$98,IF(BH3&gt;BJ3,3,IF(BH3=BJ3,1,0)),0))</f>
        <v>1</v>
      </c>
      <c r="BU2" s="61">
        <f ca="1">IF(BH5="",0,IF(BK5=$B$98,IF(BH5&gt;BJ5,3,IF(BH5=BJ5,1,0)),0))</f>
        <v>1</v>
      </c>
      <c r="BV2" s="61">
        <f ca="1">IF(BJ7="",0,IF(BK8=$B$98,IF(BH7&lt;BJ7,3,IF(BH7=BJ7,1,0)),0))</f>
        <v>0</v>
      </c>
      <c r="BW2" s="1"/>
      <c r="BX2" s="1">
        <f ca="1">RANK(CD2,$CD$2:$CD$5)</f>
        <v>3</v>
      </c>
      <c r="BY2" s="40" t="s">
        <v>202</v>
      </c>
      <c r="BZ2" s="1">
        <f ca="1">SUM(BS2:BV2)</f>
        <v>2</v>
      </c>
      <c r="CA2" s="1">
        <f ca="1">SUM(BS6:BV6)</f>
        <v>3</v>
      </c>
      <c r="CB2" s="1">
        <f ca="1">SUM(BS6:BS9)</f>
        <v>4</v>
      </c>
      <c r="CC2" s="1">
        <f ca="1">CA2-CB2</f>
        <v>-1</v>
      </c>
      <c r="CD2" s="24">
        <f ca="1">IF(BP$8="",(((((((CE2*10+BZ2)*100+CC2)*100+CA2)*10+CK2)*10+CJ2)*100+CP2)*100+CU2)*10+CV2,(((((((CE2*10+BZ2)*10+CK2)*10+CJ2)*100+CP2)*100+CU2)*100+CC2)*100+CA2)*10+CV2)</f>
        <v>200000099034</v>
      </c>
      <c r="CE2" s="207"/>
      <c r="CF2" s="280"/>
      <c r="CG2" s="280">
        <f ca="1">IF($BZ2=$BZ3,$BT2-$BS3,0)</f>
        <v>0</v>
      </c>
      <c r="CH2" s="280">
        <f ca="1">IF($BZ2=$BZ4,$BU2-$BS4,0)</f>
        <v>0</v>
      </c>
      <c r="CI2" s="280">
        <f ca="1">IF($BZ2=$BZ5,$BV2-$BS5,0)</f>
        <v>0</v>
      </c>
      <c r="CJ2" s="280">
        <f ca="1">SUM(CF2:CI2)</f>
        <v>0</v>
      </c>
      <c r="CK2" s="207"/>
      <c r="CL2" s="280"/>
      <c r="CM2" s="280">
        <f ca="1">IF($BZ2=$BZ3,$BT6-$BS7,0)</f>
        <v>0</v>
      </c>
      <c r="CN2" s="280">
        <f ca="1">IF($BZ2=$BZ4,$BU6-$BS8,0)</f>
        <v>0</v>
      </c>
      <c r="CO2" s="280">
        <f ca="1">IF($BZ2=$BZ5,$BV6-$BS9,0)</f>
        <v>0</v>
      </c>
      <c r="CP2" s="280">
        <f ca="1">SUM(CL2:CO2)</f>
        <v>0</v>
      </c>
      <c r="CQ2" s="280"/>
      <c r="CR2" s="280">
        <f ca="1">IF($BZ2=$BZ3,$BT6,0)</f>
        <v>1</v>
      </c>
      <c r="CS2" s="280">
        <f ca="1">IF($BZ2=$BZ4,$BU6,0)</f>
        <v>0</v>
      </c>
      <c r="CT2" s="280">
        <f ca="1">IF($BZ2=$BZ5,$BV6,0)</f>
        <v>0</v>
      </c>
      <c r="CU2" s="280">
        <f ca="1">SUM(CQ2:CT2)</f>
        <v>1</v>
      </c>
      <c r="CV2" s="207">
        <v>4</v>
      </c>
    </row>
    <row r="3" spans="1:100">
      <c r="A3" s="2">
        <v>1</v>
      </c>
      <c r="B3" s="6">
        <f>VLOOKUP(A3,Spiele!$A$1:$L$116,2,FALSE)</f>
        <v>46184.583333333336</v>
      </c>
      <c r="C3" s="6" t="str">
        <f>VLOOKUP(A3,Spiele!$A$1:$L$116,9,FALSE)</f>
        <v>Mexico City</v>
      </c>
      <c r="D3" s="56" t="str">
        <f>Y2</f>
        <v>Mexiko</v>
      </c>
      <c r="E3" s="40" t="s">
        <v>24</v>
      </c>
      <c r="F3" s="56" t="str">
        <f>Y3</f>
        <v>Südafrika</v>
      </c>
      <c r="G3" s="53"/>
      <c r="H3" s="107">
        <f ca="1">IF($B$102&lt;&gt;"","",IF($B$101&lt;&gt;"",IF(Ergebnisse!H3="","",Ergebnisse!H3),IF($B$99="",2,INT(RAND()*5)+INT(RAND()*3)*INT(RAND()*2))))</f>
        <v>5</v>
      </c>
      <c r="I3" s="11" t="s">
        <v>25</v>
      </c>
      <c r="J3" s="107">
        <f ca="1">IF($B$102&lt;&gt;"","",IF($B$101&lt;&gt;"",IF(Ergebnisse!J3="","",Ergebnisse!J3),IF($B$99="",2,INT(RAND()*5)+INT(RAND()*3)*INT(RAND()*2))))</f>
        <v>4</v>
      </c>
      <c r="K3" s="7" t="str">
        <f ca="1">IF(OR(H3="",J3=""),"","ok")</f>
        <v>ok</v>
      </c>
      <c r="L3" s="1"/>
      <c r="M3" s="9" t="str">
        <f ca="1">VLOOKUP(2,$X$2:$AC$5,2,FALSE)</f>
        <v>Tschechien</v>
      </c>
      <c r="N3" s="2">
        <f ca="1">VLOOKUP(2,$X$2:$AC$5,3,FALSE)</f>
        <v>6</v>
      </c>
      <c r="O3" s="2">
        <f ca="1">VLOOKUP(2,$X$2:$AC$5,4,FALSE)</f>
        <v>12</v>
      </c>
      <c r="P3" s="2">
        <f ca="1">VLOOKUP(2,$X$2:$AC$5,5,FALSE)</f>
        <v>7</v>
      </c>
      <c r="Q3" s="2">
        <f ca="1">VLOOKUP(2,$X$2:$AC$5,6,FALSE)</f>
        <v>5</v>
      </c>
      <c r="S3" s="61">
        <f ca="1">IF(J3="",0,IF(K3=$B$98,IF(H3&lt;J3,3,IF(H3=J3,1,0)),0))</f>
        <v>0</v>
      </c>
      <c r="T3" s="60"/>
      <c r="U3" s="61">
        <f ca="1">IF(H8="",0,IF(K7=$B$98,IF(H8&gt;J8,3,IF(H8=J8,1,0)),0))</f>
        <v>3</v>
      </c>
      <c r="V3" s="61">
        <f ca="1">IF(J6="",0,IF(K6=$B$98,IF(J6&gt;H6,3,IF(J6=H6,1,0)),0))</f>
        <v>3</v>
      </c>
      <c r="W3" s="62"/>
      <c r="X3" s="62">
        <f ca="1">RANK(AD3,$AD$2:$AD$5)</f>
        <v>1</v>
      </c>
      <c r="Y3" s="216" t="s">
        <v>203</v>
      </c>
      <c r="Z3" s="62">
        <f ca="1">SUM(S3:V3)</f>
        <v>6</v>
      </c>
      <c r="AA3" s="62">
        <f ca="1">SUM(S7:V7)</f>
        <v>10</v>
      </c>
      <c r="AB3" s="62">
        <f ca="1">SUM(T6:T9)</f>
        <v>7</v>
      </c>
      <c r="AC3" s="62">
        <f ca="1">AA3-AB3</f>
        <v>3</v>
      </c>
      <c r="AD3" s="24">
        <f ca="1">IF(P$8="",(((((((AE3*10+Z3)*100+AC3)*100+AA3)*10+AK3)*10+AJ3)*100+AP3)*100+AU3)*10+AV3,(((((((AE3*10+Z3)*10+AK3)*10+AJ3)*100+AP3)*100+AU3)*100+AC3)*100+AA3)*10+AV3)</f>
        <v>603010303103</v>
      </c>
      <c r="AE3" s="203"/>
      <c r="AF3" s="279">
        <f ca="1">IF($Z3=$Z2,$S3-$T2,0)</f>
        <v>0</v>
      </c>
      <c r="AG3" s="279"/>
      <c r="AH3" s="279">
        <f ca="1">IF($Z3=$Z4,$U3-$T4,0)</f>
        <v>0</v>
      </c>
      <c r="AI3" s="279">
        <f ca="1">IF($Z3=$Z5,$V3-$T5,0)</f>
        <v>3</v>
      </c>
      <c r="AJ3" s="279">
        <f ca="1">SUM(AF3:AI3)</f>
        <v>3</v>
      </c>
      <c r="AK3" s="203"/>
      <c r="AL3" s="279">
        <f ca="1">IF($Z3=$Z2,$S7-$T6,0)</f>
        <v>0</v>
      </c>
      <c r="AM3" s="279"/>
      <c r="AN3" s="279">
        <f ca="1">IF($Z3=$Z4,$U7-$T8,0)</f>
        <v>0</v>
      </c>
      <c r="AO3" s="279">
        <f ca="1">IF($Z3=$Z5,$V7-$T9,0)</f>
        <v>1</v>
      </c>
      <c r="AP3" s="279">
        <f ca="1">SUM(AL3:AO3)</f>
        <v>1</v>
      </c>
      <c r="AQ3" s="279">
        <f ca="1">IF($Z3=$Z2,$S7,0)</f>
        <v>0</v>
      </c>
      <c r="AR3" s="279"/>
      <c r="AS3" s="279">
        <f ca="1">IF($Z3=$Z4,$U7,0)</f>
        <v>0</v>
      </c>
      <c r="AT3" s="279">
        <f ca="1">IF($Z3=$Z5,$V7,0)</f>
        <v>3</v>
      </c>
      <c r="AU3" s="279">
        <f ca="1">SUM(AQ3:AT3)</f>
        <v>3</v>
      </c>
      <c r="AV3" s="203">
        <v>3</v>
      </c>
      <c r="AW3" s="2"/>
      <c r="AX3" s="2"/>
      <c r="AY3" s="2"/>
      <c r="AZ3" s="2"/>
      <c r="BA3" s="2">
        <v>4</v>
      </c>
      <c r="BB3" s="6">
        <f>VLOOKUP(BA3,Spiele!$A$1:$L$116,2,FALSE)</f>
        <v>46185.75</v>
      </c>
      <c r="BC3" s="6" t="str">
        <f>VLOOKUP(BA3,Spiele!$A$1:$L$116,9,FALSE)</f>
        <v>Los Angeles</v>
      </c>
      <c r="BD3" s="56" t="str">
        <f>BY2</f>
        <v>USA</v>
      </c>
      <c r="BE3" s="40" t="s">
        <v>24</v>
      </c>
      <c r="BF3" s="56" t="str">
        <f>BY3</f>
        <v>Paraguay</v>
      </c>
      <c r="BG3" s="53"/>
      <c r="BH3" s="107">
        <f ca="1">IF($B$102&lt;&gt;"","",IF($B$101&lt;&gt;"",IF(Ergebnisse!BH3="","",Ergebnisse!BH3),IF($B$99="",2,INT(RAND()*5)+INT(RAND()*3)*INT(RAND()*2))))</f>
        <v>1</v>
      </c>
      <c r="BI3" s="11" t="s">
        <v>25</v>
      </c>
      <c r="BJ3" s="107">
        <f ca="1">IF($B$102&lt;&gt;"","",IF($B$101&lt;&gt;"",IF(Ergebnisse!BJ3="","",Ergebnisse!BJ3),IF($B$99="",2,INT(RAND()*5)+INT(RAND()*3)*INT(RAND()*2))))</f>
        <v>1</v>
      </c>
      <c r="BK3" s="7" t="str">
        <f ca="1">IF(OR(BH3="",BJ3=""),"","ok")</f>
        <v>ok</v>
      </c>
      <c r="BL3" s="1"/>
      <c r="BM3" s="9" t="str">
        <f ca="1">VLOOKUP(2,$BX$2:$CC$5,2,FALSE)</f>
        <v>Australien</v>
      </c>
      <c r="BN3" s="2">
        <f ca="1">VLOOKUP(2,$BX$2:$CC$5,3,FALSE)</f>
        <v>5</v>
      </c>
      <c r="BO3" s="2">
        <f ca="1">VLOOKUP(2,$BX$2:$CC$5,4,FALSE)</f>
        <v>7</v>
      </c>
      <c r="BP3" s="2">
        <f ca="1">VLOOKUP(2,$BX$2:$CC$5,5,FALSE)</f>
        <v>3</v>
      </c>
      <c r="BQ3" s="2">
        <f ca="1">VLOOKUP(2,$BX$2:$CC$5,6,FALSE)</f>
        <v>4</v>
      </c>
      <c r="BS3" s="61">
        <f ca="1">IF(BJ3="",0,IF(BK3=$B$98,IF(BH3&lt;BJ3,3,IF(BH3=BJ3,1,0)),0))</f>
        <v>1</v>
      </c>
      <c r="BT3" s="60"/>
      <c r="BU3" s="61">
        <f ca="1">IF(BH8="",0,IF(BK7=$B$98,IF(BH8&gt;BJ8,3,IF(BH8=BJ8,1,0)),0))</f>
        <v>1</v>
      </c>
      <c r="BV3" s="61">
        <f ca="1">IF(BJ6="",0,IF(BK6=$B$98,IF(BJ6&gt;BH6,3,IF(BJ6=BH6,1,0)),0))</f>
        <v>0</v>
      </c>
      <c r="BW3" s="1"/>
      <c r="BX3" s="1">
        <f ca="1">RANK(CD3,$CD$2:$CD$5)</f>
        <v>4</v>
      </c>
      <c r="BY3" s="40" t="s">
        <v>204</v>
      </c>
      <c r="BZ3" s="1">
        <f ca="1">SUM(BS3:BV3)</f>
        <v>2</v>
      </c>
      <c r="CA3" s="1">
        <f ca="1">SUM(BS7:BV7)</f>
        <v>2</v>
      </c>
      <c r="CB3" s="1">
        <f ca="1">SUM(BT6:BT9)</f>
        <v>5</v>
      </c>
      <c r="CC3" s="1">
        <f ca="1">CA3-CB3</f>
        <v>-3</v>
      </c>
      <c r="CD3" s="24">
        <f ca="1">IF(BP$8="",(((((((CE3*10+BZ3)*100+CC3)*100+CA3)*10+CK3)*10+CJ3)*100+CP3)*100+CU3)*10+CV3,(((((((CE3*10+BZ3)*10+CK3)*10+CJ3)*100+CP3)*100+CU3)*100+CC3)*100+CA3)*10+CV3)</f>
        <v>200000097023</v>
      </c>
      <c r="CE3" s="207"/>
      <c r="CF3" s="280">
        <f ca="1">IF($BZ3=$BZ2,$BS3-$BT2,0)</f>
        <v>0</v>
      </c>
      <c r="CG3" s="280"/>
      <c r="CH3" s="280">
        <f ca="1">IF($BZ3=$BZ4,$BU3-$BT4,0)</f>
        <v>0</v>
      </c>
      <c r="CI3" s="280">
        <f ca="1">IF($BZ3=$BZ5,$BV3-$BT5,0)</f>
        <v>0</v>
      </c>
      <c r="CJ3" s="280">
        <f ca="1">SUM(CF3:CI3)</f>
        <v>0</v>
      </c>
      <c r="CK3" s="207"/>
      <c r="CL3" s="280">
        <f ca="1">IF($BZ3=$BZ2,$BS7-$BT6,0)</f>
        <v>0</v>
      </c>
      <c r="CM3" s="280"/>
      <c r="CN3" s="280">
        <f ca="1">IF($BZ3=$BZ4,$BU7-$BT8,0)</f>
        <v>0</v>
      </c>
      <c r="CO3" s="280">
        <f ca="1">IF($BZ3=$BZ5,$BV7-$BT9,0)</f>
        <v>0</v>
      </c>
      <c r="CP3" s="280">
        <f ca="1">SUM(CL3:CO3)</f>
        <v>0</v>
      </c>
      <c r="CQ3" s="280">
        <f ca="1">IF($BZ3=$BZ2,$BS7,0)</f>
        <v>1</v>
      </c>
      <c r="CR3" s="280"/>
      <c r="CS3" s="280">
        <f ca="1">IF($BZ3=$BZ4,$BU7,0)</f>
        <v>0</v>
      </c>
      <c r="CT3" s="280">
        <f ca="1">IF($BZ3=$BZ5,$BV7,0)</f>
        <v>0</v>
      </c>
      <c r="CU3" s="280">
        <f ca="1">SUM(CQ3:CT3)</f>
        <v>1</v>
      </c>
      <c r="CV3" s="207">
        <v>3</v>
      </c>
    </row>
    <row r="4" spans="1:100">
      <c r="A4" s="2">
        <v>2</v>
      </c>
      <c r="B4" s="6">
        <f>VLOOKUP(A4,Spiele!$A$1:$L$116,2,FALSE)</f>
        <v>46184.875</v>
      </c>
      <c r="C4" s="6" t="str">
        <f>VLOOKUP(A4,Spiele!$A$1:$L$116,9,FALSE)</f>
        <v>Guadalajara</v>
      </c>
      <c r="D4" s="56" t="str">
        <f>Y4</f>
        <v>Südkorea</v>
      </c>
      <c r="E4" s="40" t="s">
        <v>24</v>
      </c>
      <c r="F4" s="56" t="str">
        <f>Y5</f>
        <v>Tschechien</v>
      </c>
      <c r="G4" s="53"/>
      <c r="H4" s="107">
        <f ca="1">IF($B$102&lt;&gt;"","",IF($B$101&lt;&gt;"",IF(Ergebnisse!H4="","",Ergebnisse!H4),IF($B$99="",2,INT(RAND()*5)+INT(RAND()*3)*INT(RAND()*2))))</f>
        <v>3</v>
      </c>
      <c r="I4" s="11" t="s">
        <v>25</v>
      </c>
      <c r="J4" s="107">
        <f ca="1">IF($B$102&lt;&gt;"","",IF($B$101&lt;&gt;"",IF(Ergebnisse!J4="","",Ergebnisse!J4),IF($B$99="",2,INT(RAND()*5)+INT(RAND()*3)*INT(RAND()*2))))</f>
        <v>4</v>
      </c>
      <c r="K4" s="7" t="str">
        <f t="shared" ref="K4:K8" ca="1" si="0">IF(OR(H4="",J4=""),"","ok")</f>
        <v>ok</v>
      </c>
      <c r="L4" s="1"/>
      <c r="M4" s="9" t="str">
        <f ca="1">VLOOKUP(3,$X$2:$AC$5,2,FALSE)</f>
        <v>Südkorea</v>
      </c>
      <c r="N4" s="2">
        <f ca="1">VLOOKUP(3,$X$2:$AC$5,3,FALSE)</f>
        <v>3</v>
      </c>
      <c r="O4" s="2">
        <f ca="1">VLOOKUP(3,$X$2:$AC$5,4,FALSE)</f>
        <v>9</v>
      </c>
      <c r="P4" s="2">
        <f ca="1">VLOOKUP(3,$X$2:$AC$5,5,FALSE)</f>
        <v>7</v>
      </c>
      <c r="Q4" s="2">
        <f ca="1">VLOOKUP(3,$X$2:$AC$5,6,FALSE)</f>
        <v>2</v>
      </c>
      <c r="S4" s="61">
        <f ca="1">IF(J5="",0,IF(K5=$B$98,IF(H5&lt;J5,3,IF(H5=J5,1,0)),0))</f>
        <v>3</v>
      </c>
      <c r="T4" s="61">
        <f ca="1">IF(J8="",0,IF(K7=$B$98,IF(H8&lt;J8,3,IF(H8=J8,1,0)),0))</f>
        <v>0</v>
      </c>
      <c r="U4" s="60"/>
      <c r="V4" s="61">
        <f ca="1">IF(H4="",0,IF(K4=$B$98,IF(H4&gt;J4,3,IF(H4=J4,1,0)),0))</f>
        <v>0</v>
      </c>
      <c r="W4" s="62"/>
      <c r="X4" s="62">
        <f ca="1">RANK(AD4,$AD$2:$AD$5)</f>
        <v>3</v>
      </c>
      <c r="Y4" s="216" t="s">
        <v>205</v>
      </c>
      <c r="Z4" s="62">
        <f ca="1">SUM(S4:V4)</f>
        <v>3</v>
      </c>
      <c r="AA4" s="62">
        <f ca="1">SUM(S8:V8)</f>
        <v>9</v>
      </c>
      <c r="AB4" s="62">
        <f ca="1">SUM(U6:U9)</f>
        <v>7</v>
      </c>
      <c r="AC4" s="62">
        <f ca="1">AA4-AB4</f>
        <v>2</v>
      </c>
      <c r="AD4" s="24">
        <f ca="1">IF(P$8="",(((((((AE4*10+Z4)*100+AC4)*100+AA4)*10+AK4)*10+AJ4)*100+AP4)*100+AU4)*10+AV4,(((((((AE4*10+Z4)*10+AK4)*10+AJ4)*100+AP4)*100+AU4)*100+AC4)*100+AA4)*10+AV4)</f>
        <v>303060602092</v>
      </c>
      <c r="AE4" s="203"/>
      <c r="AF4" s="279">
        <f ca="1">IF($Z4=$Z2,$S4-$U2,0)</f>
        <v>3</v>
      </c>
      <c r="AG4" s="279">
        <f ca="1">IF($Z4=$Z3,$T4-$U3,0)</f>
        <v>0</v>
      </c>
      <c r="AH4" s="279"/>
      <c r="AI4" s="279">
        <f ca="1">IF($Z4=$Z5,$V4-$U5,0)</f>
        <v>0</v>
      </c>
      <c r="AJ4" s="279">
        <f ca="1">SUM(AF4:AI4)</f>
        <v>3</v>
      </c>
      <c r="AK4" s="203"/>
      <c r="AL4" s="279">
        <f ca="1">IF($Z4=$Z2,$S8-$U6,0)</f>
        <v>6</v>
      </c>
      <c r="AM4" s="279">
        <f ca="1">IF($Z4=$Z3,$T8-$U7,0)</f>
        <v>0</v>
      </c>
      <c r="AN4" s="279"/>
      <c r="AO4" s="279">
        <f ca="1">IF($Z4=$Z5,$V8-$U9,0)</f>
        <v>0</v>
      </c>
      <c r="AP4" s="279">
        <f ca="1">SUM(AL4:AO4)</f>
        <v>6</v>
      </c>
      <c r="AQ4" s="279">
        <f ca="1">IF($Z4=$Z2,$S8,0)</f>
        <v>6</v>
      </c>
      <c r="AR4" s="279">
        <f ca="1">IF($Z4=$Z3,$T8,0)</f>
        <v>0</v>
      </c>
      <c r="AS4" s="279"/>
      <c r="AT4" s="279">
        <f ca="1">IF($Z4=$Z5,$V8,0)</f>
        <v>0</v>
      </c>
      <c r="AU4" s="279">
        <f ca="1">SUM(AQ4:AT4)</f>
        <v>6</v>
      </c>
      <c r="AV4" s="203">
        <v>2</v>
      </c>
      <c r="AW4" s="2"/>
      <c r="AX4" s="2"/>
      <c r="AY4" s="2"/>
      <c r="AZ4" s="2"/>
      <c r="BA4" s="2">
        <v>6</v>
      </c>
      <c r="BB4" s="6">
        <f>VLOOKUP(BA4,Spiele!$A$1:$L$116,2,FALSE)</f>
        <v>46186.875</v>
      </c>
      <c r="BC4" s="6" t="str">
        <f>VLOOKUP(BA4,Spiele!$A$1:$L$116,9,FALSE)</f>
        <v>Vancouver</v>
      </c>
      <c r="BD4" s="56" t="str">
        <f>BY4</f>
        <v>Australien</v>
      </c>
      <c r="BE4" s="40" t="s">
        <v>24</v>
      </c>
      <c r="BF4" s="56" t="str">
        <f>BY5</f>
        <v>Türkei</v>
      </c>
      <c r="BG4" s="53"/>
      <c r="BH4" s="107">
        <f ca="1">IF($B$102&lt;&gt;"","",IF($B$101&lt;&gt;"",IF(Ergebnisse!BH4="","",Ergebnisse!BH4),IF($B$99="",2,INT(RAND()*5)+INT(RAND()*3)*INT(RAND()*2))))</f>
        <v>6</v>
      </c>
      <c r="BI4" s="11" t="s">
        <v>25</v>
      </c>
      <c r="BJ4" s="107">
        <f ca="1">IF($B$102&lt;&gt;"","",IF($B$101&lt;&gt;"",IF(Ergebnisse!BJ4="","",Ergebnisse!BJ4),IF($B$99="",2,INT(RAND()*5)+INT(RAND()*3)*INT(RAND()*2))))</f>
        <v>2</v>
      </c>
      <c r="BK4" s="7" t="str">
        <f t="shared" ref="BK4:BK8" ca="1" si="1">IF(OR(BH4="",BJ4=""),"","ok")</f>
        <v>ok</v>
      </c>
      <c r="BL4" s="1"/>
      <c r="BM4" s="9" t="str">
        <f ca="1">VLOOKUP(3,$BX$2:$CC$5,2,FALSE)</f>
        <v>USA</v>
      </c>
      <c r="BN4" s="2">
        <f ca="1">VLOOKUP(3,$BX$2:$CC$5,3,FALSE)</f>
        <v>2</v>
      </c>
      <c r="BO4" s="2">
        <f ca="1">VLOOKUP(3,$BX$2:$CC$5,4,FALSE)</f>
        <v>3</v>
      </c>
      <c r="BP4" s="2">
        <f ca="1">VLOOKUP(3,$BX$2:$CC$5,5,FALSE)</f>
        <v>4</v>
      </c>
      <c r="BQ4" s="2">
        <f ca="1">VLOOKUP(3,$BX$2:$CC$5,6,FALSE)</f>
        <v>-1</v>
      </c>
      <c r="BS4" s="61">
        <f ca="1">IF(BJ5="",0,IF(BK5=$B$98,IF(BH5&lt;BJ5,3,IF(BH5=BJ5,1,0)),0))</f>
        <v>1</v>
      </c>
      <c r="BT4" s="61">
        <f ca="1">IF(BJ8="",0,IF(BK7=$B$98,IF(BH8&lt;BJ8,3,IF(BH8=BJ8,1,0)),0))</f>
        <v>1</v>
      </c>
      <c r="BU4" s="60"/>
      <c r="BV4" s="61">
        <f ca="1">IF(BH4="",0,IF(BK4=$B$98,IF(BH4&gt;BJ4,3,IF(BH4=BJ4,1,0)),0))</f>
        <v>3</v>
      </c>
      <c r="BW4" s="1"/>
      <c r="BX4" s="1">
        <f ca="1">RANK(CD4,$CD$2:$CD$5)</f>
        <v>2</v>
      </c>
      <c r="BY4" s="40" t="s">
        <v>206</v>
      </c>
      <c r="BZ4" s="1">
        <f ca="1">SUM(BS4:BV4)</f>
        <v>5</v>
      </c>
      <c r="CA4" s="1">
        <f ca="1">SUM(BS8:BV8)</f>
        <v>7</v>
      </c>
      <c r="CB4" s="1">
        <f ca="1">SUM(BU6:BU9)</f>
        <v>3</v>
      </c>
      <c r="CC4" s="1">
        <f ca="1">CA4-CB4</f>
        <v>4</v>
      </c>
      <c r="CD4" s="24">
        <f ca="1">IF(BP$8="",(((((((CE4*10+BZ4)*100+CC4)*100+CA4)*10+CK4)*10+CJ4)*100+CP4)*100+CU4)*10+CV4,(((((((CE4*10+BZ4)*10+CK4)*10+CJ4)*100+CP4)*100+CU4)*100+CC4)*100+CA4)*10+CV4)</f>
        <v>500000004072</v>
      </c>
      <c r="CE4" s="207"/>
      <c r="CF4" s="280">
        <f ca="1">IF($BZ4=$BZ2,$BS4-$BU2,0)</f>
        <v>0</v>
      </c>
      <c r="CG4" s="280">
        <f ca="1">IF($BZ4=$BZ3,$BT4-$BU3,0)</f>
        <v>0</v>
      </c>
      <c r="CH4" s="280"/>
      <c r="CI4" s="280">
        <f ca="1">IF($BZ4=$BZ5,$BV4-$BU5,0)</f>
        <v>0</v>
      </c>
      <c r="CJ4" s="280">
        <f ca="1">SUM(CF4:CI4)</f>
        <v>0</v>
      </c>
      <c r="CK4" s="207"/>
      <c r="CL4" s="280">
        <f ca="1">IF($BZ4=$BZ2,$BS8-$BU6,0)</f>
        <v>0</v>
      </c>
      <c r="CM4" s="280">
        <f ca="1">IF($BZ4=$BZ3,$BT8-$BU7,0)</f>
        <v>0</v>
      </c>
      <c r="CN4" s="280"/>
      <c r="CO4" s="280">
        <f ca="1">IF($BZ4=$BZ5,$BV8-$BU9,0)</f>
        <v>0</v>
      </c>
      <c r="CP4" s="280">
        <f ca="1">SUM(CL4:CO4)</f>
        <v>0</v>
      </c>
      <c r="CQ4" s="280">
        <f ca="1">IF($BZ4=$BZ2,$BS8,0)</f>
        <v>0</v>
      </c>
      <c r="CR4" s="280">
        <f ca="1">IF($BZ4=$BZ3,$BT8,0)</f>
        <v>0</v>
      </c>
      <c r="CS4" s="280"/>
      <c r="CT4" s="280">
        <f ca="1">IF($BZ4=$BZ5,$BV8,0)</f>
        <v>0</v>
      </c>
      <c r="CU4" s="280">
        <f ca="1">SUM(CQ4:CT4)</f>
        <v>0</v>
      </c>
      <c r="CV4" s="207">
        <v>2</v>
      </c>
    </row>
    <row r="5" spans="1:100">
      <c r="A5" s="2">
        <v>28</v>
      </c>
      <c r="B5" s="6">
        <f>VLOOKUP(A5,Spiele!$A$1:$L$116,2,FALSE)</f>
        <v>46191.833333333336</v>
      </c>
      <c r="C5" s="6" t="str">
        <f>VLOOKUP(A5,Spiele!$A$1:$L$116,9,FALSE)</f>
        <v>Guadalajara</v>
      </c>
      <c r="D5" s="56" t="str">
        <f>Y2</f>
        <v>Mexiko</v>
      </c>
      <c r="E5" s="40" t="s">
        <v>24</v>
      </c>
      <c r="F5" s="56" t="str">
        <f>Y4</f>
        <v>Südkorea</v>
      </c>
      <c r="G5" s="53"/>
      <c r="H5" s="107">
        <f ca="1">IF($B$102&lt;&gt;"","",IF($B$101&lt;&gt;"",IF(Ergebnisse!H5="","",Ergebnisse!H5),IF($B$99="",2,INT(RAND()*5)+INT(RAND()*3)*INT(RAND()*2))))</f>
        <v>0</v>
      </c>
      <c r="I5" s="11" t="s">
        <v>25</v>
      </c>
      <c r="J5" s="107">
        <f ca="1">IF($B$102&lt;&gt;"","",IF($B$101&lt;&gt;"",IF(Ergebnisse!J5="","",Ergebnisse!J5),IF($B$99="",2,INT(RAND()*5)+INT(RAND()*3)*INT(RAND()*2))))</f>
        <v>6</v>
      </c>
      <c r="K5" s="7" t="str">
        <f t="shared" ca="1" si="0"/>
        <v>ok</v>
      </c>
      <c r="L5" s="1"/>
      <c r="M5" s="9" t="str">
        <f ca="1">VLOOKUP(4,$X$2:$AC$5,2,FALSE)</f>
        <v>Mexiko</v>
      </c>
      <c r="N5" s="2">
        <f ca="1">VLOOKUP(4,$X$2:$AC$5,3,FALSE)</f>
        <v>3</v>
      </c>
      <c r="O5" s="2">
        <f ca="1">VLOOKUP(4,$X$2:$AC$5,4,FALSE)</f>
        <v>6</v>
      </c>
      <c r="P5" s="2">
        <f ca="1">VLOOKUP(4,$X$2:$AC$5,5,FALSE)</f>
        <v>16</v>
      </c>
      <c r="Q5" s="2">
        <f ca="1">VLOOKUP(4,$X$2:$AC$5,6,FALSE)</f>
        <v>-10</v>
      </c>
      <c r="S5" s="61">
        <f ca="1">IF(H7="",0,IF(K8=$B$98,IF(H7&gt;J7,3,IF(H7=J7,1,0)),0))</f>
        <v>3</v>
      </c>
      <c r="T5" s="61">
        <f ca="1">IF(H6="",0,IF(K6=$B$98,IF(J6&lt;H6,3,IF(J6=H6,1,0)),0))</f>
        <v>0</v>
      </c>
      <c r="U5" s="61">
        <f ca="1">IF(J4="",0,IF(K4=$B$98,IF(H4&lt;J4,3,IF(H4=J4,1,0)),0))</f>
        <v>3</v>
      </c>
      <c r="V5" s="60"/>
      <c r="W5" s="62"/>
      <c r="X5" s="62">
        <f ca="1">RANK(AD5,$AD$2:$AD$5)</f>
        <v>2</v>
      </c>
      <c r="Y5" s="216" t="s">
        <v>189</v>
      </c>
      <c r="Z5" s="62">
        <f ca="1">SUM(S5:V5)</f>
        <v>6</v>
      </c>
      <c r="AA5" s="62">
        <f ca="1">SUM(S9:V9)</f>
        <v>12</v>
      </c>
      <c r="AB5" s="62">
        <f ca="1">SUM(V6:V9)</f>
        <v>7</v>
      </c>
      <c r="AC5" s="62">
        <f ca="1">AA5-AB5</f>
        <v>5</v>
      </c>
      <c r="AD5" s="24">
        <f ca="1">IF(P$8="",(((((((AE5*10+Z5)*100+AC5)*100+AA5)*10+AK5)*10+AJ5)*100+AP5)*100+AU5)*10+AV5,(((((((AE5*10+Z5)*10+AK5)*10+AJ5)*100+AP5)*100+AU5)*100+AC5)*100+AA5)*10+AV5)</f>
        <v>596990205121</v>
      </c>
      <c r="AE5" s="203"/>
      <c r="AF5" s="279">
        <f ca="1">IF($Z5=$Z2,$S5-$V2,0)</f>
        <v>0</v>
      </c>
      <c r="AG5" s="279">
        <f ca="1">IF($Z5=$Z3,$T5-$V3,0)</f>
        <v>-3</v>
      </c>
      <c r="AH5" s="279">
        <f ca="1">IF($Z5=$Z4,$U5-$V4,0)</f>
        <v>0</v>
      </c>
      <c r="AI5" s="279"/>
      <c r="AJ5" s="279">
        <f ca="1">SUM(AF5:AI5)</f>
        <v>-3</v>
      </c>
      <c r="AK5" s="203"/>
      <c r="AL5" s="279">
        <f ca="1">IF($Z5=$Z2,$S9-$V6,0)</f>
        <v>0</v>
      </c>
      <c r="AM5" s="279">
        <f ca="1">IF($Z5=$Z3,$T9-$V7,0)</f>
        <v>-1</v>
      </c>
      <c r="AN5" s="279">
        <f ca="1">IF($Z5=$Z4,$U9-$V8,0)</f>
        <v>0</v>
      </c>
      <c r="AO5" s="279"/>
      <c r="AP5" s="279">
        <f ca="1">SUM(AL5:AO5)</f>
        <v>-1</v>
      </c>
      <c r="AQ5" s="279">
        <f ca="1">IF($Z5=$Z2,$S9,0)</f>
        <v>0</v>
      </c>
      <c r="AR5" s="279">
        <f ca="1">IF($Z5=$Z3,$T9,0)</f>
        <v>2</v>
      </c>
      <c r="AS5" s="279">
        <f ca="1">IF($Z5=$Z4,$U9,0)</f>
        <v>0</v>
      </c>
      <c r="AT5" s="279"/>
      <c r="AU5" s="279">
        <f ca="1">SUM(AQ5:AT5)</f>
        <v>2</v>
      </c>
      <c r="AV5" s="203">
        <v>1</v>
      </c>
      <c r="AW5" s="2"/>
      <c r="AX5" s="2"/>
      <c r="AY5" s="2"/>
      <c r="AZ5" s="2"/>
      <c r="BA5" s="2">
        <v>32</v>
      </c>
      <c r="BB5" s="6">
        <f>VLOOKUP(BA5,Spiele!$A$1:$L$116,2,FALSE)</f>
        <v>46192.5</v>
      </c>
      <c r="BC5" s="6" t="str">
        <f>VLOOKUP(BA5,Spiele!$A$1:$L$116,9,FALSE)</f>
        <v>Seattle</v>
      </c>
      <c r="BD5" s="56" t="str">
        <f>BY2</f>
        <v>USA</v>
      </c>
      <c r="BE5" s="40" t="s">
        <v>24</v>
      </c>
      <c r="BF5" s="56" t="str">
        <f>BY4</f>
        <v>Australien</v>
      </c>
      <c r="BG5" s="53"/>
      <c r="BH5" s="107">
        <f ca="1">IF($B$102&lt;&gt;"","",IF($B$101&lt;&gt;"",IF(Ergebnisse!BH5="","",Ergebnisse!BH5),IF($B$99="",2,INT(RAND()*5)+INT(RAND()*3)*INT(RAND()*2))))</f>
        <v>1</v>
      </c>
      <c r="BI5" s="11" t="s">
        <v>25</v>
      </c>
      <c r="BJ5" s="107">
        <f ca="1">IF($B$102&lt;&gt;"","",IF($B$101&lt;&gt;"",IF(Ergebnisse!BJ5="","",Ergebnisse!BJ5),IF($B$99="",2,INT(RAND()*5)+INT(RAND()*3)*INT(RAND()*2))))</f>
        <v>1</v>
      </c>
      <c r="BK5" s="7" t="str">
        <f t="shared" ca="1" si="1"/>
        <v>ok</v>
      </c>
      <c r="BL5" s="1"/>
      <c r="BM5" s="9" t="str">
        <f ca="1">VLOOKUP(4,$BX$2:$CC$5,2,FALSE)</f>
        <v>Paraguay</v>
      </c>
      <c r="BN5" s="2">
        <f ca="1">VLOOKUP(4,$BX$2:$CC$5,3,FALSE)</f>
        <v>2</v>
      </c>
      <c r="BO5" s="2">
        <f ca="1">VLOOKUP(4,$BX$2:$CC$5,4,FALSE)</f>
        <v>2</v>
      </c>
      <c r="BP5" s="2">
        <f ca="1">VLOOKUP(4,$BX$2:$CC$5,5,FALSE)</f>
        <v>5</v>
      </c>
      <c r="BQ5" s="2">
        <f ca="1">VLOOKUP(4,$BX$2:$CC$5,6,FALSE)</f>
        <v>-3</v>
      </c>
      <c r="BS5" s="61">
        <f ca="1">IF(BH7="",0,IF(BK8=$B$98,IF(BH7&gt;BJ7,3,IF(BH7=BJ7,1,0)),0))</f>
        <v>3</v>
      </c>
      <c r="BT5" s="61">
        <f ca="1">IF(BH6="",0,IF(BK6=$B$98,IF(BJ6&lt;BH6,3,IF(BJ6=BH6,1,0)),0))</f>
        <v>3</v>
      </c>
      <c r="BU5" s="61">
        <f ca="1">IF(BJ4="",0,IF(BK4=$B$98,IF(BH4&lt;BJ4,3,IF(BH4=BJ4,1,0)),0))</f>
        <v>0</v>
      </c>
      <c r="BV5" s="60"/>
      <c r="BW5" s="1"/>
      <c r="BX5" s="1">
        <f ca="1">RANK(CD5,$CD$2:$CD$5)</f>
        <v>1</v>
      </c>
      <c r="BY5" s="40" t="s">
        <v>185</v>
      </c>
      <c r="BZ5" s="1">
        <f ca="1">SUM(BS5:BV5)</f>
        <v>6</v>
      </c>
      <c r="CA5" s="1">
        <f ca="1">SUM(BS9:BV9)</f>
        <v>8</v>
      </c>
      <c r="CB5" s="1">
        <f ca="1">SUM(BV6:BV9)</f>
        <v>8</v>
      </c>
      <c r="CC5" s="1">
        <f ca="1">CA5-CB5</f>
        <v>0</v>
      </c>
      <c r="CD5" s="24">
        <f ca="1">IF(BP$8="",(((((((CE5*10+BZ5)*100+CC5)*100+CA5)*10+CK5)*10+CJ5)*100+CP5)*100+CU5)*10+CV5,(((((((CE5*10+BZ5)*10+CK5)*10+CJ5)*100+CP5)*100+CU5)*100+CC5)*100+CA5)*10+CV5)</f>
        <v>600000000081</v>
      </c>
      <c r="CE5" s="207"/>
      <c r="CF5" s="280">
        <f ca="1">IF($BZ5=$BZ2,$BS5-$BV2,0)</f>
        <v>0</v>
      </c>
      <c r="CG5" s="280">
        <f ca="1">IF($BZ5=$BZ3,$BT5-$BV3,0)</f>
        <v>0</v>
      </c>
      <c r="CH5" s="280">
        <f ca="1">IF($BZ5=$BZ4,$BU5-$BV4,0)</f>
        <v>0</v>
      </c>
      <c r="CI5" s="280"/>
      <c r="CJ5" s="280">
        <f ca="1">SUM(CF5:CI5)</f>
        <v>0</v>
      </c>
      <c r="CK5" s="207"/>
      <c r="CL5" s="280">
        <f ca="1">IF($BZ5=$BZ2,$BS9-$BV6,0)</f>
        <v>0</v>
      </c>
      <c r="CM5" s="280">
        <f ca="1">IF($BZ5=$BZ3,$BT9-$BV7,0)</f>
        <v>0</v>
      </c>
      <c r="CN5" s="280">
        <f ca="1">IF($BZ5=$BZ4,$BU9-$BV8,0)</f>
        <v>0</v>
      </c>
      <c r="CO5" s="280"/>
      <c r="CP5" s="280">
        <f ca="1">SUM(CL5:CO5)</f>
        <v>0</v>
      </c>
      <c r="CQ5" s="280">
        <f ca="1">IF($BZ5=$BZ2,$BS9,0)</f>
        <v>0</v>
      </c>
      <c r="CR5" s="280">
        <f ca="1">IF($BZ5=$BZ3,$BT9,0)</f>
        <v>0</v>
      </c>
      <c r="CS5" s="280">
        <f ca="1">IF($BZ5=$BZ4,$BU9,0)</f>
        <v>0</v>
      </c>
      <c r="CT5" s="280"/>
      <c r="CU5" s="280">
        <f ca="1">SUM(CQ5:CT5)</f>
        <v>0</v>
      </c>
      <c r="CV5" s="207">
        <v>1</v>
      </c>
    </row>
    <row r="6" spans="1:100">
      <c r="A6" s="2">
        <v>25</v>
      </c>
      <c r="B6" s="6">
        <f>VLOOKUP(A6,Spiele!$A$1:$L$116,2,FALSE)</f>
        <v>46191.5</v>
      </c>
      <c r="C6" s="6" t="str">
        <f>VLOOKUP(A6,Spiele!$A$1:$L$116,9,FALSE)</f>
        <v>Atlanta</v>
      </c>
      <c r="D6" s="56" t="str">
        <f>Y5</f>
        <v>Tschechien</v>
      </c>
      <c r="E6" s="40" t="s">
        <v>24</v>
      </c>
      <c r="F6" s="56" t="str">
        <f>Y3</f>
        <v>Südafrika</v>
      </c>
      <c r="G6" s="53"/>
      <c r="H6" s="107">
        <f ca="1">IF($B$102&lt;&gt;"","",IF($B$101&lt;&gt;"",IF(Ergebnisse!H6="","",Ergebnisse!H6),IF($B$99="",2,INT(RAND()*5)+INT(RAND()*3)*INT(RAND()*2))))</f>
        <v>2</v>
      </c>
      <c r="I6" s="11" t="s">
        <v>25</v>
      </c>
      <c r="J6" s="107">
        <f ca="1">IF($B$102&lt;&gt;"","",IF($B$101&lt;&gt;"",IF(Ergebnisse!J6="","",Ergebnisse!J6),IF($B$99="",2,INT(RAND()*5)+INT(RAND()*3)*INT(RAND()*2))))</f>
        <v>3</v>
      </c>
      <c r="K6" s="7" t="str">
        <f t="shared" ca="1" si="0"/>
        <v>ok</v>
      </c>
      <c r="L6" s="1"/>
      <c r="N6" s="1"/>
      <c r="O6" s="1"/>
      <c r="P6" s="1"/>
      <c r="S6" s="60"/>
      <c r="T6" s="61">
        <f ca="1">IF(K3=$B$98,H3,0)</f>
        <v>5</v>
      </c>
      <c r="U6" s="61">
        <f ca="1">IF(K5=$B$98,H5,0)</f>
        <v>0</v>
      </c>
      <c r="V6" s="61">
        <f ca="1">IF(K8=$B$98,J7,0)</f>
        <v>1</v>
      </c>
      <c r="W6" s="62"/>
      <c r="X6" s="62"/>
      <c r="Y6" s="62"/>
      <c r="Z6" s="62"/>
      <c r="AA6" s="62"/>
      <c r="AB6" s="62"/>
      <c r="AC6" s="62"/>
      <c r="AD6" s="66"/>
      <c r="AE6" s="204"/>
      <c r="AF6" s="279"/>
      <c r="AG6" s="279"/>
      <c r="AH6" s="279"/>
      <c r="AI6" s="279"/>
      <c r="AJ6" s="279"/>
      <c r="AK6" s="279"/>
      <c r="AL6" s="279"/>
      <c r="AM6" s="279"/>
      <c r="AN6" s="279"/>
      <c r="AO6" s="279"/>
      <c r="AP6" s="279"/>
      <c r="AQ6" s="279"/>
      <c r="AR6" s="279"/>
      <c r="AS6" s="279"/>
      <c r="AT6" s="279"/>
      <c r="AV6" s="279"/>
      <c r="AW6" s="2"/>
      <c r="AX6" s="2"/>
      <c r="AY6" s="2"/>
      <c r="AZ6" s="2"/>
      <c r="BA6" s="2">
        <v>31</v>
      </c>
      <c r="BB6" s="6">
        <f>VLOOKUP(BA6,Spiele!$A$1:$L$116,2,FALSE)</f>
        <v>46192.875</v>
      </c>
      <c r="BC6" s="6" t="str">
        <f>VLOOKUP(BA6,Spiele!$A$1:$L$116,9,FALSE)</f>
        <v>San Francisco</v>
      </c>
      <c r="BD6" s="56" t="str">
        <f>BY5</f>
        <v>Türkei</v>
      </c>
      <c r="BE6" s="40" t="s">
        <v>24</v>
      </c>
      <c r="BF6" s="56" t="str">
        <f>BY3</f>
        <v>Paraguay</v>
      </c>
      <c r="BG6" s="53"/>
      <c r="BH6" s="107">
        <f ca="1">IF($B$102&lt;&gt;"","",IF($B$101&lt;&gt;"",IF(Ergebnisse!BH6="","",Ergebnisse!BH6),IF($B$99="",2,INT(RAND()*5)+INT(RAND()*3)*INT(RAND()*2))))</f>
        <v>4</v>
      </c>
      <c r="BI6" s="11" t="s">
        <v>25</v>
      </c>
      <c r="BJ6" s="107">
        <f ca="1">IF($B$102&lt;&gt;"","",IF($B$101&lt;&gt;"",IF(Ergebnisse!BJ6="","",Ergebnisse!BJ6),IF($B$99="",2,INT(RAND()*5)+INT(RAND()*3)*INT(RAND()*2))))</f>
        <v>1</v>
      </c>
      <c r="BK6" s="7" t="str">
        <f t="shared" ca="1" si="1"/>
        <v>ok</v>
      </c>
      <c r="BL6" s="1"/>
      <c r="BN6" s="1"/>
      <c r="BO6" s="1"/>
      <c r="BP6" s="1"/>
      <c r="BS6" s="60"/>
      <c r="BT6" s="61">
        <f ca="1">IF(BK3=$B$98,BH3,0)</f>
        <v>1</v>
      </c>
      <c r="BU6" s="61">
        <f ca="1">IF(BK5=$B$98,BH5,0)</f>
        <v>1</v>
      </c>
      <c r="BV6" s="61">
        <f ca="1">IF(BK8=$B$98,BJ7,0)</f>
        <v>1</v>
      </c>
      <c r="BW6" s="1"/>
      <c r="BX6" s="1"/>
      <c r="BY6" s="62"/>
      <c r="BZ6" s="1"/>
      <c r="CA6" s="1"/>
      <c r="CB6" s="1"/>
      <c r="CC6" s="1"/>
      <c r="CD6" s="5"/>
      <c r="CE6" s="7"/>
      <c r="CF6" s="280"/>
      <c r="CG6" s="280"/>
      <c r="CH6" s="280"/>
      <c r="CI6" s="280"/>
      <c r="CJ6" s="280"/>
      <c r="CK6" s="280"/>
      <c r="CL6" s="280"/>
      <c r="CM6" s="280"/>
      <c r="CN6" s="280"/>
      <c r="CO6" s="280"/>
      <c r="CP6" s="280"/>
      <c r="CQ6" s="280"/>
      <c r="CR6" s="280"/>
      <c r="CS6" s="280"/>
      <c r="CT6" s="280"/>
      <c r="CV6" s="280"/>
    </row>
    <row r="7" spans="1:100">
      <c r="A7" s="2">
        <v>53</v>
      </c>
      <c r="B7" s="6">
        <f>VLOOKUP(A7,Spiele!$A$1:$L$116,2,FALSE)</f>
        <v>46197.833333333336</v>
      </c>
      <c r="C7" s="6" t="str">
        <f>VLOOKUP(A7,Spiele!$A$1:$L$116,9,FALSE)</f>
        <v>Mexico City</v>
      </c>
      <c r="D7" s="56" t="str">
        <f>Y5</f>
        <v>Tschechien</v>
      </c>
      <c r="E7" s="40" t="s">
        <v>24</v>
      </c>
      <c r="F7" s="56" t="str">
        <f>Y2</f>
        <v>Mexiko</v>
      </c>
      <c r="G7" s="55"/>
      <c r="H7" s="107">
        <f ca="1">IF($B$102&lt;&gt;"","",IF($B$101&lt;&gt;"",IF(Ergebnisse!H7="","",Ergebnisse!H7),IF($B$99="",2,INT(RAND()*5)+INT(RAND()*3)*INT(RAND()*2))))</f>
        <v>6</v>
      </c>
      <c r="I7" s="11" t="s">
        <v>25</v>
      </c>
      <c r="J7" s="107">
        <f ca="1">IF($B$102&lt;&gt;"","",IF($B$101&lt;&gt;"",IF(Ergebnisse!J7="","",Ergebnisse!J7),IF($B$99="",2,INT(RAND()*5)+INT(RAND()*3)*INT(RAND()*2))))</f>
        <v>1</v>
      </c>
      <c r="K7" s="7" t="str">
        <f t="shared" ca="1" si="0"/>
        <v>ok</v>
      </c>
      <c r="M7" s="36" t="str">
        <f ca="1">IF(N2&gt;0,M2,"")</f>
        <v>Südafrika</v>
      </c>
      <c r="N7" s="2" t="s">
        <v>27</v>
      </c>
      <c r="P7" s="29"/>
      <c r="S7" s="61">
        <f ca="1">IF(K3=$B$98,J3,0)</f>
        <v>4</v>
      </c>
      <c r="T7" s="60"/>
      <c r="U7" s="61">
        <f ca="1">IF(K7=$B$98,H8,0)</f>
        <v>3</v>
      </c>
      <c r="V7" s="61">
        <f ca="1">IF(K6=$B$98,J6,0)</f>
        <v>3</v>
      </c>
      <c r="AD7" s="55" t="s">
        <v>140</v>
      </c>
      <c r="AE7" s="108"/>
      <c r="AF7" s="281"/>
      <c r="AG7" s="281"/>
      <c r="AH7" s="281"/>
      <c r="AI7" s="281"/>
      <c r="AJ7" s="281"/>
      <c r="AK7" s="281"/>
      <c r="AL7" s="281"/>
      <c r="AM7" s="281"/>
      <c r="AN7" s="281"/>
      <c r="AO7" s="281"/>
      <c r="AP7" s="281"/>
      <c r="AQ7" s="281"/>
      <c r="AR7" s="281"/>
      <c r="AS7" s="281"/>
      <c r="AT7" s="281"/>
      <c r="AV7" s="281"/>
      <c r="AW7" s="2"/>
      <c r="AX7" s="2"/>
      <c r="AY7" s="2"/>
      <c r="AZ7" s="2"/>
      <c r="BA7" s="2">
        <v>59</v>
      </c>
      <c r="BB7" s="6">
        <f>VLOOKUP(BA7,Spiele!$A$1:$L$116,2,FALSE)</f>
        <v>46198.791666666664</v>
      </c>
      <c r="BC7" s="6" t="str">
        <f>VLOOKUP(BA7,Spiele!$A$1:$L$116,9,FALSE)</f>
        <v>Los Angeles</v>
      </c>
      <c r="BD7" s="56" t="str">
        <f>BY5</f>
        <v>Türkei</v>
      </c>
      <c r="BE7" s="40" t="s">
        <v>24</v>
      </c>
      <c r="BF7" s="56" t="str">
        <f>BY2</f>
        <v>USA</v>
      </c>
      <c r="BG7" s="55"/>
      <c r="BH7" s="107">
        <f ca="1">IF($B$102&lt;&gt;"","",IF($B$101&lt;&gt;"",IF(Ergebnisse!BH7="","",Ergebnisse!BH7),IF($B$99="",2,INT(RAND()*5)+INT(RAND()*3)*INT(RAND()*2))))</f>
        <v>2</v>
      </c>
      <c r="BI7" s="11" t="s">
        <v>25</v>
      </c>
      <c r="BJ7" s="107">
        <f ca="1">IF($B$102&lt;&gt;"","",IF($B$101&lt;&gt;"",IF(Ergebnisse!BJ7="","",Ergebnisse!BJ7),IF($B$99="",2,INT(RAND()*5)+INT(RAND()*3)*INT(RAND()*2))))</f>
        <v>1</v>
      </c>
      <c r="BK7" s="7" t="str">
        <f t="shared" ca="1" si="1"/>
        <v>ok</v>
      </c>
      <c r="BM7" s="177" t="str">
        <f ca="1">IF(BN2&gt;0,BM2,"")</f>
        <v>Türkei</v>
      </c>
      <c r="BN7" s="2" t="s">
        <v>41</v>
      </c>
      <c r="BP7" s="29"/>
      <c r="BS7" s="61">
        <f ca="1">IF(BK3=$B$98,BJ3,0)</f>
        <v>1</v>
      </c>
      <c r="BT7" s="60"/>
      <c r="BU7" s="61">
        <f ca="1">IF(BK7=$B$98,BH8,0)</f>
        <v>0</v>
      </c>
      <c r="BV7" s="61">
        <f ca="1">IF(BK6=$B$98,BJ6,0)</f>
        <v>1</v>
      </c>
      <c r="CD7" s="2" t="s">
        <v>140</v>
      </c>
      <c r="CE7" s="8"/>
      <c r="CF7" s="282"/>
      <c r="CG7" s="282"/>
      <c r="CH7" s="282"/>
      <c r="CI7" s="282"/>
      <c r="CJ7" s="282"/>
      <c r="CK7" s="282"/>
      <c r="CL7" s="282"/>
      <c r="CM7" s="282"/>
      <c r="CN7" s="282"/>
      <c r="CO7" s="282"/>
      <c r="CP7" s="282"/>
      <c r="CQ7" s="282"/>
      <c r="CR7" s="282"/>
      <c r="CS7" s="282"/>
      <c r="CT7" s="282"/>
      <c r="CV7" s="282"/>
    </row>
    <row r="8" spans="1:100">
      <c r="A8" s="2">
        <v>54</v>
      </c>
      <c r="B8" s="6">
        <f>VLOOKUP(A8,Spiele!$A$1:$L$116,2,FALSE)</f>
        <v>46197.833333333336</v>
      </c>
      <c r="C8" s="6" t="str">
        <f>VLOOKUP(A8,Spiele!$A$1:$L$116,9,FALSE)</f>
        <v>Monterrey</v>
      </c>
      <c r="D8" s="56" t="str">
        <f>Y3</f>
        <v>Südafrika</v>
      </c>
      <c r="E8" s="40" t="s">
        <v>24</v>
      </c>
      <c r="F8" s="56" t="str">
        <f>Y4</f>
        <v>Südkorea</v>
      </c>
      <c r="G8" s="55"/>
      <c r="H8" s="107">
        <f ca="1">IF($B$102&lt;&gt;"","",IF($B$101&lt;&gt;"",IF(Ergebnisse!H8="","",Ergebnisse!H8),IF($B$99="",2,INT(RAND()*5)+INT(RAND()*3)*INT(RAND()*2))))</f>
        <v>3</v>
      </c>
      <c r="I8" s="11" t="s">
        <v>25</v>
      </c>
      <c r="J8" s="107">
        <f ca="1">IF($B$102&lt;&gt;"","",IF($B$101&lt;&gt;"",IF(Ergebnisse!J8="","",Ergebnisse!J8),IF($B$99="",2,INT(RAND()*5)+INT(RAND()*3)*INT(RAND()*2))))</f>
        <v>0</v>
      </c>
      <c r="K8" s="7" t="str">
        <f t="shared" ca="1" si="0"/>
        <v>ok</v>
      </c>
      <c r="M8" s="36" t="str">
        <f ca="1">IF(N3&gt;0,M3,"")</f>
        <v>Tschechien</v>
      </c>
      <c r="N8" s="2" t="s">
        <v>29</v>
      </c>
      <c r="O8" s="30"/>
      <c r="P8" s="205" t="s">
        <v>11</v>
      </c>
      <c r="S8" s="61">
        <f ca="1">IF(K5=$B$98,J5,0)</f>
        <v>6</v>
      </c>
      <c r="T8" s="61">
        <f ca="1">IF(K7=$B$98,J8,0)</f>
        <v>0</v>
      </c>
      <c r="U8" s="60"/>
      <c r="V8" s="61">
        <f ca="1">IF(K4=$B$98,H4,0)</f>
        <v>3</v>
      </c>
      <c r="AD8" s="55" t="s">
        <v>141</v>
      </c>
      <c r="AE8" s="108"/>
      <c r="AF8" s="281"/>
      <c r="AG8" s="281"/>
      <c r="AH8" s="281"/>
      <c r="AI8" s="281"/>
      <c r="AJ8" s="281"/>
      <c r="AK8" s="281"/>
      <c r="AL8" s="281"/>
      <c r="AM8" s="281"/>
      <c r="AN8" s="281"/>
      <c r="AO8" s="281"/>
      <c r="AP8" s="281"/>
      <c r="AQ8" s="281"/>
      <c r="AR8" s="281"/>
      <c r="AS8" s="281"/>
      <c r="AT8" s="281"/>
      <c r="AV8" s="281"/>
      <c r="AW8" s="2"/>
      <c r="AX8" s="2"/>
      <c r="AY8" s="2"/>
      <c r="AZ8" s="2"/>
      <c r="BA8" s="2">
        <v>60</v>
      </c>
      <c r="BB8" s="6">
        <f>VLOOKUP(BA8,Spiele!$A$1:$L$116,2,FALSE)</f>
        <v>46198.791666666664</v>
      </c>
      <c r="BC8" s="6" t="str">
        <f>VLOOKUP(BA8,Spiele!$A$1:$L$116,9,FALSE)</f>
        <v>San Francisco</v>
      </c>
      <c r="BD8" s="56" t="str">
        <f>BY3</f>
        <v>Paraguay</v>
      </c>
      <c r="BE8" s="40" t="s">
        <v>24</v>
      </c>
      <c r="BF8" s="56" t="str">
        <f>BY4</f>
        <v>Australien</v>
      </c>
      <c r="BG8" s="55"/>
      <c r="BH8" s="107">
        <f ca="1">IF($B$102&lt;&gt;"","",IF($B$101&lt;&gt;"",IF(Ergebnisse!BH8="","",Ergebnisse!BH8),IF($B$99="",2,INT(RAND()*5)+INT(RAND()*3)*INT(RAND()*2))))</f>
        <v>0</v>
      </c>
      <c r="BI8" s="11" t="s">
        <v>25</v>
      </c>
      <c r="BJ8" s="107">
        <f ca="1">IF($B$102&lt;&gt;"","",IF($B$101&lt;&gt;"",IF(Ergebnisse!BJ8="","",Ergebnisse!BJ8),IF($B$99="",2,INT(RAND()*5)+INT(RAND()*3)*INT(RAND()*2))))</f>
        <v>0</v>
      </c>
      <c r="BK8" s="7" t="str">
        <f t="shared" ca="1" si="1"/>
        <v>ok</v>
      </c>
      <c r="BM8" s="177" t="str">
        <f ca="1">IF(BN3&gt;0,BM3,"")</f>
        <v>Australien</v>
      </c>
      <c r="BN8" s="2" t="s">
        <v>42</v>
      </c>
      <c r="BO8" s="30"/>
      <c r="BP8" s="205" t="s">
        <v>11</v>
      </c>
      <c r="BS8" s="61">
        <f ca="1">IF(BK5=$B$98,BJ5,0)</f>
        <v>1</v>
      </c>
      <c r="BT8" s="61">
        <f ca="1">IF(BK7=$B$98,BJ8,0)</f>
        <v>0</v>
      </c>
      <c r="BU8" s="60"/>
      <c r="BV8" s="61">
        <f ca="1">IF(BK4=$B$98,BH4,0)</f>
        <v>6</v>
      </c>
      <c r="CD8" s="2" t="s">
        <v>141</v>
      </c>
      <c r="CE8" s="8"/>
      <c r="CF8" s="282"/>
      <c r="CG8" s="282"/>
      <c r="CH8" s="282"/>
      <c r="CI8" s="282"/>
      <c r="CJ8" s="282"/>
      <c r="CK8" s="282"/>
      <c r="CL8" s="282"/>
      <c r="CM8" s="282"/>
      <c r="CN8" s="282"/>
      <c r="CO8" s="282"/>
      <c r="CP8" s="282"/>
      <c r="CQ8" s="282"/>
      <c r="CR8" s="282"/>
      <c r="CS8" s="282"/>
      <c r="CT8" s="282"/>
      <c r="CV8" s="282"/>
    </row>
    <row r="9" spans="1:100">
      <c r="E9" s="55"/>
      <c r="F9" s="55"/>
      <c r="G9" s="55"/>
      <c r="M9" s="36" t="str">
        <f ca="1">IF(N4&gt;0,M4,"")</f>
        <v>Südkorea</v>
      </c>
      <c r="N9" s="2" t="s">
        <v>142</v>
      </c>
      <c r="S9" s="61">
        <f ca="1">IF(K8=$B$98,H7,0)</f>
        <v>6</v>
      </c>
      <c r="T9" s="61">
        <f ca="1">IF(K6=$B$98,H6,0)</f>
        <v>2</v>
      </c>
      <c r="U9" s="61">
        <f ca="1">IF(K4=$B$98,J4,0)</f>
        <v>4</v>
      </c>
      <c r="V9" s="60"/>
      <c r="AD9" s="55" t="s">
        <v>143</v>
      </c>
      <c r="AE9" s="108"/>
      <c r="AF9" s="281"/>
      <c r="AG9" s="281"/>
      <c r="AH9" s="281"/>
      <c r="AI9" s="281"/>
      <c r="AJ9" s="281"/>
      <c r="AK9" s="281"/>
      <c r="AL9" s="281"/>
      <c r="AM9" s="281"/>
      <c r="AN9" s="281"/>
      <c r="AO9" s="281"/>
      <c r="AP9" s="281"/>
      <c r="AQ9" s="281"/>
      <c r="AR9" s="281"/>
      <c r="AS9" s="281"/>
      <c r="AT9" s="281"/>
      <c r="AV9" s="281"/>
      <c r="AW9" s="2"/>
      <c r="AX9" s="2"/>
      <c r="AY9" s="2"/>
      <c r="AZ9" s="2"/>
      <c r="BE9" s="55"/>
      <c r="BF9" s="55"/>
      <c r="BG9" s="55"/>
      <c r="BM9" s="177" t="str">
        <f ca="1">IF(BN4&gt;0,BM4,"")</f>
        <v>USA</v>
      </c>
      <c r="BN9" s="2" t="s">
        <v>150</v>
      </c>
      <c r="BS9" s="61">
        <f ca="1">IF(BK8=$B$98,BH7,0)</f>
        <v>2</v>
      </c>
      <c r="BT9" s="61">
        <f ca="1">IF(BK6=$B$98,BH6,0)</f>
        <v>4</v>
      </c>
      <c r="BU9" s="61">
        <f ca="1">IF(BK4=$B$98,BJ4,0)</f>
        <v>2</v>
      </c>
      <c r="BV9" s="60"/>
      <c r="CD9" s="2" t="s">
        <v>143</v>
      </c>
      <c r="CE9" s="8"/>
      <c r="CF9" s="282"/>
      <c r="CG9" s="282"/>
      <c r="CH9" s="282"/>
      <c r="CI9" s="282"/>
      <c r="CJ9" s="282"/>
      <c r="CK9" s="282"/>
      <c r="CL9" s="282"/>
      <c r="CM9" s="282"/>
      <c r="CN9" s="282"/>
      <c r="CO9" s="282"/>
      <c r="CP9" s="282"/>
      <c r="CQ9" s="282"/>
      <c r="CR9" s="282"/>
      <c r="CS9" s="282"/>
      <c r="CT9" s="282"/>
      <c r="CV9" s="282"/>
    </row>
    <row r="10" spans="1:100" ht="6" customHeight="1">
      <c r="D10" s="55"/>
      <c r="E10" s="58"/>
      <c r="F10" s="59"/>
      <c r="G10" s="59"/>
      <c r="H10" s="55"/>
      <c r="I10" s="55"/>
      <c r="J10" s="55"/>
      <c r="AE10" s="108"/>
      <c r="AF10" s="281"/>
      <c r="AG10" s="281"/>
      <c r="AH10" s="281"/>
      <c r="AI10" s="281"/>
      <c r="AJ10" s="281"/>
      <c r="AK10" s="281"/>
      <c r="AL10" s="281"/>
      <c r="AM10" s="281"/>
      <c r="AN10" s="281"/>
      <c r="AO10" s="281"/>
      <c r="AP10" s="281"/>
      <c r="AQ10" s="281"/>
      <c r="AR10" s="281"/>
      <c r="AS10" s="281"/>
      <c r="AT10" s="281"/>
      <c r="AV10" s="281"/>
      <c r="AW10" s="2"/>
      <c r="AX10" s="2"/>
      <c r="AY10" s="2"/>
      <c r="AZ10" s="2"/>
      <c r="BD10" s="55"/>
      <c r="BE10" s="58"/>
      <c r="BF10" s="59"/>
      <c r="BG10" s="59"/>
      <c r="BH10" s="55"/>
      <c r="BI10" s="55"/>
      <c r="BJ10" s="55"/>
      <c r="BS10" s="55"/>
      <c r="BT10" s="55"/>
      <c r="BU10" s="55"/>
      <c r="BV10" s="55"/>
      <c r="CE10" s="8"/>
      <c r="CF10" s="282"/>
      <c r="CG10" s="282"/>
      <c r="CH10" s="282"/>
      <c r="CI10" s="282"/>
      <c r="CJ10" s="282"/>
      <c r="CK10" s="282"/>
      <c r="CL10" s="282"/>
      <c r="CM10" s="282"/>
      <c r="CN10" s="282"/>
      <c r="CO10" s="282"/>
      <c r="CP10" s="282"/>
      <c r="CQ10" s="282"/>
      <c r="CR10" s="282"/>
      <c r="CS10" s="282"/>
      <c r="CT10" s="282"/>
      <c r="CV10" s="282"/>
    </row>
    <row r="11" spans="1:100" s="10" customFormat="1">
      <c r="B11" s="31" t="s">
        <v>0</v>
      </c>
      <c r="C11" s="32" t="s">
        <v>31</v>
      </c>
      <c r="D11" s="53" t="s">
        <v>2</v>
      </c>
      <c r="E11" s="54"/>
      <c r="F11" s="53"/>
      <c r="G11" s="53"/>
      <c r="H11" s="20"/>
      <c r="I11" s="19"/>
      <c r="J11" s="20"/>
      <c r="K11" s="180"/>
      <c r="L11" s="17"/>
      <c r="M11" s="35" t="s">
        <v>3</v>
      </c>
      <c r="N11" s="17" t="s">
        <v>4</v>
      </c>
      <c r="O11" s="17" t="s">
        <v>5</v>
      </c>
      <c r="P11" s="17" t="s">
        <v>6</v>
      </c>
      <c r="Q11" s="17" t="s">
        <v>7</v>
      </c>
      <c r="R11" s="17"/>
      <c r="S11" s="55"/>
      <c r="T11" s="55"/>
      <c r="U11" s="55"/>
      <c r="V11" s="55"/>
      <c r="W11" s="53"/>
      <c r="X11" s="53" t="s">
        <v>8</v>
      </c>
      <c r="Y11" s="56" t="s">
        <v>9</v>
      </c>
      <c r="Z11" s="53" t="s">
        <v>4</v>
      </c>
      <c r="AA11" s="53" t="s">
        <v>5</v>
      </c>
      <c r="AB11" s="53" t="s">
        <v>6</v>
      </c>
      <c r="AC11" s="53" t="s">
        <v>7</v>
      </c>
      <c r="AD11" s="53"/>
      <c r="AE11" s="19" t="s">
        <v>10</v>
      </c>
      <c r="AF11" s="40" t="s">
        <v>11</v>
      </c>
      <c r="AG11" s="40"/>
      <c r="AH11" s="40"/>
      <c r="AI11" s="40"/>
      <c r="AJ11" s="40" t="s">
        <v>12</v>
      </c>
      <c r="AK11" s="56" t="s">
        <v>13</v>
      </c>
      <c r="AL11" s="40" t="s">
        <v>14</v>
      </c>
      <c r="AM11" s="40"/>
      <c r="AN11" s="40"/>
      <c r="AO11" s="40"/>
      <c r="AP11" s="40" t="s">
        <v>15</v>
      </c>
      <c r="AQ11" s="40" t="s">
        <v>16</v>
      </c>
      <c r="AR11" s="40"/>
      <c r="AS11" s="40"/>
      <c r="AT11" s="40"/>
      <c r="AU11" s="58" t="s">
        <v>17</v>
      </c>
      <c r="AV11" s="56" t="s">
        <v>18</v>
      </c>
      <c r="BB11" s="72" t="s">
        <v>0</v>
      </c>
      <c r="BC11" s="73" t="s">
        <v>21</v>
      </c>
      <c r="BD11" s="53" t="s">
        <v>2</v>
      </c>
      <c r="BE11" s="54"/>
      <c r="BF11" s="53"/>
      <c r="BG11" s="53"/>
      <c r="BH11" s="20"/>
      <c r="BI11" s="19"/>
      <c r="BJ11" s="20"/>
      <c r="BK11" s="180"/>
      <c r="BL11" s="17"/>
      <c r="BM11" s="35" t="s">
        <v>3</v>
      </c>
      <c r="BN11" s="17" t="s">
        <v>4</v>
      </c>
      <c r="BO11" s="17" t="s">
        <v>5</v>
      </c>
      <c r="BP11" s="17" t="s">
        <v>6</v>
      </c>
      <c r="BQ11" s="17" t="s">
        <v>7</v>
      </c>
      <c r="BR11" s="17"/>
      <c r="BS11" s="55"/>
      <c r="BT11" s="55"/>
      <c r="BU11" s="55"/>
      <c r="BV11" s="55"/>
      <c r="BW11" s="17"/>
      <c r="BX11" s="17" t="s">
        <v>8</v>
      </c>
      <c r="BY11" s="56" t="s">
        <v>9</v>
      </c>
      <c r="BZ11" s="17" t="s">
        <v>4</v>
      </c>
      <c r="CA11" s="17" t="s">
        <v>5</v>
      </c>
      <c r="CB11" s="17" t="s">
        <v>6</v>
      </c>
      <c r="CC11" s="17" t="s">
        <v>7</v>
      </c>
      <c r="CD11" s="17"/>
      <c r="CE11" s="180" t="s">
        <v>10</v>
      </c>
      <c r="CF11" s="15" t="s">
        <v>11</v>
      </c>
      <c r="CG11" s="15"/>
      <c r="CH11" s="15"/>
      <c r="CI11" s="15"/>
      <c r="CJ11" s="15" t="s">
        <v>12</v>
      </c>
      <c r="CK11" s="21" t="s">
        <v>13</v>
      </c>
      <c r="CL11" s="15" t="s">
        <v>14</v>
      </c>
      <c r="CM11" s="15"/>
      <c r="CN11" s="15"/>
      <c r="CO11" s="15"/>
      <c r="CP11" s="15" t="s">
        <v>15</v>
      </c>
      <c r="CQ11" s="15" t="s">
        <v>16</v>
      </c>
      <c r="CR11" s="15"/>
      <c r="CS11" s="15"/>
      <c r="CT11" s="15"/>
      <c r="CU11" s="16" t="s">
        <v>17</v>
      </c>
      <c r="CV11" s="21" t="s">
        <v>18</v>
      </c>
    </row>
    <row r="12" spans="1:100">
      <c r="B12" s="3" t="s">
        <v>22</v>
      </c>
      <c r="C12" s="3" t="s">
        <v>23</v>
      </c>
      <c r="D12" s="55"/>
      <c r="E12" s="55"/>
      <c r="F12" s="55"/>
      <c r="G12" s="55"/>
      <c r="L12" s="1"/>
      <c r="M12" s="9" t="str">
        <f ca="1">VLOOKUP(1,$X$12:$AC$15,2,FALSE)</f>
        <v>Kanada</v>
      </c>
      <c r="N12" s="2">
        <f ca="1">VLOOKUP(1,$X$12:$AC$15,3,FALSE)</f>
        <v>7</v>
      </c>
      <c r="O12" s="2">
        <f ca="1">VLOOKUP(1,$X$12:$AC$15,4,FALSE)</f>
        <v>12</v>
      </c>
      <c r="P12" s="2">
        <f ca="1">VLOOKUP(1,$X$12:$AC$15,5,FALSE)</f>
        <v>2</v>
      </c>
      <c r="Q12" s="2">
        <f ca="1">VLOOKUP(1,$X$12:$AC$15,6,FALSE)</f>
        <v>10</v>
      </c>
      <c r="S12" s="60"/>
      <c r="T12" s="61">
        <f ca="1">IF(H13="",0,IF(K13=$B$98,IF(H13&gt;J13,3,IF(H13=J13,1,0)),0))</f>
        <v>1</v>
      </c>
      <c r="U12" s="61">
        <f ca="1">IF(H15="",0,IF(K15=$B$98,IF(H15&gt;J15,3,IF(H15=J15,1,0)),0))</f>
        <v>3</v>
      </c>
      <c r="V12" s="61">
        <f ca="1">IF(J17="",0,IF(K18=$B$98,IF(H17&lt;J17,3,IF(H17=J17,1,0)),0))</f>
        <v>3</v>
      </c>
      <c r="W12" s="62"/>
      <c r="X12" s="62">
        <f ca="1">RANK(AD12,$AD$12:$AD$15)</f>
        <v>1</v>
      </c>
      <c r="Y12" s="40" t="s">
        <v>207</v>
      </c>
      <c r="Z12" s="62">
        <f ca="1">SUM(S12:V12)</f>
        <v>7</v>
      </c>
      <c r="AA12" s="62">
        <f ca="1">SUM(S16:V16)</f>
        <v>12</v>
      </c>
      <c r="AB12" s="62">
        <f ca="1">SUM(S16:S19)</f>
        <v>2</v>
      </c>
      <c r="AC12" s="62">
        <f ca="1">AA12-AB12</f>
        <v>10</v>
      </c>
      <c r="AD12" s="24">
        <f ca="1">IF(P$18="",(((((((AE12*10+Z12)*100+AC12)*100+AA12)*10+AK12)*10+AJ12)*100+AP12)*100+AU12)*10+AV12,(((((((AE12*10+Z12)*10+AK12)*10+AJ12)*100+AP12)*100+AU12)*100+AC12)*100+AA12)*10+AV12)</f>
        <v>700000010124</v>
      </c>
      <c r="AE12" s="203"/>
      <c r="AF12" s="279"/>
      <c r="AG12" s="279">
        <f ca="1">IF($Z12=$Z13,$T12-$S13,0)</f>
        <v>0</v>
      </c>
      <c r="AH12" s="279">
        <f ca="1">IF($Z12=$Z14,$U12-$S14,0)</f>
        <v>0</v>
      </c>
      <c r="AI12" s="279">
        <f ca="1">IF($Z12=$Z15,$V12-$S15,0)</f>
        <v>0</v>
      </c>
      <c r="AJ12" s="279">
        <f ca="1">SUM(AF12:AI12)</f>
        <v>0</v>
      </c>
      <c r="AK12" s="203"/>
      <c r="AL12" s="279"/>
      <c r="AM12" s="279">
        <f ca="1">IF($Z12=$Z13,$T16-$S17,0)</f>
        <v>0</v>
      </c>
      <c r="AN12" s="279">
        <f ca="1">IF($Z12=$Z14,$U16-$S18,0)</f>
        <v>0</v>
      </c>
      <c r="AO12" s="279">
        <f ca="1">IF($Z12=$Z15,$V16-$S19,0)</f>
        <v>0</v>
      </c>
      <c r="AP12" s="279">
        <f ca="1">SUM(AL12:AO12)</f>
        <v>0</v>
      </c>
      <c r="AQ12" s="279"/>
      <c r="AR12" s="279">
        <f ca="1">IF($Z12=$Z13,$T16,0)</f>
        <v>0</v>
      </c>
      <c r="AS12" s="279">
        <f ca="1">IF($Z12=$Z14,$U16,0)</f>
        <v>0</v>
      </c>
      <c r="AT12" s="279">
        <f ca="1">IF($Z12=$Z15,$V16,0)</f>
        <v>0</v>
      </c>
      <c r="AU12" s="279">
        <f ca="1">SUM(AQ12:AT12)</f>
        <v>0</v>
      </c>
      <c r="AV12" s="203">
        <v>4</v>
      </c>
      <c r="AW12" s="2"/>
      <c r="AX12" s="2"/>
      <c r="AY12" s="2"/>
      <c r="AZ12" s="2"/>
      <c r="BB12" s="3" t="s">
        <v>22</v>
      </c>
      <c r="BC12" s="3" t="s">
        <v>23</v>
      </c>
      <c r="BD12" s="55"/>
      <c r="BE12" s="55"/>
      <c r="BF12" s="55"/>
      <c r="BG12" s="55"/>
      <c r="BL12" s="1"/>
      <c r="BM12" s="9" t="str">
        <f ca="1">VLOOKUP(1,$BX$12:$CC$15,2,FALSE)</f>
        <v>Ecuador</v>
      </c>
      <c r="BN12" s="2">
        <f ca="1">VLOOKUP(1,$BX$12:$CC$15,3,FALSE)</f>
        <v>9</v>
      </c>
      <c r="BO12" s="2">
        <f ca="1">VLOOKUP(1,$BX$12:$CC$15,4,FALSE)</f>
        <v>12</v>
      </c>
      <c r="BP12" s="2">
        <f ca="1">VLOOKUP(1,$BX$12:$CC$15,5,FALSE)</f>
        <v>7</v>
      </c>
      <c r="BQ12" s="2">
        <f ca="1">VLOOKUP(1,$BX$12:$CC$15,6,FALSE)</f>
        <v>5</v>
      </c>
      <c r="BS12" s="60"/>
      <c r="BT12" s="61">
        <f ca="1">IF(BH13="",0,IF(BK13=$B$98,IF(BH13&gt;BJ13,3,IF(BH13=BJ13,1,0)),0))</f>
        <v>0</v>
      </c>
      <c r="BU12" s="61">
        <f ca="1">IF(BH15="",0,IF(BK15=$B$98,IF(BH15&gt;BJ15,3,IF(BH15=BJ15,1,0)),0))</f>
        <v>0</v>
      </c>
      <c r="BV12" s="61">
        <f ca="1">IF(BJ17="",0,IF(BK18=$B$98,IF(BH17&lt;BJ17,3,IF(BH17=BJ17,1,0)),0))</f>
        <v>0</v>
      </c>
      <c r="BW12" s="1"/>
      <c r="BX12" s="1">
        <f ca="1">RANK(CD12,$CD$12:$CD$15)</f>
        <v>4</v>
      </c>
      <c r="BY12" s="40" t="s">
        <v>67</v>
      </c>
      <c r="BZ12" s="1">
        <f ca="1">SUM(BS12:BV12)</f>
        <v>0</v>
      </c>
      <c r="CA12" s="1">
        <f ca="1">SUM(BS16:BV16)</f>
        <v>7</v>
      </c>
      <c r="CB12" s="1">
        <f ca="1">SUM(BS16:BS19)</f>
        <v>13</v>
      </c>
      <c r="CC12" s="1">
        <f ca="1">CA12-CB12</f>
        <v>-6</v>
      </c>
      <c r="CD12" s="24">
        <f ca="1">IF(BP$18="",(((((((CE12*10+BZ12)*100+CC12)*100+CA12)*10+CK12)*10+CJ12)*100+CP12)*100+CU12)*10+CV12,(((((((CE12*10+BZ12)*10+CK12)*10+CJ12)*100+CP12)*100+CU12)*100+CC12)*100+CA12)*10+CV12)</f>
        <v>-5926</v>
      </c>
      <c r="CE12" s="207"/>
      <c r="CF12" s="280"/>
      <c r="CG12" s="280">
        <f ca="1">IF($BZ12=$BZ13,$BT12-$BS13,0)</f>
        <v>0</v>
      </c>
      <c r="CH12" s="280">
        <f ca="1">IF($BZ12=$BZ14,$BU12-$BS14,0)</f>
        <v>0</v>
      </c>
      <c r="CI12" s="280">
        <f ca="1">IF($BZ12=$BZ15,$BV12-$BS15,0)</f>
        <v>0</v>
      </c>
      <c r="CJ12" s="280">
        <f ca="1">SUM(CF12:CI12)</f>
        <v>0</v>
      </c>
      <c r="CK12" s="207"/>
      <c r="CL12" s="280"/>
      <c r="CM12" s="280">
        <f ca="1">IF($BZ12=$BZ13,$BT16-$BS17,0)</f>
        <v>0</v>
      </c>
      <c r="CN12" s="280">
        <f ca="1">IF($BZ12=$BZ14,$BU16-$BS18,0)</f>
        <v>0</v>
      </c>
      <c r="CO12" s="280">
        <f ca="1">IF($BZ12=$BZ15,$BV16-$BS19,0)</f>
        <v>0</v>
      </c>
      <c r="CP12" s="280">
        <f ca="1">SUM(CL12:CO12)</f>
        <v>0</v>
      </c>
      <c r="CQ12" s="280"/>
      <c r="CR12" s="280">
        <f ca="1">IF($BZ12=$BZ13,$BT16,0)</f>
        <v>0</v>
      </c>
      <c r="CS12" s="280">
        <f ca="1">IF($BZ12=$BZ14,$BU16,0)</f>
        <v>0</v>
      </c>
      <c r="CT12" s="280">
        <f ca="1">IF($BZ12=$BZ15,$BV16,0)</f>
        <v>0</v>
      </c>
      <c r="CU12" s="280">
        <f ca="1">SUM(CQ12:CT12)</f>
        <v>0</v>
      </c>
      <c r="CV12" s="207">
        <v>4</v>
      </c>
    </row>
    <row r="13" spans="1:100">
      <c r="A13" s="16">
        <v>3</v>
      </c>
      <c r="B13" s="6">
        <f>VLOOKUP(A13,Spiele!$A$1:$L$116,2,FALSE)</f>
        <v>46185.625</v>
      </c>
      <c r="C13" s="6" t="str">
        <f>VLOOKUP(A13,Spiele!$A$1:$L$116,9,FALSE)</f>
        <v>Toronto</v>
      </c>
      <c r="D13" s="56" t="str">
        <f>Y12</f>
        <v>Kanada</v>
      </c>
      <c r="E13" s="40" t="s">
        <v>24</v>
      </c>
      <c r="F13" s="56" t="str">
        <f>Y13</f>
        <v>Bosnien/Herzg.</v>
      </c>
      <c r="G13" s="53"/>
      <c r="H13" s="107">
        <f ca="1">IF($B$102&lt;&gt;"","",IF($B$101&lt;&gt;"",IF(Ergebnisse!H13="","",Ergebnisse!H13),IF($B$99="",2,INT(RAND()*5)+INT(RAND()*3)*INT(RAND()*2))))</f>
        <v>0</v>
      </c>
      <c r="I13" s="11" t="s">
        <v>25</v>
      </c>
      <c r="J13" s="107">
        <f ca="1">IF($B$102&lt;&gt;"","",IF($B$101&lt;&gt;"",IF(Ergebnisse!J13="","",Ergebnisse!J13),IF($B$99="",2,INT(RAND()*5)+INT(RAND()*3)*INT(RAND()*2))))</f>
        <v>0</v>
      </c>
      <c r="K13" s="7" t="str">
        <f t="shared" ref="K13:K58" ca="1" si="2">IF(OR(H13="",J13=""),"","ok")</f>
        <v>ok</v>
      </c>
      <c r="L13" s="1"/>
      <c r="M13" s="9" t="str">
        <f ca="1">VLOOKUP(2,$X$12:$AC$15,2,FALSE)</f>
        <v>Schweiz</v>
      </c>
      <c r="N13" s="2">
        <f ca="1">VLOOKUP(2,$X$12:$AC$15,3,FALSE)</f>
        <v>4</v>
      </c>
      <c r="O13" s="2">
        <f ca="1">VLOOKUP(2,$X$12:$AC$15,4,FALSE)</f>
        <v>6</v>
      </c>
      <c r="P13" s="2">
        <f ca="1">VLOOKUP(2,$X$12:$AC$15,5,FALSE)</f>
        <v>8</v>
      </c>
      <c r="Q13" s="2">
        <f ca="1">VLOOKUP(2,$X$12:$AC$15,6,FALSE)</f>
        <v>-2</v>
      </c>
      <c r="S13" s="61">
        <f ca="1">IF(J13="",0,IF(K13=$B$98,IF(H13&lt;J13,3,IF(H13=J13,1,0)),0))</f>
        <v>1</v>
      </c>
      <c r="T13" s="60"/>
      <c r="U13" s="61">
        <f ca="1">IF(H18="",0,IF(K17=$B$98,IF(H18&gt;J18,3,IF(H18=J18,1,0)),0))</f>
        <v>0</v>
      </c>
      <c r="V13" s="61">
        <f ca="1">IF(J16="",0,IF(K16=$B$98,IF(J16&gt;H16,3,IF(J16=H16,1,0)),0))</f>
        <v>1</v>
      </c>
      <c r="W13" s="62"/>
      <c r="X13" s="62">
        <f ca="1">RANK(AD13,$AD$12:$AD$15)</f>
        <v>4</v>
      </c>
      <c r="Y13" s="40" t="s">
        <v>208</v>
      </c>
      <c r="Z13" s="62">
        <f ca="1">SUM(S13:V13)</f>
        <v>2</v>
      </c>
      <c r="AA13" s="62">
        <f ca="1">SUM(S17:V17)</f>
        <v>4</v>
      </c>
      <c r="AB13" s="62">
        <f ca="1">SUM(T16:T19)</f>
        <v>5</v>
      </c>
      <c r="AC13" s="62">
        <f ca="1">AA13-AB13</f>
        <v>-1</v>
      </c>
      <c r="AD13" s="24">
        <f ca="1">IF(P$18="",(((((((AE13*10+Z13)*100+AC13)*100+AA13)*10+AK13)*10+AJ13)*100+AP13)*100+AU13)*10+AV13,(((((((AE13*10+Z13)*10+AK13)*10+AJ13)*100+AP13)*100+AU13)*100+AC13)*100+AA13)*10+AV13)</f>
        <v>199999999043</v>
      </c>
      <c r="AE13" s="203"/>
      <c r="AF13" s="279">
        <f ca="1">IF($Z13=$Z12,$S13-$T12,0)</f>
        <v>0</v>
      </c>
      <c r="AG13" s="279"/>
      <c r="AH13" s="279">
        <f ca="1">IF($Z13=$Z14,$U13-$T14,0)</f>
        <v>0</v>
      </c>
      <c r="AI13" s="279">
        <f ca="1">IF($Z13=$Z15,$V13-$T15,0)</f>
        <v>0</v>
      </c>
      <c r="AJ13" s="279">
        <f ca="1">SUM(AF13:AI13)</f>
        <v>0</v>
      </c>
      <c r="AK13" s="203"/>
      <c r="AL13" s="279">
        <f ca="1">IF($Z13=$Z12,$S17-$T16,0)</f>
        <v>0</v>
      </c>
      <c r="AM13" s="279"/>
      <c r="AN13" s="279">
        <f ca="1">IF($Z13=$Z14,$U17-$T18,0)</f>
        <v>0</v>
      </c>
      <c r="AO13" s="279">
        <f ca="1">IF($Z13=$Z15,$V17-$T19,0)</f>
        <v>0</v>
      </c>
      <c r="AP13" s="279">
        <f ca="1">SUM(AL13:AO13)</f>
        <v>0</v>
      </c>
      <c r="AQ13" s="279">
        <f ca="1">IF($Z13=$Z12,$S17,0)</f>
        <v>0</v>
      </c>
      <c r="AR13" s="279"/>
      <c r="AS13" s="279">
        <f ca="1">IF($Z13=$Z14,$U17,0)</f>
        <v>0</v>
      </c>
      <c r="AT13" s="279">
        <f ca="1">IF($Z13=$Z15,$V17,0)</f>
        <v>0</v>
      </c>
      <c r="AU13" s="279">
        <f ca="1">SUM(AQ13:AT13)</f>
        <v>0</v>
      </c>
      <c r="AV13" s="203">
        <v>3</v>
      </c>
      <c r="AW13" s="2"/>
      <c r="AX13" s="2"/>
      <c r="AY13" s="2"/>
      <c r="AZ13" s="2"/>
      <c r="BA13" s="2">
        <v>10</v>
      </c>
      <c r="BB13" s="6">
        <f>VLOOKUP(BA13,Spiele!$A$1:$L$116,2,FALSE)</f>
        <v>46187.5</v>
      </c>
      <c r="BC13" s="6" t="str">
        <f>VLOOKUP(BA13,Spiele!$A$1:$L$116,9,FALSE)</f>
        <v>Houston</v>
      </c>
      <c r="BD13" s="56" t="str">
        <f>BY12</f>
        <v>Deutschland</v>
      </c>
      <c r="BE13" s="40" t="s">
        <v>24</v>
      </c>
      <c r="BF13" s="56" t="str">
        <f>BY13</f>
        <v>Curaçao</v>
      </c>
      <c r="BG13" s="53"/>
      <c r="BH13" s="107">
        <f ca="1">IF($B$102&lt;&gt;"","",IF($B$101&lt;&gt;"",IF(Ergebnisse!BH13="","",Ergebnisse!BH13),IF($B$99="",2,INT(RAND()*5)+INT(RAND()*3)*INT(RAND()*2))))</f>
        <v>2</v>
      </c>
      <c r="BI13" s="11" t="s">
        <v>25</v>
      </c>
      <c r="BJ13" s="107">
        <f ca="1">IF($B$102&lt;&gt;"","",IF($B$101&lt;&gt;"",IF(Ergebnisse!BJ13="","",Ergebnisse!BJ13),IF($B$99="",2,INT(RAND()*5)+INT(RAND()*3)*INT(RAND()*2))))</f>
        <v>6</v>
      </c>
      <c r="BK13" s="7" t="str">
        <f t="shared" ref="BK13:BK58" ca="1" si="3">IF(OR(BH13="",BJ13=""),"","ok")</f>
        <v>ok</v>
      </c>
      <c r="BL13" s="1"/>
      <c r="BM13" s="9" t="str">
        <f ca="1">VLOOKUP(2,$BX$12:$CC$15,2,FALSE)</f>
        <v>Elfenbeinküste</v>
      </c>
      <c r="BN13" s="2">
        <f ca="1">VLOOKUP(2,$BX$12:$CC$15,3,FALSE)</f>
        <v>6</v>
      </c>
      <c r="BO13" s="2">
        <f ca="1">VLOOKUP(2,$BX$12:$CC$15,4,FALSE)</f>
        <v>7</v>
      </c>
      <c r="BP13" s="2">
        <f ca="1">VLOOKUP(2,$BX$12:$CC$15,5,FALSE)</f>
        <v>7</v>
      </c>
      <c r="BQ13" s="2">
        <f ca="1">VLOOKUP(2,$BX$12:$CC$15,6,FALSE)</f>
        <v>0</v>
      </c>
      <c r="BS13" s="61">
        <f ca="1">IF(BJ13="",0,IF(BK13=$B$98,IF(BH13&lt;BJ13,3,IF(BH13=BJ13,1,0)),0))</f>
        <v>3</v>
      </c>
      <c r="BT13" s="60"/>
      <c r="BU13" s="61">
        <f ca="1">IF(BH18="",0,IF(BK17=$B$98,IF(BH18&gt;BJ18,3,IF(BH18=BJ18,1,0)),0))</f>
        <v>0</v>
      </c>
      <c r="BV13" s="61">
        <f ca="1">IF(BJ16="",0,IF(BK16=$B$98,IF(BJ16&gt;BH16,3,IF(BJ16=BH16,1,0)),0))</f>
        <v>0</v>
      </c>
      <c r="BW13" s="1"/>
      <c r="BX13" s="1">
        <f ca="1">RANK(CD13,$CD$12:$CD$15)</f>
        <v>3</v>
      </c>
      <c r="BY13" s="40" t="s">
        <v>209</v>
      </c>
      <c r="BZ13" s="1">
        <f ca="1">SUM(BS13:BV13)</f>
        <v>3</v>
      </c>
      <c r="CA13" s="1">
        <f ca="1">SUM(BS17:BV17)</f>
        <v>11</v>
      </c>
      <c r="CB13" s="1">
        <f ca="1">SUM(BT16:BT19)</f>
        <v>10</v>
      </c>
      <c r="CC13" s="1">
        <f ca="1">CA13-CB13</f>
        <v>1</v>
      </c>
      <c r="CD13" s="24">
        <f ca="1">IF(BP$18="",(((((((CE13*10+BZ13)*100+CC13)*100+CA13)*10+CK13)*10+CJ13)*100+CP13)*100+CU13)*10+CV13,(((((((CE13*10+BZ13)*10+CK13)*10+CJ13)*100+CP13)*100+CU13)*100+CC13)*100+CA13)*10+CV13)</f>
        <v>300000001113</v>
      </c>
      <c r="CE13" s="207"/>
      <c r="CF13" s="280">
        <f ca="1">IF($BZ13=$BZ12,$BS13-$BT12,0)</f>
        <v>0</v>
      </c>
      <c r="CG13" s="280"/>
      <c r="CH13" s="280">
        <f ca="1">IF($BZ13=$BZ14,$BU13-$BT14,0)</f>
        <v>0</v>
      </c>
      <c r="CI13" s="280">
        <f ca="1">IF($BZ13=$BZ15,$BV13-$BT15,0)</f>
        <v>0</v>
      </c>
      <c r="CJ13" s="280">
        <f ca="1">SUM(CF13:CI13)</f>
        <v>0</v>
      </c>
      <c r="CK13" s="207"/>
      <c r="CL13" s="280">
        <f ca="1">IF($BZ13=$BZ12,$BS17-$BT16,0)</f>
        <v>0</v>
      </c>
      <c r="CM13" s="280"/>
      <c r="CN13" s="280">
        <f ca="1">IF($BZ13=$BZ14,$BU17-$BT18,0)</f>
        <v>0</v>
      </c>
      <c r="CO13" s="280">
        <f ca="1">IF($BZ13=$BZ15,$BV17-$BT19,0)</f>
        <v>0</v>
      </c>
      <c r="CP13" s="280">
        <f ca="1">SUM(CL13:CO13)</f>
        <v>0</v>
      </c>
      <c r="CQ13" s="280">
        <f ca="1">IF($BZ13=$BZ12,$BS17,0)</f>
        <v>0</v>
      </c>
      <c r="CR13" s="280"/>
      <c r="CS13" s="280">
        <f ca="1">IF($BZ13=$BZ14,$BU17,0)</f>
        <v>0</v>
      </c>
      <c r="CT13" s="280">
        <f ca="1">IF($BZ13=$BZ15,$BV17,0)</f>
        <v>0</v>
      </c>
      <c r="CU13" s="280">
        <f ca="1">SUM(CQ13:CT13)</f>
        <v>0</v>
      </c>
      <c r="CV13" s="207">
        <v>3</v>
      </c>
    </row>
    <row r="14" spans="1:100">
      <c r="A14" s="2">
        <v>8</v>
      </c>
      <c r="B14" s="6">
        <f>VLOOKUP(A14,Spiele!$A$1:$L$116,2,FALSE)</f>
        <v>46186.5</v>
      </c>
      <c r="C14" s="6" t="str">
        <f>VLOOKUP(A14,Spiele!$A$1:$L$116,9,FALSE)</f>
        <v>San Francisco</v>
      </c>
      <c r="D14" s="56" t="str">
        <f>Y14</f>
        <v>Katar</v>
      </c>
      <c r="E14" s="40" t="s">
        <v>24</v>
      </c>
      <c r="F14" s="56" t="str">
        <f>Y15</f>
        <v>Schweiz</v>
      </c>
      <c r="G14" s="53"/>
      <c r="H14" s="107">
        <f ca="1">IF($B$102&lt;&gt;"","",IF($B$101&lt;&gt;"",IF(Ergebnisse!H14="","",Ergebnisse!H14),IF($B$99="",2,INT(RAND()*5)+INT(RAND()*3)*INT(RAND()*2))))</f>
        <v>0</v>
      </c>
      <c r="I14" s="11" t="s">
        <v>25</v>
      </c>
      <c r="J14" s="107">
        <f ca="1">IF($B$102&lt;&gt;"","",IF($B$101&lt;&gt;"",IF(Ergebnisse!J14="","",Ergebnisse!J14),IF($B$99="",2,INT(RAND()*5)+INT(RAND()*3)*INT(RAND()*2))))</f>
        <v>4</v>
      </c>
      <c r="K14" s="7" t="str">
        <f t="shared" ca="1" si="2"/>
        <v>ok</v>
      </c>
      <c r="L14" s="1"/>
      <c r="M14" s="9" t="str">
        <f ca="1">VLOOKUP(3,$X$12:$AC$15,2,FALSE)</f>
        <v>Katar</v>
      </c>
      <c r="N14" s="2">
        <f ca="1">VLOOKUP(3,$X$12:$AC$15,3,FALSE)</f>
        <v>3</v>
      </c>
      <c r="O14" s="2">
        <f ca="1">VLOOKUP(3,$X$12:$AC$15,4,FALSE)</f>
        <v>5</v>
      </c>
      <c r="P14" s="2">
        <f ca="1">VLOOKUP(3,$X$12:$AC$15,5,FALSE)</f>
        <v>12</v>
      </c>
      <c r="Q14" s="2">
        <f ca="1">VLOOKUP(3,$X$12:$AC$15,6,FALSE)</f>
        <v>-7</v>
      </c>
      <c r="S14" s="61">
        <f ca="1">IF(J15="",0,IF(K15=$B$98,IF(H15&lt;J15,3,IF(H15=J15,1,0)),0))</f>
        <v>0</v>
      </c>
      <c r="T14" s="61">
        <f ca="1">IF(J18="",0,IF(K17=$B$98,IF(H18&lt;J18,3,IF(H18=J18,1,0)),0))</f>
        <v>3</v>
      </c>
      <c r="U14" s="60"/>
      <c r="V14" s="61">
        <f ca="1">IF(H14="",0,IF(K14=$B$98,IF(H14&gt;J14,3,IF(H14=J14,1,0)),0))</f>
        <v>0</v>
      </c>
      <c r="W14" s="62"/>
      <c r="X14" s="62">
        <f ca="1">RANK(AD14,$AD$12:$AD$15)</f>
        <v>3</v>
      </c>
      <c r="Y14" s="40" t="s">
        <v>210</v>
      </c>
      <c r="Z14" s="62">
        <f ca="1">SUM(S14:V14)</f>
        <v>3</v>
      </c>
      <c r="AA14" s="62">
        <f ca="1">SUM(S18:V18)</f>
        <v>5</v>
      </c>
      <c r="AB14" s="62">
        <f ca="1">SUM(U16:U19)</f>
        <v>12</v>
      </c>
      <c r="AC14" s="62">
        <f ca="1">AA14-AB14</f>
        <v>-7</v>
      </c>
      <c r="AD14" s="24">
        <f ca="1">IF(P$18="",(((((((AE14*10+Z14)*100+AC14)*100+AA14)*10+AK14)*10+AJ14)*100+AP14)*100+AU14)*10+AV14,(((((((AE14*10+Z14)*10+AK14)*10+AJ14)*100+AP14)*100+AU14)*100+AC14)*100+AA14)*10+AV14)</f>
        <v>299999993052</v>
      </c>
      <c r="AE14" s="203"/>
      <c r="AF14" s="279">
        <f ca="1">IF($Z14=$Z12,$S14-$U12,0)</f>
        <v>0</v>
      </c>
      <c r="AG14" s="279">
        <f ca="1">IF($Z14=$Z13,$T14-$U13,0)</f>
        <v>0</v>
      </c>
      <c r="AH14" s="279"/>
      <c r="AI14" s="279">
        <f ca="1">IF($Z14=$Z15,$V14-$U15,0)</f>
        <v>0</v>
      </c>
      <c r="AJ14" s="279">
        <f ca="1">SUM(AF14:AI14)</f>
        <v>0</v>
      </c>
      <c r="AK14" s="203"/>
      <c r="AL14" s="279">
        <f ca="1">IF($Z14=$Z12,$S18-$U16,0)</f>
        <v>0</v>
      </c>
      <c r="AM14" s="279">
        <f ca="1">IF($Z14=$Z13,$T18-$U17,0)</f>
        <v>0</v>
      </c>
      <c r="AN14" s="279"/>
      <c r="AO14" s="279">
        <f ca="1">IF($Z14=$Z15,$V18-$U19,0)</f>
        <v>0</v>
      </c>
      <c r="AP14" s="279">
        <f ca="1">SUM(AL14:AO14)</f>
        <v>0</v>
      </c>
      <c r="AQ14" s="279">
        <f ca="1">IF($Z14=$Z12,$S18,0)</f>
        <v>0</v>
      </c>
      <c r="AR14" s="279">
        <f ca="1">IF($Z14=$Z13,$T18,0)</f>
        <v>0</v>
      </c>
      <c r="AS14" s="279"/>
      <c r="AT14" s="279">
        <f ca="1">IF($Z14=$Z15,$V18,0)</f>
        <v>0</v>
      </c>
      <c r="AU14" s="279">
        <f ca="1">SUM(AQ14:AT14)</f>
        <v>0</v>
      </c>
      <c r="AV14" s="203">
        <v>2</v>
      </c>
      <c r="AW14" s="2"/>
      <c r="AX14" s="2"/>
      <c r="AY14" s="2"/>
      <c r="AZ14" s="2"/>
      <c r="BA14" s="2">
        <v>9</v>
      </c>
      <c r="BB14" s="6">
        <f>VLOOKUP(BA14,Spiele!$A$1:$L$116,2,FALSE)</f>
        <v>46187.791666666664</v>
      </c>
      <c r="BC14" s="6" t="str">
        <f>VLOOKUP(BA14,Spiele!$A$1:$L$116,9,FALSE)</f>
        <v>Philadelphia</v>
      </c>
      <c r="BD14" s="56" t="str">
        <f>BY14</f>
        <v>Elfenbeinküste</v>
      </c>
      <c r="BE14" s="40" t="s">
        <v>24</v>
      </c>
      <c r="BF14" s="56" t="str">
        <f>BY15</f>
        <v>Ecuador</v>
      </c>
      <c r="BG14" s="53"/>
      <c r="BH14" s="107">
        <f ca="1">IF($B$102&lt;&gt;"","",IF($B$101&lt;&gt;"",IF(Ergebnisse!BH14="","",Ergebnisse!BH14),IF($B$99="",2,INT(RAND()*5)+INT(RAND()*3)*INT(RAND()*2))))</f>
        <v>1</v>
      </c>
      <c r="BI14" s="11" t="s">
        <v>25</v>
      </c>
      <c r="BJ14" s="107">
        <f ca="1">IF($B$102&lt;&gt;"","",IF($B$101&lt;&gt;"",IF(Ergebnisse!BJ14="","",Ergebnisse!BJ14),IF($B$99="",2,INT(RAND()*5)+INT(RAND()*3)*INT(RAND()*2))))</f>
        <v>3</v>
      </c>
      <c r="BK14" s="7" t="str">
        <f t="shared" ca="1" si="3"/>
        <v>ok</v>
      </c>
      <c r="BL14" s="1"/>
      <c r="BM14" s="9" t="str">
        <f ca="1">VLOOKUP(3,$BX$12:$CC$15,2,FALSE)</f>
        <v>Curaçao</v>
      </c>
      <c r="BN14" s="2">
        <f ca="1">VLOOKUP(3,$BX$12:$CC$15,3,FALSE)</f>
        <v>3</v>
      </c>
      <c r="BO14" s="2">
        <f ca="1">VLOOKUP(3,$BX$12:$CC$15,4,FALSE)</f>
        <v>11</v>
      </c>
      <c r="BP14" s="2">
        <f ca="1">VLOOKUP(3,$BX$12:$CC$15,5,FALSE)</f>
        <v>10</v>
      </c>
      <c r="BQ14" s="2">
        <f ca="1">VLOOKUP(3,$BX$12:$CC$15,6,FALSE)</f>
        <v>1</v>
      </c>
      <c r="BS14" s="61">
        <f ca="1">IF(BJ15="",0,IF(BK15=$B$98,IF(BH15&lt;BJ15,3,IF(BH15=BJ15,1,0)),0))</f>
        <v>3</v>
      </c>
      <c r="BT14" s="61">
        <f ca="1">IF(BJ18="",0,IF(BK17=$B$98,IF(BH18&lt;BJ18,3,IF(BH18=BJ18,1,0)),0))</f>
        <v>3</v>
      </c>
      <c r="BU14" s="60"/>
      <c r="BV14" s="61">
        <f ca="1">IF(BH14="",0,IF(BK14=$B$98,IF(BH14&gt;BJ14,3,IF(BH14=BJ14,1,0)),0))</f>
        <v>0</v>
      </c>
      <c r="BW14" s="1"/>
      <c r="BX14" s="1">
        <f ca="1">RANK(CD14,$CD$12:$CD$15)</f>
        <v>2</v>
      </c>
      <c r="BY14" s="40" t="s">
        <v>211</v>
      </c>
      <c r="BZ14" s="1">
        <f ca="1">SUM(BS14:BV14)</f>
        <v>6</v>
      </c>
      <c r="CA14" s="1">
        <f ca="1">SUM(BS18:BV18)</f>
        <v>7</v>
      </c>
      <c r="CB14" s="1">
        <f ca="1">SUM(BU16:BU19)</f>
        <v>7</v>
      </c>
      <c r="CC14" s="1">
        <f ca="1">CA14-CB14</f>
        <v>0</v>
      </c>
      <c r="CD14" s="24">
        <f ca="1">IF(BP$18="",(((((((CE14*10+BZ14)*100+CC14)*100+CA14)*10+CK14)*10+CJ14)*100+CP14)*100+CU14)*10+CV14,(((((((CE14*10+BZ14)*10+CK14)*10+CJ14)*100+CP14)*100+CU14)*100+CC14)*100+CA14)*10+CV14)</f>
        <v>600000000072</v>
      </c>
      <c r="CE14" s="207"/>
      <c r="CF14" s="280">
        <f ca="1">IF($BZ14=$BZ12,$BS14-$BU12,0)</f>
        <v>0</v>
      </c>
      <c r="CG14" s="280">
        <f ca="1">IF($BZ14=$BZ13,$BT14-$BU13,0)</f>
        <v>0</v>
      </c>
      <c r="CH14" s="280"/>
      <c r="CI14" s="280">
        <f ca="1">IF($BZ14=$BZ15,$BV14-$BU15,0)</f>
        <v>0</v>
      </c>
      <c r="CJ14" s="280">
        <f ca="1">SUM(CF14:CI14)</f>
        <v>0</v>
      </c>
      <c r="CK14" s="207"/>
      <c r="CL14" s="280">
        <f ca="1">IF($BZ14=$BZ12,$BS18-$BU16,0)</f>
        <v>0</v>
      </c>
      <c r="CM14" s="280">
        <f ca="1">IF($BZ14=$BZ13,$BT18-$BU17,0)</f>
        <v>0</v>
      </c>
      <c r="CN14" s="280"/>
      <c r="CO14" s="280">
        <f ca="1">IF($BZ14=$BZ15,$BV18-$BU19,0)</f>
        <v>0</v>
      </c>
      <c r="CP14" s="280">
        <f ca="1">SUM(CL14:CO14)</f>
        <v>0</v>
      </c>
      <c r="CQ14" s="280">
        <f ca="1">IF($BZ14=$BZ12,$BS18,0)</f>
        <v>0</v>
      </c>
      <c r="CR14" s="280">
        <f ca="1">IF($BZ14=$BZ13,$BT18,0)</f>
        <v>0</v>
      </c>
      <c r="CS14" s="280"/>
      <c r="CT14" s="280">
        <f ca="1">IF($BZ14=$BZ15,$BV18,0)</f>
        <v>0</v>
      </c>
      <c r="CU14" s="280">
        <f ca="1">SUM(CQ14:CT14)</f>
        <v>0</v>
      </c>
      <c r="CV14" s="207">
        <v>2</v>
      </c>
    </row>
    <row r="15" spans="1:100">
      <c r="A15" s="2">
        <v>27</v>
      </c>
      <c r="B15" s="6">
        <f>VLOOKUP(A15,Spiele!$A$1:$L$116,2,FALSE)</f>
        <v>46191.625</v>
      </c>
      <c r="C15" s="6" t="str">
        <f>VLOOKUP(A15,Spiele!$A$1:$L$116,9,FALSE)</f>
        <v>Vancouver</v>
      </c>
      <c r="D15" s="56" t="str">
        <f>Y12</f>
        <v>Kanada</v>
      </c>
      <c r="E15" s="40" t="s">
        <v>24</v>
      </c>
      <c r="F15" s="56" t="str">
        <f>Y14</f>
        <v>Katar</v>
      </c>
      <c r="G15" s="53"/>
      <c r="H15" s="107">
        <f ca="1">IF($B$102&lt;&gt;"","",IF($B$101&lt;&gt;"",IF(Ergebnisse!H15="","",Ergebnisse!H15),IF($B$99="",2,INT(RAND()*5)+INT(RAND()*3)*INT(RAND()*2))))</f>
        <v>6</v>
      </c>
      <c r="I15" s="11" t="s">
        <v>25</v>
      </c>
      <c r="J15" s="107">
        <f ca="1">IF($B$102&lt;&gt;"","",IF($B$101&lt;&gt;"",IF(Ergebnisse!J15="","",Ergebnisse!J15),IF($B$99="",2,INT(RAND()*5)+INT(RAND()*3)*INT(RAND()*2))))</f>
        <v>2</v>
      </c>
      <c r="K15" s="7" t="str">
        <f t="shared" ca="1" si="2"/>
        <v>ok</v>
      </c>
      <c r="L15" s="1"/>
      <c r="M15" s="9" t="str">
        <f ca="1">VLOOKUP(4,$X$12:$AC$15,2,FALSE)</f>
        <v>Bosnien/Herzg.</v>
      </c>
      <c r="N15" s="2">
        <f ca="1">VLOOKUP(4,$X$12:$AC$15,3,FALSE)</f>
        <v>2</v>
      </c>
      <c r="O15" s="2">
        <f ca="1">VLOOKUP(4,$X$12:$AC$15,4,FALSE)</f>
        <v>4</v>
      </c>
      <c r="P15" s="2">
        <f ca="1">VLOOKUP(4,$X$12:$AC$15,5,FALSE)</f>
        <v>5</v>
      </c>
      <c r="Q15" s="2">
        <f ca="1">VLOOKUP(4,$X$12:$AC$15,6,FALSE)</f>
        <v>-1</v>
      </c>
      <c r="S15" s="61">
        <f ca="1">IF(H17="",0,IF(K18=$B$98,IF(H17&gt;J17,3,IF(H17=J17,1,0)),0))</f>
        <v>0</v>
      </c>
      <c r="T15" s="61">
        <f ca="1">IF(H16="",0,IF(K16=$B$98,IF(J16&lt;H16,3,IF(J16=H16,1,0)),0))</f>
        <v>1</v>
      </c>
      <c r="U15" s="61">
        <f ca="1">IF(J14="",0,IF(K14=$B$98,IF(H14&lt;J14,3,IF(H14=J14,1,0)),0))</f>
        <v>3</v>
      </c>
      <c r="V15" s="60"/>
      <c r="W15" s="62"/>
      <c r="X15" s="62">
        <f ca="1">RANK(AD15,$AD$12:$AD$15)</f>
        <v>2</v>
      </c>
      <c r="Y15" s="40" t="s">
        <v>68</v>
      </c>
      <c r="Z15" s="62">
        <f ca="1">SUM(S15:V15)</f>
        <v>4</v>
      </c>
      <c r="AA15" s="62">
        <f ca="1">SUM(S19:V19)</f>
        <v>6</v>
      </c>
      <c r="AB15" s="62">
        <f ca="1">SUM(V16:V19)</f>
        <v>8</v>
      </c>
      <c r="AC15" s="62">
        <f ca="1">AA15-AB15</f>
        <v>-2</v>
      </c>
      <c r="AD15" s="24">
        <f ca="1">IF(P$18="",(((((((AE15*10+Z15)*100+AC15)*100+AA15)*10+AK15)*10+AJ15)*100+AP15)*100+AU15)*10+AV15,(((((((AE15*10+Z15)*10+AK15)*10+AJ15)*100+AP15)*100+AU15)*100+AC15)*100+AA15)*10+AV15)</f>
        <v>399999998061</v>
      </c>
      <c r="AE15" s="203"/>
      <c r="AF15" s="279">
        <f ca="1">IF($Z15=$Z12,$S15-$V12,0)</f>
        <v>0</v>
      </c>
      <c r="AG15" s="279">
        <f ca="1">IF($Z15=$Z13,$T15-$V13,0)</f>
        <v>0</v>
      </c>
      <c r="AH15" s="279">
        <f ca="1">IF($Z15=$Z14,$U15-$V14,0)</f>
        <v>0</v>
      </c>
      <c r="AI15" s="279"/>
      <c r="AJ15" s="279">
        <f ca="1">SUM(AF15:AI15)</f>
        <v>0</v>
      </c>
      <c r="AK15" s="203"/>
      <c r="AL15" s="279">
        <f ca="1">IF($Z15=$Z12,$S19-$V16,0)</f>
        <v>0</v>
      </c>
      <c r="AM15" s="279">
        <f ca="1">IF($Z15=$Z13,$T19-$V17,0)</f>
        <v>0</v>
      </c>
      <c r="AN15" s="279">
        <f ca="1">IF($Z15=$Z14,$U19-$V18,0)</f>
        <v>0</v>
      </c>
      <c r="AO15" s="279"/>
      <c r="AP15" s="279">
        <f ca="1">SUM(AL15:AO15)</f>
        <v>0</v>
      </c>
      <c r="AQ15" s="279">
        <f ca="1">IF($Z15=$Z12,$S19,0)</f>
        <v>0</v>
      </c>
      <c r="AR15" s="279">
        <f ca="1">IF($Z15=$Z13,$T19,0)</f>
        <v>0</v>
      </c>
      <c r="AS15" s="279">
        <f ca="1">IF($Z15=$Z14,$U19,0)</f>
        <v>0</v>
      </c>
      <c r="AT15" s="279"/>
      <c r="AU15" s="279">
        <f ca="1">SUM(AQ15:AT15)</f>
        <v>0</v>
      </c>
      <c r="AV15" s="203">
        <v>1</v>
      </c>
      <c r="AW15" s="2"/>
      <c r="AX15" s="2"/>
      <c r="AY15" s="2"/>
      <c r="AZ15" s="2"/>
      <c r="BA15" s="2">
        <v>33</v>
      </c>
      <c r="BB15" s="6">
        <f>VLOOKUP(BA15,Spiele!$A$1:$L$116,2,FALSE)</f>
        <v>46193.666666666664</v>
      </c>
      <c r="BC15" s="6" t="str">
        <f>VLOOKUP(BA15,Spiele!$A$1:$L$116,9,FALSE)</f>
        <v>Toronto</v>
      </c>
      <c r="BD15" s="56" t="str">
        <f>BY12</f>
        <v>Deutschland</v>
      </c>
      <c r="BE15" s="40" t="s">
        <v>24</v>
      </c>
      <c r="BF15" s="56" t="str">
        <f>BY14</f>
        <v>Elfenbeinküste</v>
      </c>
      <c r="BG15" s="53"/>
      <c r="BH15" s="107">
        <f ca="1">IF($B$102&lt;&gt;"","",IF($B$101&lt;&gt;"",IF(Ergebnisse!BH15="","",Ergebnisse!BH15),IF($B$99="",2,INT(RAND()*5)+INT(RAND()*3)*INT(RAND()*2))))</f>
        <v>2</v>
      </c>
      <c r="BI15" s="11" t="s">
        <v>25</v>
      </c>
      <c r="BJ15" s="107">
        <f ca="1">IF($B$102&lt;&gt;"","",IF($B$101&lt;&gt;"",IF(Ergebnisse!BJ15="","",Ergebnisse!BJ15),IF($B$99="",2,INT(RAND()*5)+INT(RAND()*3)*INT(RAND()*2))))</f>
        <v>3</v>
      </c>
      <c r="BK15" s="7" t="str">
        <f t="shared" ca="1" si="3"/>
        <v>ok</v>
      </c>
      <c r="BL15" s="1"/>
      <c r="BM15" s="9" t="str">
        <f ca="1">VLOOKUP(4,$BX$12:CC$15,2,FALSE)</f>
        <v>Deutschland</v>
      </c>
      <c r="BN15" s="2">
        <f ca="1">VLOOKUP(4,$BX$12:$CC$15,3,FALSE)</f>
        <v>0</v>
      </c>
      <c r="BO15" s="2">
        <f ca="1">VLOOKUP(4,$BX$12:$CC$15,4,FALSE)</f>
        <v>7</v>
      </c>
      <c r="BP15" s="2">
        <f ca="1">VLOOKUP(4,$BX$12:$CC$15,5,FALSE)</f>
        <v>13</v>
      </c>
      <c r="BQ15" s="2">
        <f ca="1">VLOOKUP(4,$BX$12:$CC$15,6,FALSE)</f>
        <v>-6</v>
      </c>
      <c r="BS15" s="61">
        <f ca="1">IF(BH17="",0,IF(BK18=$B$98,IF(BH17&gt;BJ17,3,IF(BH17=BJ17,1,0)),0))</f>
        <v>3</v>
      </c>
      <c r="BT15" s="61">
        <f ca="1">IF(BH16="",0,IF(BK16=$B$98,IF(BJ16&lt;BH16,3,IF(BJ16=BH16,1,0)),0))</f>
        <v>3</v>
      </c>
      <c r="BU15" s="61">
        <f ca="1">IF(BJ14="",0,IF(BK14=$B$98,IF(BH14&lt;BJ14,3,IF(BH14=BJ14,1,0)),0))</f>
        <v>3</v>
      </c>
      <c r="BV15" s="60"/>
      <c r="BW15" s="1"/>
      <c r="BX15" s="1">
        <f ca="1">RANK(CD15,$CD$12:$CD$15)</f>
        <v>1</v>
      </c>
      <c r="BY15" s="40" t="s">
        <v>212</v>
      </c>
      <c r="BZ15" s="1">
        <f ca="1">SUM(BS15:BV15)</f>
        <v>9</v>
      </c>
      <c r="CA15" s="1">
        <f ca="1">SUM(BS19:BV19)</f>
        <v>12</v>
      </c>
      <c r="CB15" s="1">
        <f ca="1">SUM(BV16:BV19)</f>
        <v>7</v>
      </c>
      <c r="CC15" s="1">
        <f ca="1">CA15-CB15</f>
        <v>5</v>
      </c>
      <c r="CD15" s="24">
        <f ca="1">IF(BP$18="",(((((((CE15*10+BZ15)*100+CC15)*100+CA15)*10+CK15)*10+CJ15)*100+CP15)*100+CU15)*10+CV15,(((((((CE15*10+BZ15)*10+CK15)*10+CJ15)*100+CP15)*100+CU15)*100+CC15)*100+CA15)*10+CV15)</f>
        <v>900000005121</v>
      </c>
      <c r="CE15" s="207"/>
      <c r="CF15" s="280">
        <f ca="1">IF($BZ15=$BZ12,$BS15-$BV12,0)</f>
        <v>0</v>
      </c>
      <c r="CG15" s="280">
        <f ca="1">IF($BZ15=$BZ13,$BT15-$BV13,0)</f>
        <v>0</v>
      </c>
      <c r="CH15" s="280">
        <f ca="1">IF($BZ15=$BZ14,$BU15-$BV14,0)</f>
        <v>0</v>
      </c>
      <c r="CI15" s="280"/>
      <c r="CJ15" s="280">
        <f ca="1">SUM(CF15:CI15)</f>
        <v>0</v>
      </c>
      <c r="CK15" s="207"/>
      <c r="CL15" s="280">
        <f ca="1">IF($BZ15=$BZ12,$BS19-$BV16,0)</f>
        <v>0</v>
      </c>
      <c r="CM15" s="280">
        <f ca="1">IF($BZ15=$BZ13,$BT19-$BV17,0)</f>
        <v>0</v>
      </c>
      <c r="CN15" s="280">
        <f ca="1">IF($BZ15=$BZ14,$BU19-$BV18,0)</f>
        <v>0</v>
      </c>
      <c r="CO15" s="280"/>
      <c r="CP15" s="280">
        <f ca="1">SUM(CL15:CO15)</f>
        <v>0</v>
      </c>
      <c r="CQ15" s="280">
        <f ca="1">IF($BZ15=$BZ12,$BS19,0)</f>
        <v>0</v>
      </c>
      <c r="CR15" s="280">
        <f ca="1">IF($BZ15=$BZ13,$BT19,0)</f>
        <v>0</v>
      </c>
      <c r="CS15" s="280">
        <f ca="1">IF($BZ15=$BZ14,$BU19,0)</f>
        <v>0</v>
      </c>
      <c r="CT15" s="280"/>
      <c r="CU15" s="280">
        <f ca="1">SUM(CQ15:CT15)</f>
        <v>0</v>
      </c>
      <c r="CV15" s="207">
        <v>1</v>
      </c>
    </row>
    <row r="16" spans="1:100">
      <c r="A16" s="2">
        <v>26</v>
      </c>
      <c r="B16" s="6">
        <f>VLOOKUP(A16,Spiele!$A$1:$L$116,2,FALSE)</f>
        <v>46191.5</v>
      </c>
      <c r="C16" s="6" t="str">
        <f>VLOOKUP(A16,Spiele!$A$1:$L$116,9,FALSE)</f>
        <v>Los Angeles</v>
      </c>
      <c r="D16" s="56" t="str">
        <f>Y15</f>
        <v>Schweiz</v>
      </c>
      <c r="E16" s="40" t="s">
        <v>24</v>
      </c>
      <c r="F16" s="56" t="str">
        <f>Y13</f>
        <v>Bosnien/Herzg.</v>
      </c>
      <c r="G16" s="53"/>
      <c r="H16" s="107">
        <f ca="1">IF($B$102&lt;&gt;"","",IF($B$101&lt;&gt;"",IF(Ergebnisse!H16="","",Ergebnisse!H16),IF($B$99="",2,INT(RAND()*5)+INT(RAND()*3)*INT(RAND()*2))))</f>
        <v>2</v>
      </c>
      <c r="I16" s="11" t="s">
        <v>25</v>
      </c>
      <c r="J16" s="107">
        <f ca="1">IF($B$102&lt;&gt;"","",IF($B$101&lt;&gt;"",IF(Ergebnisse!J16="","",Ergebnisse!J16),IF($B$99="",2,INT(RAND()*5)+INT(RAND()*3)*INT(RAND()*2))))</f>
        <v>2</v>
      </c>
      <c r="K16" s="7" t="str">
        <f t="shared" ca="1" si="2"/>
        <v>ok</v>
      </c>
      <c r="L16" s="1"/>
      <c r="N16" s="1"/>
      <c r="O16" s="1"/>
      <c r="P16" s="1"/>
      <c r="S16" s="60"/>
      <c r="T16" s="61">
        <f ca="1">IF(K13=$B$98,H13,0)</f>
        <v>0</v>
      </c>
      <c r="U16" s="61">
        <f ca="1">IF(K15=$B$98,H15,0)</f>
        <v>6</v>
      </c>
      <c r="V16" s="61">
        <f ca="1">IF(K18=$B$98,J17,0)</f>
        <v>6</v>
      </c>
      <c r="W16" s="62"/>
      <c r="X16" s="62"/>
      <c r="Y16" s="62"/>
      <c r="Z16" s="62"/>
      <c r="AA16" s="62"/>
      <c r="AB16" s="62"/>
      <c r="AC16" s="62"/>
      <c r="AD16" s="66"/>
      <c r="AE16" s="204"/>
      <c r="AF16" s="279"/>
      <c r="AG16" s="279"/>
      <c r="AH16" s="279"/>
      <c r="AI16" s="279"/>
      <c r="AJ16" s="279"/>
      <c r="AK16" s="279"/>
      <c r="AL16" s="279"/>
      <c r="AM16" s="279"/>
      <c r="AN16" s="279"/>
      <c r="AO16" s="279"/>
      <c r="AP16" s="279"/>
      <c r="AQ16" s="279"/>
      <c r="AR16" s="279"/>
      <c r="AS16" s="279"/>
      <c r="AT16" s="279"/>
      <c r="AV16" s="279"/>
      <c r="AW16" s="2"/>
      <c r="AX16" s="2"/>
      <c r="AY16" s="2"/>
      <c r="AZ16" s="2"/>
      <c r="BA16" s="2">
        <v>34</v>
      </c>
      <c r="BB16" s="6">
        <f>VLOOKUP(BA16,Spiele!$A$1:$L$116,2,FALSE)</f>
        <v>46193.791666666672</v>
      </c>
      <c r="BC16" s="6" t="str">
        <f>VLOOKUP(BA16,Spiele!$A$1:$L$116,9,FALSE)</f>
        <v>Kansas City</v>
      </c>
      <c r="BD16" s="56" t="str">
        <f>BY15</f>
        <v>Ecuador</v>
      </c>
      <c r="BE16" s="40" t="s">
        <v>24</v>
      </c>
      <c r="BF16" s="56" t="str">
        <f>BY13</f>
        <v>Curaçao</v>
      </c>
      <c r="BG16" s="53"/>
      <c r="BH16" s="107">
        <f ca="1">IF($B$102&lt;&gt;"","",IF($B$101&lt;&gt;"",IF(Ergebnisse!BH16="","",Ergebnisse!BH16),IF($B$99="",2,INT(RAND()*5)+INT(RAND()*3)*INT(RAND()*2))))</f>
        <v>5</v>
      </c>
      <c r="BI16" s="11" t="s">
        <v>25</v>
      </c>
      <c r="BJ16" s="107">
        <f ca="1">IF($B$102&lt;&gt;"","",IF($B$101&lt;&gt;"",IF(Ergebnisse!BJ16="","",Ergebnisse!BJ16),IF($B$99="",2,INT(RAND()*5)+INT(RAND()*3)*INT(RAND()*2))))</f>
        <v>3</v>
      </c>
      <c r="BK16" s="7" t="str">
        <f t="shared" ca="1" si="3"/>
        <v>ok</v>
      </c>
      <c r="BL16" s="1"/>
      <c r="BN16" s="1"/>
      <c r="BO16" s="1"/>
      <c r="BP16" s="1"/>
      <c r="BS16" s="60"/>
      <c r="BT16" s="61">
        <f ca="1">IF(BK13=$B$98,BH13,0)</f>
        <v>2</v>
      </c>
      <c r="BU16" s="61">
        <f ca="1">IF(BK15=$B$98,BH15,0)</f>
        <v>2</v>
      </c>
      <c r="BV16" s="61">
        <f ca="1">IF(BK18=$B$98,BJ17,0)</f>
        <v>3</v>
      </c>
      <c r="BW16" s="1"/>
      <c r="BX16" s="1"/>
      <c r="BY16" s="62"/>
      <c r="BZ16" s="1"/>
      <c r="CA16" s="1"/>
      <c r="CB16" s="1"/>
      <c r="CC16" s="1"/>
      <c r="CD16" s="5"/>
      <c r="CE16" s="7"/>
      <c r="CF16" s="280"/>
      <c r="CG16" s="280"/>
      <c r="CH16" s="280"/>
      <c r="CI16" s="280"/>
      <c r="CJ16" s="280"/>
      <c r="CK16" s="280"/>
      <c r="CL16" s="280"/>
      <c r="CM16" s="280"/>
      <c r="CN16" s="280"/>
      <c r="CO16" s="280"/>
      <c r="CP16" s="280"/>
      <c r="CQ16" s="280"/>
      <c r="CR16" s="280"/>
      <c r="CS16" s="280"/>
      <c r="CT16" s="280"/>
      <c r="CV16" s="280"/>
    </row>
    <row r="17" spans="1:104">
      <c r="A17" s="2">
        <v>51</v>
      </c>
      <c r="B17" s="6">
        <f>VLOOKUP(A17,Spiele!$A$1:$L$116,2,FALSE)</f>
        <v>46197.5</v>
      </c>
      <c r="C17" s="6" t="str">
        <f>VLOOKUP(A17,Spiele!$A$1:$L$116,9,FALSE)</f>
        <v>Vancouver</v>
      </c>
      <c r="D17" s="56" t="str">
        <f>Y15</f>
        <v>Schweiz</v>
      </c>
      <c r="E17" s="40" t="s">
        <v>24</v>
      </c>
      <c r="F17" s="56" t="str">
        <f>Y12</f>
        <v>Kanada</v>
      </c>
      <c r="G17" s="55"/>
      <c r="H17" s="107">
        <f ca="1">IF($B$102&lt;&gt;"","",IF($B$101&lt;&gt;"",IF(Ergebnisse!H17="","",Ergebnisse!H17),IF($B$99="",2,INT(RAND()*5)+INT(RAND()*3)*INT(RAND()*2))))</f>
        <v>0</v>
      </c>
      <c r="I17" s="11" t="s">
        <v>25</v>
      </c>
      <c r="J17" s="107">
        <f ca="1">IF($B$102&lt;&gt;"","",IF($B$101&lt;&gt;"",IF(Ergebnisse!J17="","",Ergebnisse!J17),IF($B$99="",2,INT(RAND()*5)+INT(RAND()*3)*INT(RAND()*2))))</f>
        <v>6</v>
      </c>
      <c r="K17" s="7" t="str">
        <f t="shared" ca="1" si="2"/>
        <v>ok</v>
      </c>
      <c r="M17" s="37" t="str">
        <f ca="1">IF(N12&gt;0,M12,"")</f>
        <v>Kanada</v>
      </c>
      <c r="N17" s="2" t="s">
        <v>33</v>
      </c>
      <c r="P17" s="29"/>
      <c r="S17" s="61">
        <f ca="1">IF(K13=$B$98,J13,0)</f>
        <v>0</v>
      </c>
      <c r="T17" s="60"/>
      <c r="U17" s="61">
        <f ca="1">IF(K17=$B$98,H18,0)</f>
        <v>2</v>
      </c>
      <c r="V17" s="61">
        <f ca="1">IF(K16=$B$98,J16,0)</f>
        <v>2</v>
      </c>
      <c r="AD17" s="55" t="s">
        <v>140</v>
      </c>
      <c r="AE17" s="108"/>
      <c r="AF17" s="281"/>
      <c r="AG17" s="281"/>
      <c r="AH17" s="281"/>
      <c r="AI17" s="281"/>
      <c r="AJ17" s="281"/>
      <c r="AK17" s="281"/>
      <c r="AL17" s="281"/>
      <c r="AM17" s="281"/>
      <c r="AN17" s="281"/>
      <c r="AO17" s="281"/>
      <c r="AP17" s="281"/>
      <c r="AQ17" s="281"/>
      <c r="AR17" s="281"/>
      <c r="AS17" s="281"/>
      <c r="AT17" s="281"/>
      <c r="AV17" s="281"/>
      <c r="AW17" s="2"/>
      <c r="AX17" s="2"/>
      <c r="AY17" s="2"/>
      <c r="AZ17" s="2"/>
      <c r="BA17" s="2">
        <v>57</v>
      </c>
      <c r="BB17" s="6">
        <f>VLOOKUP(BA17,Spiele!$A$1:$L$116,2,FALSE)</f>
        <v>46198.75</v>
      </c>
      <c r="BC17" s="6" t="str">
        <f>VLOOKUP(BA17,Spiele!$A$1:$L$116,9,FALSE)</f>
        <v>Dallas</v>
      </c>
      <c r="BD17" s="56" t="str">
        <f>BY15</f>
        <v>Ecuador</v>
      </c>
      <c r="BE17" s="40" t="s">
        <v>24</v>
      </c>
      <c r="BF17" s="56" t="str">
        <f>BY12</f>
        <v>Deutschland</v>
      </c>
      <c r="BG17" s="55"/>
      <c r="BH17" s="107">
        <f ca="1">IF($B$102&lt;&gt;"","",IF($B$101&lt;&gt;"",IF(Ergebnisse!BH17="","",Ergebnisse!BH17),IF($B$99="",2,INT(RAND()*5)+INT(RAND()*3)*INT(RAND()*2))))</f>
        <v>4</v>
      </c>
      <c r="BI17" s="11" t="s">
        <v>25</v>
      </c>
      <c r="BJ17" s="107">
        <f ca="1">IF($B$102&lt;&gt;"","",IF($B$101&lt;&gt;"",IF(Ergebnisse!BJ17="","",Ergebnisse!BJ17),IF($B$99="",2,INT(RAND()*5)+INT(RAND()*3)*INT(RAND()*2))))</f>
        <v>3</v>
      </c>
      <c r="BK17" s="7" t="str">
        <f t="shared" ca="1" si="3"/>
        <v>ok</v>
      </c>
      <c r="BM17" s="73" t="str">
        <f ca="1">IF(BN12&gt;0,BM12,"")</f>
        <v>Ecuador</v>
      </c>
      <c r="BN17" s="2" t="s">
        <v>28</v>
      </c>
      <c r="BP17" s="29"/>
      <c r="BS17" s="61">
        <f ca="1">IF(BK13=$B$98,BJ13,0)</f>
        <v>6</v>
      </c>
      <c r="BT17" s="60"/>
      <c r="BU17" s="61">
        <f ca="1">IF(BK17=$B$98,BH18,0)</f>
        <v>2</v>
      </c>
      <c r="BV17" s="61">
        <f ca="1">IF(BK16=$B$98,BJ16,0)</f>
        <v>3</v>
      </c>
      <c r="CD17" s="2" t="s">
        <v>140</v>
      </c>
      <c r="CE17" s="8"/>
      <c r="CF17" s="282"/>
      <c r="CG17" s="282"/>
      <c r="CH17" s="282"/>
      <c r="CI17" s="282"/>
      <c r="CJ17" s="282"/>
      <c r="CK17" s="282"/>
      <c r="CL17" s="282"/>
      <c r="CM17" s="282"/>
      <c r="CN17" s="282"/>
      <c r="CO17" s="282"/>
      <c r="CP17" s="282"/>
      <c r="CQ17" s="282"/>
      <c r="CR17" s="282"/>
      <c r="CS17" s="282"/>
      <c r="CT17" s="282"/>
      <c r="CV17" s="282"/>
    </row>
    <row r="18" spans="1:104">
      <c r="A18" s="2">
        <v>52</v>
      </c>
      <c r="B18" s="6">
        <f>VLOOKUP(A18,Spiele!$A$1:$L$116,2,FALSE)</f>
        <v>46197.5</v>
      </c>
      <c r="C18" s="6" t="str">
        <f>VLOOKUP(A18,Spiele!$A$1:$L$116,9,FALSE)</f>
        <v>Seattle</v>
      </c>
      <c r="D18" s="56" t="str">
        <f>Y13</f>
        <v>Bosnien/Herzg.</v>
      </c>
      <c r="E18" s="40" t="s">
        <v>24</v>
      </c>
      <c r="F18" s="56" t="str">
        <f>Y14</f>
        <v>Katar</v>
      </c>
      <c r="G18" s="55"/>
      <c r="H18" s="107">
        <f ca="1">IF($B$102&lt;&gt;"","",IF($B$101&lt;&gt;"",IF(Ergebnisse!H18="","",Ergebnisse!H18),IF($B$99="",2,INT(RAND()*5)+INT(RAND()*3)*INT(RAND()*2))))</f>
        <v>2</v>
      </c>
      <c r="I18" s="11" t="s">
        <v>25</v>
      </c>
      <c r="J18" s="107">
        <f ca="1">IF($B$102&lt;&gt;"","",IF($B$101&lt;&gt;"",IF(Ergebnisse!J18="","",Ergebnisse!J18),IF($B$99="",2,INT(RAND()*5)+INT(RAND()*3)*INT(RAND()*2))))</f>
        <v>3</v>
      </c>
      <c r="K18" s="7" t="str">
        <f t="shared" ca="1" si="2"/>
        <v>ok</v>
      </c>
      <c r="M18" s="37" t="str">
        <f ca="1">IF(N13&gt;0,M13,"")</f>
        <v>Schweiz</v>
      </c>
      <c r="N18" s="2" t="s">
        <v>35</v>
      </c>
      <c r="O18" s="30"/>
      <c r="P18" s="205" t="s">
        <v>11</v>
      </c>
      <c r="S18" s="61">
        <f ca="1">IF(K15=$B$98,J15,0)</f>
        <v>2</v>
      </c>
      <c r="T18" s="61">
        <f ca="1">IF(K17=$B$98,J18,0)</f>
        <v>3</v>
      </c>
      <c r="U18" s="60"/>
      <c r="V18" s="61">
        <f ca="1">IF(K14=$B$98,H14,0)</f>
        <v>0</v>
      </c>
      <c r="AD18" s="55" t="s">
        <v>141</v>
      </c>
      <c r="AE18" s="108"/>
      <c r="AF18" s="281"/>
      <c r="AG18" s="281"/>
      <c r="AH18" s="281"/>
      <c r="AI18" s="281"/>
      <c r="AJ18" s="281"/>
      <c r="AK18" s="281"/>
      <c r="AL18" s="281"/>
      <c r="AM18" s="281"/>
      <c r="AN18" s="281"/>
      <c r="AO18" s="281"/>
      <c r="AP18" s="281"/>
      <c r="AQ18" s="281"/>
      <c r="AR18" s="281"/>
      <c r="AS18" s="281"/>
      <c r="AT18" s="281"/>
      <c r="AV18" s="281"/>
      <c r="AW18" s="2"/>
      <c r="AX18" s="2"/>
      <c r="AY18" s="2"/>
      <c r="AZ18" s="2"/>
      <c r="BA18" s="2">
        <v>58</v>
      </c>
      <c r="BB18" s="6">
        <f>VLOOKUP(BA18,Spiele!$A$1:$L$116,2,FALSE)</f>
        <v>46198.75</v>
      </c>
      <c r="BC18" s="6" t="str">
        <f>VLOOKUP(BA18,Spiele!$A$1:$L$116,9,FALSE)</f>
        <v>Kansas City</v>
      </c>
      <c r="BD18" s="56" t="str">
        <f>BY13</f>
        <v>Curaçao</v>
      </c>
      <c r="BE18" s="40" t="s">
        <v>24</v>
      </c>
      <c r="BF18" s="56" t="str">
        <f>BY14</f>
        <v>Elfenbeinküste</v>
      </c>
      <c r="BG18" s="55"/>
      <c r="BH18" s="107">
        <f ca="1">IF($B$102&lt;&gt;"","",IF($B$101&lt;&gt;"",IF(Ergebnisse!BH18="","",Ergebnisse!BH18),IF($B$99="",2,INT(RAND()*5)+INT(RAND()*3)*INT(RAND()*2))))</f>
        <v>2</v>
      </c>
      <c r="BI18" s="11" t="s">
        <v>25</v>
      </c>
      <c r="BJ18" s="107">
        <f ca="1">IF($B$102&lt;&gt;"","",IF($B$101&lt;&gt;"",IF(Ergebnisse!BJ18="","",Ergebnisse!BJ18),IF($B$99="",2,INT(RAND()*5)+INT(RAND()*3)*INT(RAND()*2))))</f>
        <v>3</v>
      </c>
      <c r="BK18" s="7" t="str">
        <f t="shared" ca="1" si="3"/>
        <v>ok</v>
      </c>
      <c r="BM18" s="73" t="str">
        <f ca="1">IF(BN13&gt;0,BM13,"")</f>
        <v>Elfenbeinküste</v>
      </c>
      <c r="BN18" s="2" t="s">
        <v>30</v>
      </c>
      <c r="BO18" s="30"/>
      <c r="BP18" s="205" t="s">
        <v>11</v>
      </c>
      <c r="BS18" s="61">
        <f ca="1">IF(BK15=$B$98,BJ15,0)</f>
        <v>3</v>
      </c>
      <c r="BT18" s="61">
        <f ca="1">IF(BK17=$B$98,BJ18,0)</f>
        <v>3</v>
      </c>
      <c r="BU18" s="60"/>
      <c r="BV18" s="61">
        <f ca="1">IF(BK14=$B$98,BH14,0)</f>
        <v>1</v>
      </c>
      <c r="CD18" s="2" t="s">
        <v>141</v>
      </c>
      <c r="CE18" s="8"/>
      <c r="CF18" s="282"/>
      <c r="CG18" s="282"/>
      <c r="CH18" s="282"/>
      <c r="CI18" s="282"/>
      <c r="CJ18" s="282"/>
      <c r="CK18" s="282"/>
      <c r="CL18" s="282"/>
      <c r="CM18" s="282"/>
      <c r="CN18" s="282"/>
      <c r="CO18" s="282"/>
      <c r="CP18" s="282"/>
      <c r="CQ18" s="282"/>
      <c r="CR18" s="282"/>
      <c r="CS18" s="282"/>
      <c r="CT18" s="282"/>
      <c r="CV18" s="282"/>
    </row>
    <row r="19" spans="1:104">
      <c r="D19" s="55"/>
      <c r="E19" s="55"/>
      <c r="G19" s="55"/>
      <c r="M19" s="37" t="str">
        <f ca="1">IF(N14&gt;0,M14,"")</f>
        <v>Katar</v>
      </c>
      <c r="N19" s="2" t="s">
        <v>144</v>
      </c>
      <c r="S19" s="61">
        <f ca="1">IF(K18=$B$98,H17,0)</f>
        <v>0</v>
      </c>
      <c r="T19" s="61">
        <f ca="1">IF(K16=$B$98,H16,0)</f>
        <v>2</v>
      </c>
      <c r="U19" s="61">
        <f ca="1">IF(K14=$B$98,J14,0)</f>
        <v>4</v>
      </c>
      <c r="V19" s="60"/>
      <c r="AD19" s="55" t="s">
        <v>143</v>
      </c>
      <c r="AE19" s="108"/>
      <c r="AF19" s="281"/>
      <c r="AG19" s="281"/>
      <c r="AH19" s="281"/>
      <c r="AI19" s="281"/>
      <c r="AJ19" s="281"/>
      <c r="AK19" s="281"/>
      <c r="AL19" s="281"/>
      <c r="AM19" s="281"/>
      <c r="AN19" s="281"/>
      <c r="AO19" s="281"/>
      <c r="AP19" s="281"/>
      <c r="AQ19" s="281"/>
      <c r="AR19" s="281"/>
      <c r="AS19" s="281"/>
      <c r="AT19" s="281"/>
      <c r="AV19" s="281"/>
      <c r="AW19" s="2"/>
      <c r="AX19" s="2"/>
      <c r="AY19" s="2"/>
      <c r="AZ19" s="2"/>
      <c r="BB19" s="2" t="s">
        <v>2</v>
      </c>
      <c r="BE19" s="55"/>
      <c r="BF19" s="55"/>
      <c r="BG19" s="55"/>
      <c r="BM19" s="73" t="str">
        <f ca="1">IF(BN14&gt;0,BM14,"")</f>
        <v>Curaçao</v>
      </c>
      <c r="BN19" s="2" t="s">
        <v>151</v>
      </c>
      <c r="BS19" s="61">
        <f ca="1">IF(BK18=$B$98,BH17,0)</f>
        <v>4</v>
      </c>
      <c r="BT19" s="61">
        <f ca="1">IF(BK16=$B$98,BH16,0)</f>
        <v>5</v>
      </c>
      <c r="BU19" s="61">
        <f ca="1">IF(BK14=$B$98,BJ14,0)</f>
        <v>3</v>
      </c>
      <c r="BV19" s="60"/>
      <c r="CD19" s="2" t="s">
        <v>143</v>
      </c>
      <c r="CE19" s="8"/>
      <c r="CF19" s="282"/>
      <c r="CG19" s="282"/>
      <c r="CH19" s="282"/>
      <c r="CI19" s="282"/>
      <c r="CJ19" s="282"/>
      <c r="CK19" s="282"/>
      <c r="CL19" s="282"/>
      <c r="CM19" s="282"/>
      <c r="CN19" s="282"/>
      <c r="CO19" s="282"/>
      <c r="CP19" s="282"/>
      <c r="CQ19" s="282"/>
      <c r="CR19" s="282"/>
      <c r="CS19" s="282"/>
      <c r="CT19" s="282"/>
      <c r="CV19" s="282"/>
    </row>
    <row r="20" spans="1:104" ht="6" customHeight="1">
      <c r="D20" s="55"/>
      <c r="E20" s="58"/>
      <c r="F20" s="59"/>
      <c r="G20" s="59"/>
      <c r="H20" s="55"/>
      <c r="I20" s="55"/>
      <c r="J20" s="55"/>
      <c r="AE20" s="108"/>
      <c r="AF20" s="281"/>
      <c r="AG20" s="281"/>
      <c r="AH20" s="281"/>
      <c r="AI20" s="281"/>
      <c r="AJ20" s="281"/>
      <c r="AK20" s="281"/>
      <c r="AL20" s="281"/>
      <c r="AM20" s="281"/>
      <c r="AN20" s="281"/>
      <c r="AO20" s="281"/>
      <c r="AP20" s="281"/>
      <c r="AQ20" s="281"/>
      <c r="AR20" s="281"/>
      <c r="AS20" s="281"/>
      <c r="AT20" s="281"/>
      <c r="AV20" s="281"/>
      <c r="AW20" s="2"/>
      <c r="AX20" s="2"/>
      <c r="AY20" s="2"/>
      <c r="AZ20" s="2"/>
      <c r="BD20" s="55"/>
      <c r="BE20" s="58"/>
      <c r="BF20" s="59"/>
      <c r="BG20" s="59"/>
      <c r="BH20" s="55"/>
      <c r="BI20" s="55"/>
      <c r="BJ20" s="55"/>
      <c r="BS20" s="55"/>
      <c r="BT20" s="55"/>
      <c r="BU20" s="55"/>
      <c r="BV20" s="55"/>
      <c r="CE20" s="8"/>
      <c r="CF20" s="282"/>
      <c r="CG20" s="282"/>
      <c r="CH20" s="282"/>
      <c r="CI20" s="282"/>
      <c r="CJ20" s="282"/>
      <c r="CK20" s="282"/>
      <c r="CL20" s="282"/>
      <c r="CM20" s="282"/>
      <c r="CN20" s="282"/>
      <c r="CO20" s="282"/>
      <c r="CP20" s="282"/>
      <c r="CQ20" s="282"/>
      <c r="CR20" s="282"/>
      <c r="CS20" s="282"/>
      <c r="CT20" s="282"/>
      <c r="CV20" s="282"/>
    </row>
    <row r="21" spans="1:104" s="10" customFormat="1">
      <c r="B21" s="27" t="s">
        <v>0</v>
      </c>
      <c r="C21" s="25" t="s">
        <v>37</v>
      </c>
      <c r="D21" s="53" t="s">
        <v>2</v>
      </c>
      <c r="E21" s="54"/>
      <c r="F21" s="53"/>
      <c r="G21" s="53"/>
      <c r="H21" s="20"/>
      <c r="I21" s="19"/>
      <c r="J21" s="20"/>
      <c r="K21" s="180"/>
      <c r="L21" s="17"/>
      <c r="M21" s="35" t="s">
        <v>3</v>
      </c>
      <c r="N21" s="17" t="s">
        <v>4</v>
      </c>
      <c r="O21" s="17" t="s">
        <v>5</v>
      </c>
      <c r="P21" s="17" t="s">
        <v>6</v>
      </c>
      <c r="Q21" s="17" t="s">
        <v>7</v>
      </c>
      <c r="R21" s="17"/>
      <c r="S21" s="55"/>
      <c r="T21" s="55"/>
      <c r="U21" s="55"/>
      <c r="V21" s="55"/>
      <c r="W21" s="53"/>
      <c r="X21" s="53" t="s">
        <v>8</v>
      </c>
      <c r="Y21" s="56" t="s">
        <v>9</v>
      </c>
      <c r="Z21" s="53" t="s">
        <v>4</v>
      </c>
      <c r="AA21" s="53" t="s">
        <v>5</v>
      </c>
      <c r="AB21" s="53" t="s">
        <v>6</v>
      </c>
      <c r="AC21" s="53" t="s">
        <v>7</v>
      </c>
      <c r="AD21" s="53"/>
      <c r="AE21" s="19" t="s">
        <v>10</v>
      </c>
      <c r="AF21" s="40" t="s">
        <v>11</v>
      </c>
      <c r="AG21" s="40"/>
      <c r="AH21" s="40"/>
      <c r="AI21" s="40"/>
      <c r="AJ21" s="40" t="s">
        <v>12</v>
      </c>
      <c r="AK21" s="56" t="s">
        <v>13</v>
      </c>
      <c r="AL21" s="40" t="s">
        <v>14</v>
      </c>
      <c r="AM21" s="40"/>
      <c r="AN21" s="40"/>
      <c r="AO21" s="40"/>
      <c r="AP21" s="40" t="s">
        <v>15</v>
      </c>
      <c r="AQ21" s="40" t="s">
        <v>16</v>
      </c>
      <c r="AR21" s="40"/>
      <c r="AS21" s="40"/>
      <c r="AT21" s="40"/>
      <c r="AU21" s="58" t="s">
        <v>17</v>
      </c>
      <c r="AV21" s="56" t="s">
        <v>18</v>
      </c>
      <c r="BB21" s="221" t="s">
        <v>0</v>
      </c>
      <c r="BC21" s="222" t="s">
        <v>32</v>
      </c>
      <c r="BD21" s="53" t="s">
        <v>2</v>
      </c>
      <c r="BE21" s="54"/>
      <c r="BF21" s="53"/>
      <c r="BG21" s="53"/>
      <c r="BH21" s="20"/>
      <c r="BI21" s="19"/>
      <c r="BJ21" s="20"/>
      <c r="BK21" s="180"/>
      <c r="BL21" s="17"/>
      <c r="BM21" s="35" t="s">
        <v>3</v>
      </c>
      <c r="BN21" s="17" t="s">
        <v>4</v>
      </c>
      <c r="BO21" s="17" t="s">
        <v>5</v>
      </c>
      <c r="BP21" s="17" t="s">
        <v>6</v>
      </c>
      <c r="BQ21" s="17" t="s">
        <v>7</v>
      </c>
      <c r="BR21" s="17"/>
      <c r="BS21" s="55"/>
      <c r="BT21" s="55"/>
      <c r="BU21" s="55"/>
      <c r="BV21" s="55"/>
      <c r="BW21" s="17"/>
      <c r="BX21" s="17" t="s">
        <v>8</v>
      </c>
      <c r="BY21" s="56" t="s">
        <v>9</v>
      </c>
      <c r="BZ21" s="17" t="s">
        <v>4</v>
      </c>
      <c r="CA21" s="17" t="s">
        <v>5</v>
      </c>
      <c r="CB21" s="17" t="s">
        <v>6</v>
      </c>
      <c r="CC21" s="17" t="s">
        <v>7</v>
      </c>
      <c r="CD21" s="17"/>
      <c r="CE21" s="180" t="s">
        <v>10</v>
      </c>
      <c r="CF21" s="15" t="s">
        <v>11</v>
      </c>
      <c r="CG21" s="15"/>
      <c r="CH21" s="15"/>
      <c r="CI21" s="15"/>
      <c r="CJ21" s="15" t="s">
        <v>12</v>
      </c>
      <c r="CK21" s="21" t="s">
        <v>13</v>
      </c>
      <c r="CL21" s="15" t="s">
        <v>14</v>
      </c>
      <c r="CM21" s="15"/>
      <c r="CN21" s="15"/>
      <c r="CO21" s="15"/>
      <c r="CP21" s="15" t="s">
        <v>15</v>
      </c>
      <c r="CQ21" s="15" t="s">
        <v>16</v>
      </c>
      <c r="CR21" s="15"/>
      <c r="CS21" s="15"/>
      <c r="CT21" s="15"/>
      <c r="CU21" s="16" t="s">
        <v>17</v>
      </c>
      <c r="CV21" s="21" t="s">
        <v>18</v>
      </c>
    </row>
    <row r="22" spans="1:104">
      <c r="B22" s="3" t="s">
        <v>22</v>
      </c>
      <c r="C22" s="3" t="s">
        <v>23</v>
      </c>
      <c r="D22" s="55"/>
      <c r="E22" s="55"/>
      <c r="F22" s="55"/>
      <c r="G22" s="55"/>
      <c r="L22" s="1"/>
      <c r="M22" s="9" t="str">
        <f ca="1">VLOOKUP(1,$X$22:$AC$25,2,FALSE)</f>
        <v>Schottland</v>
      </c>
      <c r="N22" s="2">
        <f ca="1">VLOOKUP(1,$X$22:$AC$25,3,FALSE)</f>
        <v>6</v>
      </c>
      <c r="O22" s="2">
        <f ca="1">VLOOKUP(1,$X$22:$AC$25,4,FALSE)</f>
        <v>9</v>
      </c>
      <c r="P22" s="2">
        <f ca="1">VLOOKUP(1,$X$22:$AC$25,5,FALSE)</f>
        <v>4</v>
      </c>
      <c r="Q22" s="2">
        <f ca="1">VLOOKUP(1,$X$22:$AC$25,6,FALSE)</f>
        <v>5</v>
      </c>
      <c r="S22" s="60"/>
      <c r="T22" s="61">
        <f ca="1">IF(H23="",0,IF(K23=$B$98,IF(H23&gt;J23,3,IF(H23=J23,1,0)),0))</f>
        <v>3</v>
      </c>
      <c r="U22" s="61">
        <f ca="1">IF(H25="",0,IF(K25=$B$98,IF(H25&gt;J25,3,IF(H25=J25,1,0)),0))</f>
        <v>0</v>
      </c>
      <c r="V22" s="61">
        <f ca="1">IF(J27="",0,IF(K28=$B$98,IF(H27&lt;J27,3,IF(H27=J27,1,0)),0))</f>
        <v>0</v>
      </c>
      <c r="W22" s="62"/>
      <c r="X22" s="62">
        <f ca="1">RANK(AD22,$AD$22:$AD$25)</f>
        <v>3</v>
      </c>
      <c r="Y22" s="40" t="s">
        <v>213</v>
      </c>
      <c r="Z22" s="62">
        <f ca="1">SUM(S22:V22)</f>
        <v>3</v>
      </c>
      <c r="AA22" s="62">
        <f ca="1">SUM(S26:V26)</f>
        <v>7</v>
      </c>
      <c r="AB22" s="62">
        <f ca="1">SUM(S26:S29)</f>
        <v>7</v>
      </c>
      <c r="AC22" s="62">
        <f ca="1">AA22-AB22</f>
        <v>0</v>
      </c>
      <c r="AD22" s="24">
        <f ca="1">IF(P$28="",(((((((AE22*10+Z22)*100+AC22)*100+AA22)*10+AK22)*10+AJ22)*100+AP22)*100+AU22)*10+AV22,(((((((AE22*10+Z22)*10+AK22)*10+AJ22)*100+AP22)*100+AU22)*100+AC22)*100+AA22)*10+AV22)</f>
        <v>303020300074</v>
      </c>
      <c r="AE22" s="203"/>
      <c r="AF22" s="279"/>
      <c r="AG22" s="279">
        <f ca="1">IF($Z22=$Z23,$T22-$S23,0)</f>
        <v>3</v>
      </c>
      <c r="AH22" s="279">
        <f ca="1">IF($Z22=$Z24,$U22-$S24,0)</f>
        <v>0</v>
      </c>
      <c r="AI22" s="279">
        <f ca="1">IF($Z22=$Z25,$V22-$S25,0)</f>
        <v>0</v>
      </c>
      <c r="AJ22" s="279">
        <f ca="1">SUM(AF22:AI22)</f>
        <v>3</v>
      </c>
      <c r="AK22" s="203"/>
      <c r="AL22" s="279"/>
      <c r="AM22" s="279">
        <f ca="1">IF($Z22=$Z23,$T26-$S27,0)</f>
        <v>2</v>
      </c>
      <c r="AN22" s="279">
        <f ca="1">IF($Z22=$Z24,$U26-$S28,0)</f>
        <v>0</v>
      </c>
      <c r="AO22" s="279">
        <f ca="1">IF($Z22=$Z25,$V26-$S29,0)</f>
        <v>0</v>
      </c>
      <c r="AP22" s="279">
        <f ca="1">SUM(AL22:AO22)</f>
        <v>2</v>
      </c>
      <c r="AQ22" s="279"/>
      <c r="AR22" s="279">
        <f ca="1">IF($Z22=$Z23,$T26,0)</f>
        <v>3</v>
      </c>
      <c r="AS22" s="279">
        <f ca="1">IF($Z22=$Z24,$U26,0)</f>
        <v>0</v>
      </c>
      <c r="AT22" s="279">
        <f ca="1">IF($Z22=$Z25,$V26,0)</f>
        <v>0</v>
      </c>
      <c r="AU22" s="279">
        <f ca="1">SUM(AQ22:AT22)</f>
        <v>3</v>
      </c>
      <c r="AV22" s="203">
        <v>4</v>
      </c>
      <c r="AW22" s="2"/>
      <c r="AX22" s="2"/>
      <c r="AY22" s="2"/>
      <c r="AZ22" s="2"/>
      <c r="BB22" s="3" t="s">
        <v>22</v>
      </c>
      <c r="BC22" s="3" t="s">
        <v>23</v>
      </c>
      <c r="BD22" s="55"/>
      <c r="BE22" s="55"/>
      <c r="BF22" s="55"/>
      <c r="BG22" s="55"/>
      <c r="BL22" s="1"/>
      <c r="BM22" s="9" t="str">
        <f ca="1">VLOOKUP(1,$BX$22:$CC$25,2,FALSE)</f>
        <v>Niederlande</v>
      </c>
      <c r="BN22" s="2">
        <f ca="1">VLOOKUP(1,$BX$22:$CC$25,3,FALSE)</f>
        <v>6</v>
      </c>
      <c r="BO22" s="2">
        <f ca="1">VLOOKUP(1,$BX$22:$CC$25,4,FALSE)</f>
        <v>7</v>
      </c>
      <c r="BP22" s="2">
        <f ca="1">VLOOKUP(1,$BX$22:$CC$25,5,FALSE)</f>
        <v>4</v>
      </c>
      <c r="BQ22" s="2">
        <f ca="1">VLOOKUP(1,$BX$22:$CC$25,6,FALSE)</f>
        <v>3</v>
      </c>
      <c r="BS22" s="60"/>
      <c r="BT22" s="61">
        <f ca="1">IF(BH23="",0,IF(BK23=$B$98,IF(BH23&gt;BJ23,3,IF(BH23=BJ23,1,0)),0))</f>
        <v>3</v>
      </c>
      <c r="BU22" s="61">
        <f ca="1">IF(BH25="",0,IF(BK25=$B$98,IF(BH25&gt;BJ25,3,IF(BH25=BJ25,1,0)),0))</f>
        <v>3</v>
      </c>
      <c r="BV22" s="61">
        <f ca="1">IF(BJ27="",0,IF(BK28=$B$98,IF(BH27&lt;BJ27,3,IF(BH27=BJ27,1,0)),0))</f>
        <v>0</v>
      </c>
      <c r="BW22" s="1"/>
      <c r="BX22" s="1">
        <f ca="1">RANK(CD22,$CD$22:$CD$25)</f>
        <v>1</v>
      </c>
      <c r="BY22" s="40" t="s">
        <v>71</v>
      </c>
      <c r="BZ22" s="1">
        <f ca="1">SUM(BS22:BV22)</f>
        <v>6</v>
      </c>
      <c r="CA22" s="1">
        <f ca="1">SUM(BS26:BV26)</f>
        <v>7</v>
      </c>
      <c r="CB22" s="1">
        <f ca="1">SUM(BS26:BS29)</f>
        <v>4</v>
      </c>
      <c r="CC22" s="1">
        <f ca="1">CA22-CB22</f>
        <v>3</v>
      </c>
      <c r="CD22" s="24">
        <f ca="1">IF(BP$28="",(((((((CE22*10+BZ22)*100+CC22)*100+CA22)*10+CK22)*10+CJ22)*100+CP22)*100+CU22)*10+CV22,(((((((CE22*10+BZ22)*10+CK22)*10+CJ22)*100+CP22)*100+CU22)*100+CC22)*100+CA22)*10+CV22)</f>
        <v>600010303074</v>
      </c>
      <c r="CE22" s="207"/>
      <c r="CF22" s="280"/>
      <c r="CG22" s="280">
        <f ca="1">IF($BZ22=$BZ23,$BT22-$BS23,0)</f>
        <v>0</v>
      </c>
      <c r="CH22" s="280">
        <f ca="1">IF($BZ22=$BZ24,$BU22-$BS24,0)</f>
        <v>3</v>
      </c>
      <c r="CI22" s="280">
        <f ca="1">IF($BZ22=$BZ25,$BV22-$BS25,0)</f>
        <v>-3</v>
      </c>
      <c r="CJ22" s="280">
        <f ca="1">SUM(CF22:CI22)</f>
        <v>0</v>
      </c>
      <c r="CK22" s="207"/>
      <c r="CL22" s="280"/>
      <c r="CM22" s="280">
        <f ca="1">IF($BZ22=$BZ23,$BT26-$BS27,0)</f>
        <v>0</v>
      </c>
      <c r="CN22" s="280">
        <f ca="1">IF($BZ22=$BZ24,$BU26-$BS28,0)</f>
        <v>2</v>
      </c>
      <c r="CO22" s="280">
        <f ca="1">IF($BZ22=$BZ25,$BV26-$BS29,0)</f>
        <v>-1</v>
      </c>
      <c r="CP22" s="280">
        <f ca="1">SUM(CL22:CO22)</f>
        <v>1</v>
      </c>
      <c r="CQ22" s="280"/>
      <c r="CR22" s="280">
        <f ca="1">IF($BZ22=$BZ23,$BT26,0)</f>
        <v>0</v>
      </c>
      <c r="CS22" s="280">
        <f ca="1">IF($BZ22=$BZ24,$BU26,0)</f>
        <v>2</v>
      </c>
      <c r="CT22" s="280">
        <f ca="1">IF($BZ22=$BZ25,$BV26,0)</f>
        <v>1</v>
      </c>
      <c r="CU22" s="280">
        <f ca="1">SUM(CQ22:CT22)</f>
        <v>3</v>
      </c>
      <c r="CV22" s="207">
        <v>4</v>
      </c>
    </row>
    <row r="23" spans="1:104">
      <c r="A23" s="2">
        <v>7</v>
      </c>
      <c r="B23" s="6">
        <f>VLOOKUP(A23,Spiele!$A$1:$L$116,2,FALSE)</f>
        <v>46186.75</v>
      </c>
      <c r="C23" s="6" t="str">
        <f>VLOOKUP(A23,Spiele!$A$1:$L$116,9,FALSE)</f>
        <v>New York</v>
      </c>
      <c r="D23" s="56" t="str">
        <f>Y22</f>
        <v>Brasilien</v>
      </c>
      <c r="E23" s="40" t="s">
        <v>24</v>
      </c>
      <c r="F23" s="56" t="str">
        <f>Y23</f>
        <v>Marokko</v>
      </c>
      <c r="G23" s="53"/>
      <c r="H23" s="107">
        <f ca="1">IF($B$102&lt;&gt;"","",IF($B$101&lt;&gt;"",IF(Ergebnisse!H23="","",Ergebnisse!H23),IF($B$99="",2,INT(RAND()*5)+INT(RAND()*3)*INT(RAND()*2))))</f>
        <v>3</v>
      </c>
      <c r="I23" s="11" t="s">
        <v>25</v>
      </c>
      <c r="J23" s="107">
        <f ca="1">IF($B$102&lt;&gt;"","",IF($B$101&lt;&gt;"",IF(Ergebnisse!J23="","",Ergebnisse!J23),IF($B$99="",2,INT(RAND()*5)+INT(RAND()*3)*INT(RAND()*2))))</f>
        <v>1</v>
      </c>
      <c r="K23" s="7" t="str">
        <f t="shared" ref="K23" ca="1" si="4">IF(OR(H23="",J23=""),"","ok")</f>
        <v>ok</v>
      </c>
      <c r="L23" s="1"/>
      <c r="M23" s="9" t="str">
        <f ca="1">VLOOKUP(2,$X$22:$AC$25,2,FALSE)</f>
        <v>Haiti</v>
      </c>
      <c r="N23" s="2">
        <f ca="1">VLOOKUP(2,$X$22:$AC$25,3,FALSE)</f>
        <v>6</v>
      </c>
      <c r="O23" s="2">
        <f ca="1">VLOOKUP(2,$X$22:$AC$25,4,FALSE)</f>
        <v>9</v>
      </c>
      <c r="P23" s="2">
        <f ca="1">VLOOKUP(2,$X$22:$AC$25,5,FALSE)</f>
        <v>10</v>
      </c>
      <c r="Q23" s="2">
        <f ca="1">VLOOKUP(2,$X$22:$AC$25,6,FALSE)</f>
        <v>-1</v>
      </c>
      <c r="S23" s="61">
        <f ca="1">IF(J23="",0,IF(K23=$B$98,IF(H23&lt;J23,3,IF(H23=J23,1,0)),0))</f>
        <v>0</v>
      </c>
      <c r="T23" s="60"/>
      <c r="U23" s="61">
        <f ca="1">IF(H28="",0,IF(K27=$B$98,IF(H28&gt;J28,3,IF(H28=J28,1,0)),0))</f>
        <v>0</v>
      </c>
      <c r="V23" s="61">
        <f ca="1">IF(J26="",0,IF(K26=$B$98,IF(J26&gt;H26,3,IF(J26=H26,1,0)),0))</f>
        <v>3</v>
      </c>
      <c r="W23" s="62"/>
      <c r="X23" s="62">
        <f ca="1">RANK(AD23,$AD$22:$AD$25)</f>
        <v>4</v>
      </c>
      <c r="Y23" s="40" t="s">
        <v>214</v>
      </c>
      <c r="Z23" s="62">
        <f ca="1">SUM(S23:V23)</f>
        <v>3</v>
      </c>
      <c r="AA23" s="62">
        <f ca="1">SUM(S27:V27)</f>
        <v>6</v>
      </c>
      <c r="AB23" s="62">
        <f ca="1">SUM(T26:T29)</f>
        <v>10</v>
      </c>
      <c r="AC23" s="62">
        <f ca="1">AA23-AB23</f>
        <v>-4</v>
      </c>
      <c r="AD23" s="24">
        <f ca="1">IF(P$28="",(((((((AE23*10+Z23)*100+AC23)*100+AA23)*10+AK23)*10+AJ23)*100+AP23)*100+AU23)*10+AV23,(((((((AE23*10+Z23)*10+AK23)*10+AJ23)*100+AP23)*100+AU23)*100+AC23)*100+AA23)*10+AV23)</f>
        <v>296980096063</v>
      </c>
      <c r="AE23" s="203"/>
      <c r="AF23" s="279">
        <f ca="1">IF($Z23=$Z22,$S23-$T22,0)</f>
        <v>-3</v>
      </c>
      <c r="AG23" s="279"/>
      <c r="AH23" s="279">
        <f ca="1">IF($Z23=$Z24,$U23-$T24,0)</f>
        <v>0</v>
      </c>
      <c r="AI23" s="279">
        <f ca="1">IF($Z23=$Z25,$V23-$T25,0)</f>
        <v>0</v>
      </c>
      <c r="AJ23" s="279">
        <f ca="1">SUM(AF23:AI23)</f>
        <v>-3</v>
      </c>
      <c r="AK23" s="203"/>
      <c r="AL23" s="279">
        <f ca="1">IF($Z23=$Z22,$S27-$T26,0)</f>
        <v>-2</v>
      </c>
      <c r="AM23" s="279"/>
      <c r="AN23" s="279">
        <f ca="1">IF($Z23=$Z24,$U27-$T28,0)</f>
        <v>0</v>
      </c>
      <c r="AO23" s="279">
        <f ca="1">IF($Z23=$Z25,$V27-$T29,0)</f>
        <v>0</v>
      </c>
      <c r="AP23" s="279">
        <f ca="1">SUM(AL23:AO23)</f>
        <v>-2</v>
      </c>
      <c r="AQ23" s="279">
        <f ca="1">IF($Z23=$Z22,$S27,0)</f>
        <v>1</v>
      </c>
      <c r="AR23" s="279"/>
      <c r="AS23" s="279">
        <f ca="1">IF($Z23=$Z24,$U27,0)</f>
        <v>0</v>
      </c>
      <c r="AT23" s="279">
        <f ca="1">IF($Z23=$Z25,$V27,0)</f>
        <v>0</v>
      </c>
      <c r="AU23" s="279">
        <f ca="1">SUM(AQ23:AT23)</f>
        <v>1</v>
      </c>
      <c r="AV23" s="203">
        <v>3</v>
      </c>
      <c r="AW23" s="2"/>
      <c r="AX23" s="2"/>
      <c r="AY23" s="2"/>
      <c r="AZ23" s="2"/>
      <c r="BA23" s="2">
        <v>11</v>
      </c>
      <c r="BB23" s="6">
        <f>VLOOKUP(BA23,Spiele!$A$1:$L$116,2,FALSE)</f>
        <v>46187.625</v>
      </c>
      <c r="BC23" s="6" t="str">
        <f>VLOOKUP(BA23,Spiele!$A$1:$L$116,9,FALSE)</f>
        <v>Dallas</v>
      </c>
      <c r="BD23" s="56" t="str">
        <f>BY22</f>
        <v>Niederlande</v>
      </c>
      <c r="BE23" s="40" t="s">
        <v>24</v>
      </c>
      <c r="BF23" s="56" t="str">
        <f>BY23</f>
        <v>Japan</v>
      </c>
      <c r="BG23" s="53"/>
      <c r="BH23" s="107">
        <f ca="1">IF($B$102&lt;&gt;"","",IF($B$101&lt;&gt;"",IF(Ergebnisse!BH23="","",Ergebnisse!BH23),IF($B$99="",2,INT(RAND()*5)+INT(RAND()*3)*INT(RAND()*2))))</f>
        <v>4</v>
      </c>
      <c r="BI23" s="11" t="s">
        <v>25</v>
      </c>
      <c r="BJ23" s="107">
        <f ca="1">IF($B$102&lt;&gt;"","",IF($B$101&lt;&gt;"",IF(Ergebnisse!BJ23="","",Ergebnisse!BJ23),IF($B$99="",2,INT(RAND()*5)+INT(RAND()*3)*INT(RAND()*2))))</f>
        <v>2</v>
      </c>
      <c r="BK23" s="7" t="str">
        <f t="shared" ref="BK23" ca="1" si="5">IF(OR(BH23="",BJ23=""),"","ok")</f>
        <v>ok</v>
      </c>
      <c r="BL23" s="1"/>
      <c r="BM23" s="9" t="str">
        <f ca="1">VLOOKUP(2,$BX$22:$CC$25,2,FALSE)</f>
        <v>Schweden</v>
      </c>
      <c r="BN23" s="2">
        <f ca="1">VLOOKUP(2,$BX$22:$CC$25,3,FALSE)</f>
        <v>6</v>
      </c>
      <c r="BO23" s="2">
        <f ca="1">VLOOKUP(2,$BX$22:$CC$25,4,FALSE)</f>
        <v>8</v>
      </c>
      <c r="BP23" s="2">
        <f ca="1">VLOOKUP(2,$BX$22:$CC$25,5,FALSE)</f>
        <v>7</v>
      </c>
      <c r="BQ23" s="2">
        <f ca="1">VLOOKUP(2,$BX$22:$CC$25,6,FALSE)</f>
        <v>1</v>
      </c>
      <c r="BS23" s="61">
        <f ca="1">IF(BJ23="",0,IF(BK23=$B$98,IF(BH23&lt;BJ23,3,IF(BH23=BJ23,1,0)),0))</f>
        <v>0</v>
      </c>
      <c r="BT23" s="60"/>
      <c r="BU23" s="61">
        <f ca="1">IF(BH28="",0,IF(BK27=$B$98,IF(BH28&gt;BJ28,3,IF(BH28=BJ28,1,0)),0))</f>
        <v>0</v>
      </c>
      <c r="BV23" s="61">
        <f ca="1">IF(BJ26="",0,IF(BK26=$B$98,IF(BJ26&gt;BH26,3,IF(BJ26=BH26,1,0)),0))</f>
        <v>0</v>
      </c>
      <c r="BW23" s="1"/>
      <c r="BX23" s="1">
        <f ca="1">RANK(CD23,$CD$22:$CD$25)</f>
        <v>4</v>
      </c>
      <c r="BY23" s="40" t="s">
        <v>215</v>
      </c>
      <c r="BZ23" s="1">
        <f ca="1">SUM(BS23:BV23)</f>
        <v>0</v>
      </c>
      <c r="CA23" s="1">
        <f ca="1">SUM(BS27:BV27)</f>
        <v>5</v>
      </c>
      <c r="CB23" s="1">
        <f ca="1">SUM(BT26:BT29)</f>
        <v>9</v>
      </c>
      <c r="CC23" s="1">
        <f ca="1">CA23-CB23</f>
        <v>-4</v>
      </c>
      <c r="CD23" s="24">
        <f ca="1">IF(BP$28="",(((((((CE23*10+BZ23)*100+CC23)*100+CA23)*10+CK23)*10+CJ23)*100+CP23)*100+CU23)*10+CV23,(((((((CE23*10+BZ23)*10+CK23)*10+CJ23)*100+CP23)*100+CU23)*100+CC23)*100+CA23)*10+CV23)</f>
        <v>-3947</v>
      </c>
      <c r="CE23" s="207"/>
      <c r="CF23" s="280">
        <f ca="1">IF($BZ23=$BZ22,$BS23-$BT22,0)</f>
        <v>0</v>
      </c>
      <c r="CG23" s="280"/>
      <c r="CH23" s="280">
        <f ca="1">IF($BZ23=$BZ24,$BU23-$BT24,0)</f>
        <v>0</v>
      </c>
      <c r="CI23" s="280">
        <f ca="1">IF($BZ23=$BZ25,$BV23-$BT25,0)</f>
        <v>0</v>
      </c>
      <c r="CJ23" s="280">
        <f ca="1">SUM(CF23:CI23)</f>
        <v>0</v>
      </c>
      <c r="CK23" s="207"/>
      <c r="CL23" s="280">
        <f ca="1">IF($BZ23=$BZ22,$BS27-$BT26,0)</f>
        <v>0</v>
      </c>
      <c r="CM23" s="280"/>
      <c r="CN23" s="280">
        <f ca="1">IF($BZ23=$BZ24,$BU27-$BT28,0)</f>
        <v>0</v>
      </c>
      <c r="CO23" s="280">
        <f ca="1">IF($BZ23=$BZ25,$BV27-$BT29,0)</f>
        <v>0</v>
      </c>
      <c r="CP23" s="280">
        <f ca="1">SUM(CL23:CO23)</f>
        <v>0</v>
      </c>
      <c r="CQ23" s="280">
        <f ca="1">IF($BZ23=$BZ22,$BS27,0)</f>
        <v>0</v>
      </c>
      <c r="CR23" s="280"/>
      <c r="CS23" s="280">
        <f ca="1">IF($BZ23=$BZ24,$BU27,0)</f>
        <v>0</v>
      </c>
      <c r="CT23" s="280">
        <f ca="1">IF($BZ23=$BZ25,$BV27,0)</f>
        <v>0</v>
      </c>
      <c r="CU23" s="280">
        <f ca="1">SUM(CQ23:CT23)</f>
        <v>0</v>
      </c>
      <c r="CV23" s="207">
        <v>3</v>
      </c>
    </row>
    <row r="24" spans="1:104">
      <c r="A24" s="2">
        <v>5</v>
      </c>
      <c r="B24" s="6">
        <f>VLOOKUP(A24,Spiele!$A$1:$L$116,2,FALSE)</f>
        <v>46186.875</v>
      </c>
      <c r="C24" s="6" t="str">
        <f>VLOOKUP(A24,Spiele!$A$1:$L$116,9,FALSE)</f>
        <v>Boston</v>
      </c>
      <c r="D24" s="56" t="str">
        <f>Y24</f>
        <v>Haiti</v>
      </c>
      <c r="E24" s="40" t="s">
        <v>24</v>
      </c>
      <c r="F24" s="56" t="str">
        <f>Y25</f>
        <v>Schottland</v>
      </c>
      <c r="G24" s="53"/>
      <c r="H24" s="107">
        <f ca="1">IF($B$102&lt;&gt;"","",IF($B$101&lt;&gt;"",IF(Ergebnisse!H24="","",Ergebnisse!H24),IF($B$99="",2,INT(RAND()*5)+INT(RAND()*3)*INT(RAND()*2))))</f>
        <v>0</v>
      </c>
      <c r="I24" s="11" t="s">
        <v>25</v>
      </c>
      <c r="J24" s="107">
        <f ca="1">IF($B$102&lt;&gt;"","",IF($B$101&lt;&gt;"",IF(Ergebnisse!J24="","",Ergebnisse!J24),IF($B$99="",2,INT(RAND()*5)+INT(RAND()*3)*INT(RAND()*2))))</f>
        <v>5</v>
      </c>
      <c r="K24" s="7" t="str">
        <f t="shared" ca="1" si="2"/>
        <v>ok</v>
      </c>
      <c r="L24" s="1"/>
      <c r="M24" s="9" t="str">
        <f ca="1">VLOOKUP(3,$X$22:$AC$25,2,FALSE)</f>
        <v>Brasilien</v>
      </c>
      <c r="N24" s="2">
        <f ca="1">VLOOKUP(3,$X$22:$AC$25,3,FALSE)</f>
        <v>3</v>
      </c>
      <c r="O24" s="2">
        <f ca="1">VLOOKUP(3,$X$22:$AC$25,4,FALSE)</f>
        <v>7</v>
      </c>
      <c r="P24" s="2">
        <f ca="1">VLOOKUP(3,$X$22:$AC$25,5,FALSE)</f>
        <v>7</v>
      </c>
      <c r="Q24" s="2">
        <f ca="1">VLOOKUP(3,$X$22:$AC$25,6,FALSE)</f>
        <v>0</v>
      </c>
      <c r="S24" s="61">
        <f ca="1">IF(J25="",0,IF(K25=$B$98,IF(H25&lt;J25,3,IF(H25=J25,1,0)),0))</f>
        <v>3</v>
      </c>
      <c r="T24" s="61">
        <f ca="1">IF(J28="",0,IF(K27=$B$98,IF(H28&lt;J28,3,IF(H28=J28,1,0)),0))</f>
        <v>3</v>
      </c>
      <c r="U24" s="60"/>
      <c r="V24" s="61">
        <f ca="1">IF(H24="",0,IF(K24=$B$98,IF(H24&gt;J24,3,IF(H24=J24,1,0)),0))</f>
        <v>0</v>
      </c>
      <c r="W24" s="62"/>
      <c r="X24" s="62">
        <f ca="1">RANK(AD24,$AD$22:$AD$25)</f>
        <v>2</v>
      </c>
      <c r="Y24" s="40" t="s">
        <v>216</v>
      </c>
      <c r="Z24" s="62">
        <f ca="1">SUM(S24:V24)</f>
        <v>6</v>
      </c>
      <c r="AA24" s="62">
        <f ca="1">SUM(S28:V28)</f>
        <v>9</v>
      </c>
      <c r="AB24" s="62">
        <f ca="1">SUM(U26:U29)</f>
        <v>10</v>
      </c>
      <c r="AC24" s="62">
        <f ca="1">AA24-AB24</f>
        <v>-1</v>
      </c>
      <c r="AD24" s="24">
        <f ca="1">IF(P$28="",(((((((AE24*10+Z24)*100+AC24)*100+AA24)*10+AK24)*10+AJ24)*100+AP24)*100+AU24)*10+AV24,(((((((AE24*10+Z24)*10+AK24)*10+AJ24)*100+AP24)*100+AU24)*100+AC24)*100+AA24)*10+AV24)</f>
        <v>596949999092</v>
      </c>
      <c r="AE24" s="203"/>
      <c r="AF24" s="279">
        <f ca="1">IF($Z24=$Z22,$S24-$U22,0)</f>
        <v>0</v>
      </c>
      <c r="AG24" s="279">
        <f ca="1">IF($Z24=$Z23,$T24-$U23,0)</f>
        <v>0</v>
      </c>
      <c r="AH24" s="279"/>
      <c r="AI24" s="279">
        <f ca="1">IF($Z24=$Z25,$V24-$U25,0)</f>
        <v>-3</v>
      </c>
      <c r="AJ24" s="279">
        <f ca="1">SUM(AF24:AI24)</f>
        <v>-3</v>
      </c>
      <c r="AK24" s="203"/>
      <c r="AL24" s="279">
        <f ca="1">IF($Z24=$Z22,$S28-$U26,0)</f>
        <v>0</v>
      </c>
      <c r="AM24" s="279">
        <f ca="1">IF($Z24=$Z23,$T28-$U27,0)</f>
        <v>0</v>
      </c>
      <c r="AN24" s="279"/>
      <c r="AO24" s="279">
        <f ca="1">IF($Z24=$Z25,$V28-$U29,0)</f>
        <v>-5</v>
      </c>
      <c r="AP24" s="279">
        <f ca="1">SUM(AL24:AO24)</f>
        <v>-5</v>
      </c>
      <c r="AQ24" s="279">
        <f ca="1">IF($Z24=$Z22,$S28,0)</f>
        <v>0</v>
      </c>
      <c r="AR24" s="279">
        <f ca="1">IF($Z24=$Z23,$T28,0)</f>
        <v>0</v>
      </c>
      <c r="AS24" s="279"/>
      <c r="AT24" s="279">
        <f ca="1">IF($Z24=$Z25,$V28,0)</f>
        <v>0</v>
      </c>
      <c r="AU24" s="279">
        <f ca="1">SUM(AQ24:AT24)</f>
        <v>0</v>
      </c>
      <c r="AV24" s="203">
        <v>2</v>
      </c>
      <c r="AW24" s="2"/>
      <c r="AX24" s="2"/>
      <c r="AY24" s="2"/>
      <c r="AZ24" s="2"/>
      <c r="BA24" s="2">
        <v>12</v>
      </c>
      <c r="BB24" s="6">
        <f>VLOOKUP(BA24,Spiele!$A$1:$L$116,2,FALSE)</f>
        <v>46187.875</v>
      </c>
      <c r="BC24" s="6" t="str">
        <f>VLOOKUP(BA24,Spiele!$A$1:$L$116,9,FALSE)</f>
        <v>Monterrey</v>
      </c>
      <c r="BD24" s="56" t="str">
        <f>BY24</f>
        <v>Schweden</v>
      </c>
      <c r="BE24" s="40" t="s">
        <v>24</v>
      </c>
      <c r="BF24" s="56" t="str">
        <f>BY25</f>
        <v>Tunesien</v>
      </c>
      <c r="BG24" s="53"/>
      <c r="BH24" s="107">
        <f ca="1">IF($B$102&lt;&gt;"","",IF($B$101&lt;&gt;"",IF(Ergebnisse!BH24="","",Ergebnisse!BH24),IF($B$99="",2,INT(RAND()*5)+INT(RAND()*3)*INT(RAND()*2))))</f>
        <v>6</v>
      </c>
      <c r="BI24" s="11" t="s">
        <v>25</v>
      </c>
      <c r="BJ24" s="107">
        <f ca="1">IF($B$102&lt;&gt;"","",IF($B$101&lt;&gt;"",IF(Ergebnisse!BJ24="","",Ergebnisse!BJ24),IF($B$99="",2,INT(RAND()*5)+INT(RAND()*3)*INT(RAND()*2))))</f>
        <v>4</v>
      </c>
      <c r="BK24" s="7" t="str">
        <f t="shared" ca="1" si="3"/>
        <v>ok</v>
      </c>
      <c r="BL24" s="1"/>
      <c r="BM24" s="9" t="str">
        <f ca="1">VLOOKUP(3,$BX$22:$CC$25,2,FALSE)</f>
        <v>Tunesien</v>
      </c>
      <c r="BN24" s="2">
        <f ca="1">VLOOKUP(3,$BX$22:$CC$25,3,FALSE)</f>
        <v>6</v>
      </c>
      <c r="BO24" s="2">
        <f ca="1">VLOOKUP(3,$BX$22:$CC$25,4,FALSE)</f>
        <v>9</v>
      </c>
      <c r="BP24" s="2">
        <f ca="1">VLOOKUP(3,$BX$22:$CC$25,5,FALSE)</f>
        <v>9</v>
      </c>
      <c r="BQ24" s="2">
        <f ca="1">VLOOKUP(3,$BX$22:$CC$25,6,FALSE)</f>
        <v>0</v>
      </c>
      <c r="BS24" s="61">
        <f ca="1">IF(BJ25="",0,IF(BK25=$B$98,IF(BH25&lt;BJ25,3,IF(BH25=BJ25,1,0)),0))</f>
        <v>0</v>
      </c>
      <c r="BT24" s="61">
        <f ca="1">IF(BJ28="",0,IF(BK27=$B$98,IF(BH28&lt;BJ28,3,IF(BH28=BJ28,1,0)),0))</f>
        <v>3</v>
      </c>
      <c r="BU24" s="60"/>
      <c r="BV24" s="61">
        <f ca="1">IF(BH24="",0,IF(BK24=$B$98,IF(BH24&gt;BJ24,3,IF(BH24=BJ24,1,0)),0))</f>
        <v>3</v>
      </c>
      <c r="BW24" s="1"/>
      <c r="BX24" s="1">
        <f ca="1">RANK(CD24,$CD$22:$CD$25)</f>
        <v>2</v>
      </c>
      <c r="BY24" s="40" t="s">
        <v>217</v>
      </c>
      <c r="BZ24" s="1">
        <f ca="1">SUM(BS24:BV24)</f>
        <v>6</v>
      </c>
      <c r="CA24" s="1">
        <f ca="1">SUM(BS28:BV28)</f>
        <v>8</v>
      </c>
      <c r="CB24" s="1">
        <f ca="1">SUM(BU26:BU29)</f>
        <v>7</v>
      </c>
      <c r="CC24" s="1">
        <f ca="1">CA24-CB24</f>
        <v>1</v>
      </c>
      <c r="CD24" s="24">
        <f ca="1">IF(BP$28="",(((((((CE24*10+BZ24)*100+CC24)*100+CA24)*10+CK24)*10+CJ24)*100+CP24)*100+CU24)*10+CV24,(((((((CE24*10+BZ24)*10+CK24)*10+CJ24)*100+CP24)*100+CU24)*100+CC24)*100+CA24)*10+CV24)</f>
        <v>600000601082</v>
      </c>
      <c r="CE24" s="207"/>
      <c r="CF24" s="280">
        <f ca="1">IF($BZ24=$BZ22,$BS24-$BU22,0)</f>
        <v>-3</v>
      </c>
      <c r="CG24" s="280">
        <f ca="1">IF($BZ24=$BZ23,$BT24-$BU23,0)</f>
        <v>0</v>
      </c>
      <c r="CH24" s="280"/>
      <c r="CI24" s="280">
        <f ca="1">IF($BZ24=$BZ25,$BV24-$BU25,0)</f>
        <v>3</v>
      </c>
      <c r="CJ24" s="280">
        <f ca="1">SUM(CF24:CI24)</f>
        <v>0</v>
      </c>
      <c r="CK24" s="207"/>
      <c r="CL24" s="280">
        <f ca="1">IF($BZ24=$BZ22,$BS28-$BU26,0)</f>
        <v>-2</v>
      </c>
      <c r="CM24" s="280">
        <f ca="1">IF($BZ24=$BZ23,$BT28-$BU27,0)</f>
        <v>0</v>
      </c>
      <c r="CN24" s="280"/>
      <c r="CO24" s="280">
        <f ca="1">IF($BZ24=$BZ25,$BV28-$BU29,0)</f>
        <v>2</v>
      </c>
      <c r="CP24" s="280">
        <f ca="1">SUM(CL24:CO24)</f>
        <v>0</v>
      </c>
      <c r="CQ24" s="280">
        <f ca="1">IF($BZ24=$BZ22,$BS28,0)</f>
        <v>0</v>
      </c>
      <c r="CR24" s="280">
        <f ca="1">IF($BZ24=$BZ23,$BT28,0)</f>
        <v>0</v>
      </c>
      <c r="CS24" s="280"/>
      <c r="CT24" s="280">
        <f ca="1">IF($BZ24=$BZ25,$BV28,0)</f>
        <v>6</v>
      </c>
      <c r="CU24" s="280">
        <f ca="1">SUM(CQ24:CT24)</f>
        <v>6</v>
      </c>
      <c r="CV24" s="207">
        <v>2</v>
      </c>
    </row>
    <row r="25" spans="1:104">
      <c r="A25" s="2">
        <v>29</v>
      </c>
      <c r="B25" s="6">
        <f>VLOOKUP(A25,Spiele!$A$1:$L$116,2,FALSE)</f>
        <v>46192.875</v>
      </c>
      <c r="C25" s="6" t="str">
        <f>VLOOKUP(A25,Spiele!$A$1:$L$116,9,FALSE)</f>
        <v>Philadelphia</v>
      </c>
      <c r="D25" s="56" t="str">
        <f>Y22</f>
        <v>Brasilien</v>
      </c>
      <c r="E25" s="40" t="s">
        <v>24</v>
      </c>
      <c r="F25" s="56" t="str">
        <f>Y24</f>
        <v>Haiti</v>
      </c>
      <c r="G25" s="53"/>
      <c r="H25" s="107">
        <f ca="1">IF($B$102&lt;&gt;"","",IF($B$101&lt;&gt;"",IF(Ergebnisse!H25="","",Ergebnisse!H25),IF($B$99="",2,INT(RAND()*5)+INT(RAND()*3)*INT(RAND()*2))))</f>
        <v>3</v>
      </c>
      <c r="I25" s="11" t="s">
        <v>25</v>
      </c>
      <c r="J25" s="107">
        <f ca="1">IF($B$102&lt;&gt;"","",IF($B$101&lt;&gt;"",IF(Ergebnisse!J25="","",Ergebnisse!J25),IF($B$99="",2,INT(RAND()*5)+INT(RAND()*3)*INT(RAND()*2))))</f>
        <v>4</v>
      </c>
      <c r="K25" s="7" t="str">
        <f t="shared" ca="1" si="2"/>
        <v>ok</v>
      </c>
      <c r="L25" s="1"/>
      <c r="M25" s="9" t="str">
        <f ca="1">VLOOKUP(4,$X$22:$AC$25,2,FALSE)</f>
        <v>Marokko</v>
      </c>
      <c r="N25" s="2">
        <f ca="1">VLOOKUP(4,$X$22:$AC$25,3,FALSE)</f>
        <v>3</v>
      </c>
      <c r="O25" s="2">
        <f ca="1">VLOOKUP(4,$X$22:$AC$25,4,FALSE)</f>
        <v>6</v>
      </c>
      <c r="P25" s="2">
        <f ca="1">VLOOKUP(4,$X$22:$AC$25,5,FALSE)</f>
        <v>10</v>
      </c>
      <c r="Q25" s="2">
        <f ca="1">VLOOKUP(4,$X$22:$AC$25,6,FALSE)</f>
        <v>-4</v>
      </c>
      <c r="S25" s="61">
        <f ca="1">IF(H27="",0,IF(K28=$B$98,IF(H27&gt;J27,3,IF(H27=J27,1,0)),0))</f>
        <v>3</v>
      </c>
      <c r="T25" s="61">
        <f ca="1">IF(H26="",0,IF(K26=$B$98,IF(J26&lt;H26,3,IF(J26=H26,1,0)),0))</f>
        <v>0</v>
      </c>
      <c r="U25" s="61">
        <f ca="1">IF(J24="",0,IF(K24=$B$98,IF(H24&lt;J24,3,IF(H24=J24,1,0)),0))</f>
        <v>3</v>
      </c>
      <c r="V25" s="60"/>
      <c r="W25" s="62"/>
      <c r="X25" s="62">
        <f ca="1">RANK(AD25,$AD$22:$AD$25)</f>
        <v>1</v>
      </c>
      <c r="Y25" s="40" t="s">
        <v>184</v>
      </c>
      <c r="Z25" s="62">
        <f ca="1">SUM(S25:V25)</f>
        <v>6</v>
      </c>
      <c r="AA25" s="62">
        <f ca="1">SUM(S29:V29)</f>
        <v>9</v>
      </c>
      <c r="AB25" s="62">
        <f ca="1">SUM(V26:V29)</f>
        <v>4</v>
      </c>
      <c r="AC25" s="62">
        <f ca="1">AA25-AB25</f>
        <v>5</v>
      </c>
      <c r="AD25" s="24">
        <f ca="1">IF(P$28="",(((((((AE25*10+Z25)*100+AC25)*100+AA25)*10+AK25)*10+AJ25)*100+AP25)*100+AU25)*10+AV25,(((((((AE25*10+Z25)*10+AK25)*10+AJ25)*100+AP25)*100+AU25)*100+AC25)*100+AA25)*10+AV25)</f>
        <v>603050505091</v>
      </c>
      <c r="AE25" s="203"/>
      <c r="AF25" s="279">
        <f ca="1">IF($Z25=$Z22,$S25-$V22,0)</f>
        <v>0</v>
      </c>
      <c r="AG25" s="279">
        <f ca="1">IF($Z25=$Z23,$T25-$V23,0)</f>
        <v>0</v>
      </c>
      <c r="AH25" s="279">
        <f ca="1">IF($Z25=$Z24,$U25-$V24,0)</f>
        <v>3</v>
      </c>
      <c r="AI25" s="279"/>
      <c r="AJ25" s="279">
        <f ca="1">SUM(AF25:AI25)</f>
        <v>3</v>
      </c>
      <c r="AK25" s="203"/>
      <c r="AL25" s="279">
        <f ca="1">IF($Z25=$Z22,$S29-$V26,0)</f>
        <v>0</v>
      </c>
      <c r="AM25" s="279">
        <f ca="1">IF($Z25=$Z23,$T29-$V27,0)</f>
        <v>0</v>
      </c>
      <c r="AN25" s="279">
        <f ca="1">IF($Z25=$Z24,$U29-$V28,0)</f>
        <v>5</v>
      </c>
      <c r="AO25" s="279"/>
      <c r="AP25" s="279">
        <f ca="1">SUM(AL25:AO25)</f>
        <v>5</v>
      </c>
      <c r="AQ25" s="279">
        <f ca="1">IF($Z25=$Z22,$S29,0)</f>
        <v>0</v>
      </c>
      <c r="AR25" s="279">
        <f ca="1">IF($Z25=$Z23,$T29,0)</f>
        <v>0</v>
      </c>
      <c r="AS25" s="279">
        <f ca="1">IF($Z25=$Z24,$U29,0)</f>
        <v>5</v>
      </c>
      <c r="AT25" s="279"/>
      <c r="AU25" s="279">
        <f ca="1">SUM(AQ25:AT25)</f>
        <v>5</v>
      </c>
      <c r="AV25" s="203">
        <v>1</v>
      </c>
      <c r="AW25" s="2"/>
      <c r="AX25" s="2"/>
      <c r="AY25" s="2"/>
      <c r="AZ25" s="2"/>
      <c r="BA25" s="2">
        <v>35</v>
      </c>
      <c r="BB25" s="6">
        <f>VLOOKUP(BA25,Spiele!$A$1:$L$116,2,FALSE)</f>
        <v>46193.5</v>
      </c>
      <c r="BC25" s="6" t="str">
        <f>VLOOKUP(BA25,Spiele!$A$1:$L$116,9,FALSE)</f>
        <v>Houston</v>
      </c>
      <c r="BD25" s="56" t="str">
        <f>BY22</f>
        <v>Niederlande</v>
      </c>
      <c r="BE25" s="40" t="s">
        <v>24</v>
      </c>
      <c r="BF25" s="56" t="str">
        <f>BY24</f>
        <v>Schweden</v>
      </c>
      <c r="BG25" s="53"/>
      <c r="BH25" s="107">
        <f ca="1">IF($B$102&lt;&gt;"","",IF($B$101&lt;&gt;"",IF(Ergebnisse!BH25="","",Ergebnisse!BH25),IF($B$99="",2,INT(RAND()*5)+INT(RAND()*3)*INT(RAND()*2))))</f>
        <v>2</v>
      </c>
      <c r="BI25" s="11" t="s">
        <v>25</v>
      </c>
      <c r="BJ25" s="107">
        <f ca="1">IF($B$102&lt;&gt;"","",IF($B$101&lt;&gt;"",IF(Ergebnisse!BJ25="","",Ergebnisse!BJ25),IF($B$99="",2,INT(RAND()*5)+INT(RAND()*3)*INT(RAND()*2))))</f>
        <v>0</v>
      </c>
      <c r="BK25" s="7" t="str">
        <f t="shared" ca="1" si="3"/>
        <v>ok</v>
      </c>
      <c r="BL25" s="1"/>
      <c r="BM25" s="9" t="str">
        <f ca="1">VLOOKUP(4,$BX$22:$CC$25,2,FALSE)</f>
        <v>Japan</v>
      </c>
      <c r="BN25" s="2">
        <f ca="1">VLOOKUP(4,$BX$22:$CC$25,3,FALSE)</f>
        <v>0</v>
      </c>
      <c r="BO25" s="2">
        <f ca="1">VLOOKUP(4,$BX$22:$CC$25,4,FALSE)</f>
        <v>5</v>
      </c>
      <c r="BP25" s="2">
        <f ca="1">VLOOKUP(4,$BX$22:$CC$25,5,FALSE)</f>
        <v>9</v>
      </c>
      <c r="BQ25" s="2">
        <f ca="1">VLOOKUP(4,$BX$22:$CC$25,6,FALSE)</f>
        <v>-4</v>
      </c>
      <c r="BS25" s="61">
        <f ca="1">IF(BH27="",0,IF(BK28=$B$98,IF(BH27&gt;BJ27,3,IF(BH27=BJ27,1,0)),0))</f>
        <v>3</v>
      </c>
      <c r="BT25" s="61">
        <f ca="1">IF(BH26="",0,IF(BK26=$B$98,IF(BJ26&lt;BH26,3,IF(BJ26=BH26,1,0)),0))</f>
        <v>3</v>
      </c>
      <c r="BU25" s="61">
        <f ca="1">IF(BJ24="",0,IF(BK24=$B$98,IF(BH24&lt;BJ24,3,IF(BH24=BJ24,1,0)),0))</f>
        <v>0</v>
      </c>
      <c r="BV25" s="60"/>
      <c r="BW25" s="1"/>
      <c r="BX25" s="1">
        <f ca="1">RANK(CD25,$CD$22:$CD$25)</f>
        <v>3</v>
      </c>
      <c r="BY25" s="40" t="s">
        <v>218</v>
      </c>
      <c r="BZ25" s="1">
        <f ca="1">SUM(BS25:BV25)</f>
        <v>6</v>
      </c>
      <c r="CA25" s="1">
        <f ca="1">SUM(BS29:BV29)</f>
        <v>9</v>
      </c>
      <c r="CB25" s="1">
        <f ca="1">SUM(BV26:BV29)</f>
        <v>9</v>
      </c>
      <c r="CC25" s="1">
        <f ca="1">CA25-CB25</f>
        <v>0</v>
      </c>
      <c r="CD25" s="24">
        <f ca="1">IF(BP$28="",(((((((CE25*10+BZ25)*100+CC25)*100+CA25)*10+CK25)*10+CJ25)*100+CP25)*100+CU25)*10+CV25,(((((((CE25*10+BZ25)*10+CK25)*10+CJ25)*100+CP25)*100+CU25)*100+CC25)*100+CA25)*10+CV25)</f>
        <v>599990600091</v>
      </c>
      <c r="CE25" s="207"/>
      <c r="CF25" s="280">
        <f ca="1">IF($BZ25=$BZ22,$BS25-$BV22,0)</f>
        <v>3</v>
      </c>
      <c r="CG25" s="280">
        <f ca="1">IF($BZ25=$BZ23,$BT25-$BV23,0)</f>
        <v>0</v>
      </c>
      <c r="CH25" s="280">
        <f ca="1">IF($BZ25=$BZ24,$BU25-$BV24,0)</f>
        <v>-3</v>
      </c>
      <c r="CI25" s="280"/>
      <c r="CJ25" s="280">
        <f ca="1">SUM(CF25:CI25)</f>
        <v>0</v>
      </c>
      <c r="CK25" s="207"/>
      <c r="CL25" s="280">
        <f ca="1">IF($BZ25=$BZ22,$BS29-$BV26,0)</f>
        <v>1</v>
      </c>
      <c r="CM25" s="280">
        <f ca="1">IF($BZ25=$BZ23,$BT29-$BV27,0)</f>
        <v>0</v>
      </c>
      <c r="CN25" s="280">
        <f ca="1">IF($BZ25=$BZ24,$BU29-$BV28,0)</f>
        <v>-2</v>
      </c>
      <c r="CO25" s="280"/>
      <c r="CP25" s="280">
        <f ca="1">SUM(CL25:CO25)</f>
        <v>-1</v>
      </c>
      <c r="CQ25" s="280">
        <f ca="1">IF($BZ25=$BZ22,$BS29,0)</f>
        <v>2</v>
      </c>
      <c r="CR25" s="280">
        <f ca="1">IF($BZ25=$BZ23,$BT29,0)</f>
        <v>0</v>
      </c>
      <c r="CS25" s="280">
        <f ca="1">IF($BZ25=$BZ24,$BU29,0)</f>
        <v>4</v>
      </c>
      <c r="CT25" s="280"/>
      <c r="CU25" s="280">
        <f ca="1">SUM(CQ25:CT25)</f>
        <v>6</v>
      </c>
      <c r="CV25" s="207">
        <v>1</v>
      </c>
    </row>
    <row r="26" spans="1:104">
      <c r="A26" s="2">
        <v>30</v>
      </c>
      <c r="B26" s="6">
        <f>VLOOKUP(A26,Spiele!$A$1:$L$116,2,FALSE)</f>
        <v>46192.75</v>
      </c>
      <c r="C26" s="6" t="str">
        <f>VLOOKUP(A26,Spiele!$A$1:$L$116,9,FALSE)</f>
        <v>Boston</v>
      </c>
      <c r="D26" s="56" t="str">
        <f>Y25</f>
        <v>Schottland</v>
      </c>
      <c r="E26" s="40" t="s">
        <v>24</v>
      </c>
      <c r="F26" s="56" t="str">
        <f>Y23</f>
        <v>Marokko</v>
      </c>
      <c r="G26" s="53"/>
      <c r="H26" s="107">
        <f ca="1">IF($B$102&lt;&gt;"","",IF($B$101&lt;&gt;"",IF(Ergebnisse!H26="","",Ergebnisse!H26),IF($B$99="",2,INT(RAND()*5)+INT(RAND()*3)*INT(RAND()*2))))</f>
        <v>2</v>
      </c>
      <c r="I26" s="11" t="s">
        <v>25</v>
      </c>
      <c r="J26" s="107">
        <f ca="1">IF($B$102&lt;&gt;"","",IF($B$101&lt;&gt;"",IF(Ergebnisse!J26="","",Ergebnisse!J26),IF($B$99="",2,INT(RAND()*5)+INT(RAND()*3)*INT(RAND()*2))))</f>
        <v>3</v>
      </c>
      <c r="K26" s="7" t="str">
        <f t="shared" ca="1" si="2"/>
        <v>ok</v>
      </c>
      <c r="L26" s="1"/>
      <c r="N26" s="1"/>
      <c r="O26" s="1"/>
      <c r="P26" s="1"/>
      <c r="S26" s="60"/>
      <c r="T26" s="61">
        <f ca="1">IF(K23=$B$98,H23,0)</f>
        <v>3</v>
      </c>
      <c r="U26" s="61">
        <f ca="1">IF(K25=$B$98,H25,0)</f>
        <v>3</v>
      </c>
      <c r="V26" s="61">
        <f ca="1">IF(K28=$B$98,J27,0)</f>
        <v>1</v>
      </c>
      <c r="W26" s="62"/>
      <c r="X26" s="62"/>
      <c r="Y26" s="62"/>
      <c r="Z26" s="62"/>
      <c r="AA26" s="62"/>
      <c r="AB26" s="62"/>
      <c r="AC26" s="62"/>
      <c r="AD26" s="66"/>
      <c r="AE26" s="204"/>
      <c r="AF26" s="279"/>
      <c r="AG26" s="279"/>
      <c r="AH26" s="279"/>
      <c r="AI26" s="279"/>
      <c r="AJ26" s="279"/>
      <c r="AK26" s="279"/>
      <c r="AL26" s="279"/>
      <c r="AM26" s="279"/>
      <c r="AN26" s="279"/>
      <c r="AO26" s="279"/>
      <c r="AP26" s="279"/>
      <c r="AQ26" s="279"/>
      <c r="AR26" s="279"/>
      <c r="AS26" s="279"/>
      <c r="AT26" s="279"/>
      <c r="AV26" s="279"/>
      <c r="AW26" s="2"/>
      <c r="AX26" s="2"/>
      <c r="AY26" s="2"/>
      <c r="AZ26" s="2"/>
      <c r="BA26" s="2">
        <v>36</v>
      </c>
      <c r="BB26" s="6">
        <f>VLOOKUP(BA26,Spiele!$A$1:$L$116,2,FALSE)</f>
        <v>46193.958333333336</v>
      </c>
      <c r="BC26" s="6" t="str">
        <f>VLOOKUP(BA26,Spiele!$A$1:$L$116,9,FALSE)</f>
        <v>Monterrey</v>
      </c>
      <c r="BD26" s="56" t="str">
        <f>BY25</f>
        <v>Tunesien</v>
      </c>
      <c r="BE26" s="40" t="s">
        <v>24</v>
      </c>
      <c r="BF26" s="56" t="str">
        <f>BY23</f>
        <v>Japan</v>
      </c>
      <c r="BG26" s="53"/>
      <c r="BH26" s="107">
        <f ca="1">IF($B$102&lt;&gt;"","",IF($B$101&lt;&gt;"",IF(Ergebnisse!BH26="","",Ergebnisse!BH26),IF($B$99="",2,INT(RAND()*5)+INT(RAND()*3)*INT(RAND()*2))))</f>
        <v>3</v>
      </c>
      <c r="BI26" s="11" t="s">
        <v>25</v>
      </c>
      <c r="BJ26" s="107">
        <f ca="1">IF($B$102&lt;&gt;"","",IF($B$101&lt;&gt;"",IF(Ergebnisse!BJ26="","",Ergebnisse!BJ26),IF($B$99="",2,INT(RAND()*5)+INT(RAND()*3)*INT(RAND()*2))))</f>
        <v>2</v>
      </c>
      <c r="BK26" s="7" t="str">
        <f t="shared" ca="1" si="3"/>
        <v>ok</v>
      </c>
      <c r="BL26" s="1"/>
      <c r="BN26" s="1"/>
      <c r="BO26" s="1"/>
      <c r="BP26" s="1"/>
      <c r="BS26" s="60"/>
      <c r="BT26" s="61">
        <f ca="1">IF(BK23=$B$98,BH23,0)</f>
        <v>4</v>
      </c>
      <c r="BU26" s="61">
        <f ca="1">IF(BK25=$B$98,BH25,0)</f>
        <v>2</v>
      </c>
      <c r="BV26" s="61">
        <f ca="1">IF(BK28=$B$98,BJ27,0)</f>
        <v>1</v>
      </c>
      <c r="BW26" s="1"/>
      <c r="BX26" s="1"/>
      <c r="BY26" s="62"/>
      <c r="BZ26" s="1"/>
      <c r="CA26" s="1"/>
      <c r="CB26" s="1"/>
      <c r="CC26" s="1"/>
      <c r="CD26" s="5"/>
      <c r="CE26" s="7"/>
      <c r="CF26" s="280"/>
      <c r="CG26" s="280"/>
      <c r="CH26" s="280"/>
      <c r="CI26" s="280"/>
      <c r="CJ26" s="280"/>
      <c r="CK26" s="280"/>
      <c r="CL26" s="280"/>
      <c r="CM26" s="280"/>
      <c r="CN26" s="280"/>
      <c r="CO26" s="280"/>
      <c r="CP26" s="280"/>
      <c r="CQ26" s="280"/>
      <c r="CR26" s="280"/>
      <c r="CS26" s="280"/>
      <c r="CT26" s="280"/>
      <c r="CV26" s="280"/>
    </row>
    <row r="27" spans="1:104">
      <c r="A27" s="2">
        <v>49</v>
      </c>
      <c r="B27" s="6">
        <f>VLOOKUP(A27,Spiele!$A$1:$L$116,2,FALSE)</f>
        <v>46197.75</v>
      </c>
      <c r="C27" s="6" t="str">
        <f>VLOOKUP(A27,Spiele!$A$1:$L$116,9,FALSE)</f>
        <v>Miami</v>
      </c>
      <c r="D27" s="56" t="str">
        <f>Y25</f>
        <v>Schottland</v>
      </c>
      <c r="E27" s="40" t="s">
        <v>24</v>
      </c>
      <c r="F27" s="56" t="str">
        <f>Y22</f>
        <v>Brasilien</v>
      </c>
      <c r="G27" s="55"/>
      <c r="H27" s="107">
        <f ca="1">IF($B$102&lt;&gt;"","",IF($B$101&lt;&gt;"",IF(Ergebnisse!H27="","",Ergebnisse!H27),IF($B$99="",2,INT(RAND()*5)+INT(RAND()*3)*INT(RAND()*2))))</f>
        <v>2</v>
      </c>
      <c r="I27" s="11" t="s">
        <v>25</v>
      </c>
      <c r="J27" s="107">
        <f ca="1">IF($B$102&lt;&gt;"","",IF($B$101&lt;&gt;"",IF(Ergebnisse!J27="","",Ergebnisse!J27),IF($B$99="",2,INT(RAND()*5)+INT(RAND()*3)*INT(RAND()*2))))</f>
        <v>1</v>
      </c>
      <c r="K27" s="7" t="str">
        <f t="shared" ca="1" si="2"/>
        <v>ok</v>
      </c>
      <c r="M27" s="38" t="str">
        <f ca="1">IF(N22&gt;0,M22,"")</f>
        <v>Schottland</v>
      </c>
      <c r="N27" s="2" t="s">
        <v>38</v>
      </c>
      <c r="P27" s="29"/>
      <c r="S27" s="61">
        <f ca="1">IF(K23=$B$98,J23,0)</f>
        <v>1</v>
      </c>
      <c r="T27" s="60"/>
      <c r="U27" s="61">
        <f ca="1">IF(K27=$B$98,H28,0)</f>
        <v>2</v>
      </c>
      <c r="V27" s="61">
        <f ca="1">IF(K26=$B$98,J26,0)</f>
        <v>3</v>
      </c>
      <c r="AD27" s="55" t="s">
        <v>140</v>
      </c>
      <c r="AE27" s="108"/>
      <c r="AF27" s="281"/>
      <c r="AG27" s="281"/>
      <c r="AH27" s="281"/>
      <c r="AI27" s="281"/>
      <c r="AJ27" s="281"/>
      <c r="AK27" s="281"/>
      <c r="AL27" s="281"/>
      <c r="AM27" s="281"/>
      <c r="AN27" s="281"/>
      <c r="AO27" s="281"/>
      <c r="AP27" s="281"/>
      <c r="AQ27" s="281"/>
      <c r="AR27" s="281"/>
      <c r="AS27" s="281"/>
      <c r="AT27" s="281"/>
      <c r="AV27" s="281"/>
      <c r="AW27" s="2"/>
      <c r="AX27" s="2"/>
      <c r="AY27" s="2"/>
      <c r="AZ27" s="2"/>
      <c r="BA27" s="2">
        <v>55</v>
      </c>
      <c r="BB27" s="6">
        <f>VLOOKUP(BA27,Spiele!$A$1:$L$116,2,FALSE)</f>
        <v>46198.666666666664</v>
      </c>
      <c r="BC27" s="6" t="str">
        <f>VLOOKUP(BA27,Spiele!$A$1:$L$116,9,FALSE)</f>
        <v>Philadelphia</v>
      </c>
      <c r="BD27" s="56" t="str">
        <f>BY25</f>
        <v>Tunesien</v>
      </c>
      <c r="BE27" s="40" t="s">
        <v>24</v>
      </c>
      <c r="BF27" s="56" t="str">
        <f>BY22</f>
        <v>Niederlande</v>
      </c>
      <c r="BG27" s="55"/>
      <c r="BH27" s="107">
        <f ca="1">IF($B$102&lt;&gt;"","",IF($B$101&lt;&gt;"",IF(Ergebnisse!BH27="","",Ergebnisse!BH27),IF($B$99="",2,INT(RAND()*5)+INT(RAND()*3)*INT(RAND()*2))))</f>
        <v>2</v>
      </c>
      <c r="BI27" s="11" t="s">
        <v>25</v>
      </c>
      <c r="BJ27" s="107">
        <f ca="1">IF($B$102&lt;&gt;"","",IF($B$101&lt;&gt;"",IF(Ergebnisse!BJ27="","",Ergebnisse!BJ27),IF($B$99="",2,INT(RAND()*5)+INT(RAND()*3)*INT(RAND()*2))))</f>
        <v>1</v>
      </c>
      <c r="BK27" s="7" t="str">
        <f t="shared" ca="1" si="3"/>
        <v>ok</v>
      </c>
      <c r="BM27" s="223" t="str">
        <f ca="1">IF(BN22&gt;0,BM22,"")</f>
        <v>Niederlande</v>
      </c>
      <c r="BN27" s="2" t="s">
        <v>34</v>
      </c>
      <c r="BP27" s="29"/>
      <c r="BS27" s="61">
        <f ca="1">IF(BK23=$B$98,BJ23,0)</f>
        <v>2</v>
      </c>
      <c r="BT27" s="60"/>
      <c r="BU27" s="61">
        <f ca="1">IF(BK27=$B$98,BH28,0)</f>
        <v>1</v>
      </c>
      <c r="BV27" s="61">
        <f ca="1">IF(BK26=$B$98,BJ26,0)</f>
        <v>2</v>
      </c>
      <c r="CD27" s="2" t="s">
        <v>140</v>
      </c>
      <c r="CE27" s="8"/>
      <c r="CF27" s="282"/>
      <c r="CG27" s="282"/>
      <c r="CH27" s="282"/>
      <c r="CI27" s="282"/>
      <c r="CJ27" s="282"/>
      <c r="CK27" s="282"/>
      <c r="CL27" s="282"/>
      <c r="CM27" s="282"/>
      <c r="CN27" s="282"/>
      <c r="CO27" s="282"/>
      <c r="CP27" s="282"/>
      <c r="CQ27" s="282"/>
      <c r="CR27" s="282"/>
      <c r="CS27" s="282"/>
      <c r="CT27" s="282"/>
      <c r="CV27" s="282"/>
    </row>
    <row r="28" spans="1:104">
      <c r="A28" s="2">
        <v>50</v>
      </c>
      <c r="B28" s="6">
        <f>VLOOKUP(A28,Spiele!$A$1:$L$116,2,FALSE)</f>
        <v>46197.75</v>
      </c>
      <c r="C28" s="6" t="str">
        <f>VLOOKUP(A28,Spiele!$A$1:$L$116,9,FALSE)</f>
        <v>Atlanta</v>
      </c>
      <c r="D28" s="56" t="str">
        <f>Y23</f>
        <v>Marokko</v>
      </c>
      <c r="E28" s="40" t="s">
        <v>24</v>
      </c>
      <c r="F28" s="56" t="str">
        <f>Y24</f>
        <v>Haiti</v>
      </c>
      <c r="G28" s="55"/>
      <c r="H28" s="107">
        <f ca="1">IF($B$102&lt;&gt;"","",IF($B$101&lt;&gt;"",IF(Ergebnisse!H28="","",Ergebnisse!H28),IF($B$99="",2,INT(RAND()*5)+INT(RAND()*3)*INT(RAND()*2))))</f>
        <v>2</v>
      </c>
      <c r="I28" s="11" t="s">
        <v>25</v>
      </c>
      <c r="J28" s="107">
        <f ca="1">IF($B$102&lt;&gt;"","",IF($B$101&lt;&gt;"",IF(Ergebnisse!J28="","",Ergebnisse!J28),IF($B$99="",2,INT(RAND()*5)+INT(RAND()*3)*INT(RAND()*2))))</f>
        <v>5</v>
      </c>
      <c r="K28" s="7" t="str">
        <f t="shared" ca="1" si="2"/>
        <v>ok</v>
      </c>
      <c r="M28" s="38" t="str">
        <f ca="1">IF(N23&gt;0,M23,"")</f>
        <v>Haiti</v>
      </c>
      <c r="N28" s="2" t="s">
        <v>39</v>
      </c>
      <c r="O28" s="30"/>
      <c r="P28" s="205" t="s">
        <v>11</v>
      </c>
      <c r="S28" s="61">
        <f ca="1">IF(K25=$B$98,J25,0)</f>
        <v>4</v>
      </c>
      <c r="T28" s="61">
        <f ca="1">IF(K27=$B$98,J28,0)</f>
        <v>5</v>
      </c>
      <c r="U28" s="60"/>
      <c r="V28" s="61">
        <f ca="1">IF(K24=$B$98,H24,0)</f>
        <v>0</v>
      </c>
      <c r="AD28" s="55" t="s">
        <v>141</v>
      </c>
      <c r="AE28" s="108"/>
      <c r="AF28" s="281"/>
      <c r="AG28" s="281"/>
      <c r="AH28" s="281"/>
      <c r="AI28" s="281"/>
      <c r="AJ28" s="281"/>
      <c r="AK28" s="281"/>
      <c r="AL28" s="281"/>
      <c r="AM28" s="281"/>
      <c r="AN28" s="281"/>
      <c r="AO28" s="281"/>
      <c r="AP28" s="281"/>
      <c r="AQ28" s="281"/>
      <c r="AR28" s="281"/>
      <c r="AS28" s="281"/>
      <c r="AT28" s="281"/>
      <c r="AV28" s="281"/>
      <c r="AW28" s="2"/>
      <c r="AX28" s="2"/>
      <c r="AY28" s="2"/>
      <c r="AZ28" s="2"/>
      <c r="BA28" s="2">
        <v>56</v>
      </c>
      <c r="BB28" s="6">
        <f>VLOOKUP(BA28,Spiele!$A$1:$L$116,2,FALSE)</f>
        <v>46198.666666666664</v>
      </c>
      <c r="BC28" s="6" t="str">
        <f>VLOOKUP(BA28,Spiele!$A$1:$L$116,9,FALSE)</f>
        <v>New York</v>
      </c>
      <c r="BD28" s="56" t="str">
        <f>BY23</f>
        <v>Japan</v>
      </c>
      <c r="BE28" s="40" t="s">
        <v>24</v>
      </c>
      <c r="BF28" s="56" t="str">
        <f>BY24</f>
        <v>Schweden</v>
      </c>
      <c r="BG28" s="55"/>
      <c r="BH28" s="107">
        <f ca="1">IF($B$102&lt;&gt;"","",IF($B$101&lt;&gt;"",IF(Ergebnisse!BH28="","",Ergebnisse!BH28),IF($B$99="",2,INT(RAND()*5)+INT(RAND()*3)*INT(RAND()*2))))</f>
        <v>1</v>
      </c>
      <c r="BI28" s="11" t="s">
        <v>25</v>
      </c>
      <c r="BJ28" s="107">
        <f ca="1">IF($B$102&lt;&gt;"","",IF($B$101&lt;&gt;"",IF(Ergebnisse!BJ28="","",Ergebnisse!BJ28),IF($B$99="",2,INT(RAND()*5)+INT(RAND()*3)*INT(RAND()*2))))</f>
        <v>2</v>
      </c>
      <c r="BK28" s="7" t="str">
        <f t="shared" ca="1" si="3"/>
        <v>ok</v>
      </c>
      <c r="BM28" s="223" t="str">
        <f ca="1">IF(BN23&gt;0,BM23,"")</f>
        <v>Schweden</v>
      </c>
      <c r="BN28" s="2" t="s">
        <v>36</v>
      </c>
      <c r="BO28" s="30"/>
      <c r="BP28" s="205" t="s">
        <v>11</v>
      </c>
      <c r="BS28" s="61">
        <f ca="1">IF(BK25=$B$98,BJ25,0)</f>
        <v>0</v>
      </c>
      <c r="BT28" s="61">
        <f ca="1">IF(BK27=$B$98,BJ28,0)</f>
        <v>2</v>
      </c>
      <c r="BU28" s="60"/>
      <c r="BV28" s="61">
        <f ca="1">IF(BK24=$B$98,BH24,0)</f>
        <v>6</v>
      </c>
      <c r="CD28" s="2" t="s">
        <v>141</v>
      </c>
      <c r="CE28" s="8"/>
      <c r="CF28" s="282"/>
      <c r="CG28" s="282"/>
      <c r="CH28" s="282"/>
      <c r="CI28" s="282"/>
      <c r="CJ28" s="282"/>
      <c r="CK28" s="282"/>
      <c r="CL28" s="282"/>
      <c r="CM28" s="282"/>
      <c r="CN28" s="282"/>
      <c r="CO28" s="282"/>
      <c r="CP28" s="282"/>
      <c r="CQ28" s="282"/>
      <c r="CR28" s="282"/>
      <c r="CS28" s="282"/>
      <c r="CT28" s="282"/>
      <c r="CV28" s="282"/>
    </row>
    <row r="29" spans="1:104">
      <c r="D29" s="55"/>
      <c r="E29" s="55"/>
      <c r="G29" s="55"/>
      <c r="M29" s="38" t="str">
        <f ca="1">IF(N24&gt;0,M24,"")</f>
        <v>Brasilien</v>
      </c>
      <c r="N29" s="2" t="s">
        <v>145</v>
      </c>
      <c r="S29" s="61">
        <f ca="1">IF(K28=$B$98,H27,0)</f>
        <v>2</v>
      </c>
      <c r="T29" s="61">
        <f ca="1">IF(K26=$B$98,H26,0)</f>
        <v>2</v>
      </c>
      <c r="U29" s="61">
        <f ca="1">IF(K24=$B$98,J24,0)</f>
        <v>5</v>
      </c>
      <c r="V29" s="60"/>
      <c r="AD29" s="55" t="s">
        <v>143</v>
      </c>
      <c r="AE29" s="108"/>
      <c r="AF29" s="281"/>
      <c r="AG29" s="281"/>
      <c r="AH29" s="281"/>
      <c r="AI29" s="281"/>
      <c r="AJ29" s="281"/>
      <c r="AK29" s="281"/>
      <c r="AL29" s="281"/>
      <c r="AM29" s="281"/>
      <c r="AN29" s="281"/>
      <c r="AO29" s="281"/>
      <c r="AP29" s="281"/>
      <c r="AQ29" s="281"/>
      <c r="AR29" s="281"/>
      <c r="AS29" s="281"/>
      <c r="AT29" s="281"/>
      <c r="AV29" s="281"/>
      <c r="AW29" s="2"/>
      <c r="AX29" s="2"/>
      <c r="AY29" s="2"/>
      <c r="AZ29" s="2"/>
      <c r="BE29" s="55"/>
      <c r="BF29" s="55"/>
      <c r="BG29" s="55"/>
      <c r="BM29" s="223" t="str">
        <f ca="1">IF(BN24&gt;0,BM24,"")</f>
        <v>Tunesien</v>
      </c>
      <c r="BN29" s="2" t="s">
        <v>152</v>
      </c>
      <c r="BS29" s="61">
        <f ca="1">IF(BK28=$B$98,BH27,0)</f>
        <v>2</v>
      </c>
      <c r="BT29" s="61">
        <f ca="1">IF(BK26=$B$98,BH26,0)</f>
        <v>3</v>
      </c>
      <c r="BU29" s="61">
        <f ca="1">IF(BK24=$B$98,BJ24,0)</f>
        <v>4</v>
      </c>
      <c r="BV29" s="60"/>
      <c r="CD29" s="2" t="s">
        <v>143</v>
      </c>
      <c r="CE29" s="8"/>
      <c r="CF29" s="282"/>
      <c r="CG29" s="282"/>
      <c r="CH29" s="282"/>
      <c r="CI29" s="282"/>
      <c r="CJ29" s="282"/>
      <c r="CK29" s="282"/>
      <c r="CL29" s="282"/>
      <c r="CM29" s="282"/>
      <c r="CN29" s="282"/>
      <c r="CO29" s="282"/>
      <c r="CP29" s="282"/>
      <c r="CQ29" s="282"/>
      <c r="CR29" s="282"/>
      <c r="CS29" s="282"/>
      <c r="CT29" s="282"/>
      <c r="CV29" s="282"/>
    </row>
    <row r="30" spans="1:104" ht="6" customHeight="1">
      <c r="D30" s="55"/>
      <c r="E30" s="58"/>
      <c r="F30" s="59"/>
      <c r="G30" s="59"/>
      <c r="H30" s="55"/>
      <c r="I30" s="55"/>
      <c r="J30" s="55"/>
      <c r="AE30" s="108"/>
      <c r="AF30" s="281"/>
      <c r="AG30" s="281"/>
      <c r="AH30" s="281"/>
      <c r="AI30" s="281"/>
      <c r="AJ30" s="281"/>
      <c r="AK30" s="281"/>
      <c r="AL30" s="281"/>
      <c r="AM30" s="281"/>
      <c r="AN30" s="281"/>
      <c r="AO30" s="281"/>
      <c r="AP30" s="281"/>
      <c r="AQ30" s="281"/>
      <c r="AR30" s="281"/>
      <c r="AS30" s="281"/>
      <c r="AT30" s="281"/>
      <c r="AV30" s="281"/>
      <c r="AW30" s="2"/>
      <c r="AX30" s="2"/>
      <c r="AY30" s="2"/>
      <c r="AZ30" s="2"/>
      <c r="BD30" s="55"/>
      <c r="BE30" s="58"/>
      <c r="BF30" s="59"/>
      <c r="BG30" s="59"/>
      <c r="BH30" s="55"/>
      <c r="BI30" s="55"/>
      <c r="BJ30" s="55"/>
      <c r="BS30" s="55"/>
      <c r="BT30" s="55"/>
      <c r="BU30" s="55"/>
      <c r="BV30" s="55"/>
      <c r="CE30" s="8"/>
      <c r="CF30" s="282"/>
      <c r="CG30" s="282"/>
      <c r="CH30" s="282"/>
      <c r="CI30" s="282"/>
      <c r="CJ30" s="282"/>
      <c r="CK30" s="282"/>
      <c r="CL30" s="282"/>
      <c r="CM30" s="282"/>
      <c r="CN30" s="282"/>
      <c r="CO30" s="282"/>
      <c r="CP30" s="282"/>
      <c r="CQ30" s="282"/>
      <c r="CR30" s="282"/>
      <c r="CS30" s="282"/>
      <c r="CT30" s="282"/>
      <c r="CV30" s="282"/>
    </row>
    <row r="31" spans="1:104">
      <c r="A31" s="10"/>
      <c r="B31" s="224" t="s">
        <v>0</v>
      </c>
      <c r="C31" s="225" t="s">
        <v>219</v>
      </c>
      <c r="D31" s="17" t="s">
        <v>2</v>
      </c>
      <c r="E31" s="14"/>
      <c r="F31" s="17"/>
      <c r="G31" s="17"/>
      <c r="H31" s="17"/>
      <c r="I31" s="19"/>
      <c r="J31" s="20"/>
      <c r="K31" s="180"/>
      <c r="L31" s="17"/>
      <c r="M31" s="35" t="s">
        <v>3</v>
      </c>
      <c r="N31" s="17" t="s">
        <v>4</v>
      </c>
      <c r="O31" s="17" t="s">
        <v>5</v>
      </c>
      <c r="P31" s="17" t="s">
        <v>6</v>
      </c>
      <c r="Q31" s="17" t="s">
        <v>7</v>
      </c>
      <c r="R31" s="17"/>
      <c r="W31" s="53"/>
      <c r="X31" s="53" t="s">
        <v>8</v>
      </c>
      <c r="Y31" s="56" t="s">
        <v>9</v>
      </c>
      <c r="Z31" s="53" t="s">
        <v>4</v>
      </c>
      <c r="AA31" s="53" t="s">
        <v>5</v>
      </c>
      <c r="AB31" s="53" t="s">
        <v>6</v>
      </c>
      <c r="AC31" s="53" t="s">
        <v>7</v>
      </c>
      <c r="AD31" s="53"/>
      <c r="AE31" s="19" t="s">
        <v>10</v>
      </c>
      <c r="AF31" s="40" t="s">
        <v>11</v>
      </c>
      <c r="AG31" s="40"/>
      <c r="AH31" s="40"/>
      <c r="AI31" s="40"/>
      <c r="AJ31" s="40" t="s">
        <v>12</v>
      </c>
      <c r="AK31" s="56" t="s">
        <v>13</v>
      </c>
      <c r="AL31" s="40" t="s">
        <v>14</v>
      </c>
      <c r="AM31" s="40"/>
      <c r="AN31" s="40"/>
      <c r="AO31" s="40"/>
      <c r="AP31" s="40" t="s">
        <v>15</v>
      </c>
      <c r="AQ31" s="40" t="s">
        <v>16</v>
      </c>
      <c r="AR31" s="40"/>
      <c r="AS31" s="40"/>
      <c r="AT31" s="40"/>
      <c r="AU31" s="58" t="s">
        <v>17</v>
      </c>
      <c r="AV31" s="56" t="s">
        <v>18</v>
      </c>
      <c r="AW31" s="10"/>
      <c r="AX31" s="10"/>
      <c r="AY31" s="10"/>
      <c r="AZ31" s="10"/>
      <c r="BA31" s="10"/>
      <c r="BB31" s="226" t="s">
        <v>0</v>
      </c>
      <c r="BC31" s="227" t="s">
        <v>220</v>
      </c>
      <c r="BD31" s="17" t="s">
        <v>2</v>
      </c>
      <c r="BE31" s="14"/>
      <c r="BF31" s="17"/>
      <c r="BG31" s="17"/>
      <c r="BH31" s="17"/>
      <c r="BI31" s="19"/>
      <c r="BJ31" s="20"/>
      <c r="BK31" s="180"/>
      <c r="BL31" s="17"/>
      <c r="BM31" s="35" t="s">
        <v>3</v>
      </c>
      <c r="BN31" s="17" t="s">
        <v>4</v>
      </c>
      <c r="BO31" s="17" t="s">
        <v>5</v>
      </c>
      <c r="BP31" s="17" t="s">
        <v>6</v>
      </c>
      <c r="BQ31" s="17" t="s">
        <v>7</v>
      </c>
      <c r="BR31" s="17"/>
      <c r="BW31" s="17"/>
      <c r="BX31" s="17" t="s">
        <v>8</v>
      </c>
      <c r="BY31" s="56" t="s">
        <v>9</v>
      </c>
      <c r="BZ31" s="17" t="s">
        <v>4</v>
      </c>
      <c r="CA31" s="17" t="s">
        <v>5</v>
      </c>
      <c r="CB31" s="17" t="s">
        <v>6</v>
      </c>
      <c r="CC31" s="17" t="s">
        <v>7</v>
      </c>
      <c r="CD31" s="17"/>
      <c r="CE31" s="180" t="s">
        <v>10</v>
      </c>
      <c r="CF31" s="15" t="s">
        <v>11</v>
      </c>
      <c r="CG31" s="15"/>
      <c r="CH31" s="15"/>
      <c r="CI31" s="15"/>
      <c r="CJ31" s="15" t="s">
        <v>12</v>
      </c>
      <c r="CK31" s="21" t="s">
        <v>13</v>
      </c>
      <c r="CL31" s="15" t="s">
        <v>14</v>
      </c>
      <c r="CM31" s="15"/>
      <c r="CN31" s="15"/>
      <c r="CO31" s="15"/>
      <c r="CP31" s="15" t="s">
        <v>15</v>
      </c>
      <c r="CQ31" s="15" t="s">
        <v>16</v>
      </c>
      <c r="CR31" s="15"/>
      <c r="CS31" s="15"/>
      <c r="CT31" s="15"/>
      <c r="CU31" s="16" t="s">
        <v>17</v>
      </c>
      <c r="CV31" s="21" t="s">
        <v>18</v>
      </c>
      <c r="CW31" s="10"/>
      <c r="CX31" s="10"/>
      <c r="CY31" s="10"/>
      <c r="CZ31" s="10"/>
    </row>
    <row r="32" spans="1:104">
      <c r="B32" s="3" t="s">
        <v>22</v>
      </c>
      <c r="C32" s="3" t="s">
        <v>23</v>
      </c>
      <c r="L32" s="1"/>
      <c r="M32" s="9" t="str">
        <f ca="1">VLOOKUP(1,$X$32:$AC$35,2,FALSE)</f>
        <v>Neuseeland</v>
      </c>
      <c r="N32" s="2">
        <f ca="1">VLOOKUP(1,$X$32:$AC$35,3,FALSE)</f>
        <v>7</v>
      </c>
      <c r="O32" s="2">
        <f ca="1">VLOOKUP(1,$X$32:$AC$35,4,FALSE)</f>
        <v>8</v>
      </c>
      <c r="P32" s="2">
        <f ca="1">VLOOKUP(1,$X$32:$AC$35,5,FALSE)</f>
        <v>3</v>
      </c>
      <c r="Q32" s="2">
        <f ca="1">VLOOKUP(1,$X$32:$AC$35,6,FALSE)</f>
        <v>5</v>
      </c>
      <c r="S32" s="60"/>
      <c r="T32" s="61">
        <f ca="1">IF(H33="",0,IF(K33=$B$98,IF(H33&gt;J33,3,IF(H33=J33,1,0)),0))</f>
        <v>3</v>
      </c>
      <c r="U32" s="61">
        <f ca="1">IF(H35="",0,IF(K35=$B$98,IF(H35&gt;J35,3,IF(H35=J35,1,0)),0))</f>
        <v>0</v>
      </c>
      <c r="V32" s="61">
        <f ca="1">IF(J37="",0,IF(K38=$B$98,IF(H37&lt;J37,3,IF(H37=J37,1,0)),0))</f>
        <v>1</v>
      </c>
      <c r="W32" s="62"/>
      <c r="X32" s="62">
        <f ca="1">RANK(AD32,$AD$32:$AD$35)</f>
        <v>3</v>
      </c>
      <c r="Y32" s="40" t="s">
        <v>186</v>
      </c>
      <c r="Z32" s="62">
        <f ca="1">SUM(S32:V32)</f>
        <v>4</v>
      </c>
      <c r="AA32" s="62">
        <f ca="1">SUM(S36:V36)</f>
        <v>7</v>
      </c>
      <c r="AB32" s="62">
        <f ca="1">SUM(S36:S39)</f>
        <v>8</v>
      </c>
      <c r="AC32" s="62">
        <f ca="1">AA32-AB32</f>
        <v>-1</v>
      </c>
      <c r="AD32" s="24">
        <f ca="1">IF(P$8="",(((((((AE32*10+Z32)*100+AC32)*100+AA32)*10+AK32)*10+AJ32)*100+AP32)*100+AU32)*10+AV32,(((((((AE32*10+Z32)*10+AK32)*10+AJ32)*100+AP32)*100+AU32)*100+AC32)*100+AA32)*10+AV32)</f>
        <v>396970199074</v>
      </c>
      <c r="AE32" s="203"/>
      <c r="AF32" s="279"/>
      <c r="AG32" s="279">
        <f ca="1">IF($Z32=$Z33,$T32-$S33,0)</f>
        <v>0</v>
      </c>
      <c r="AH32" s="279">
        <f ca="1">IF($Z32=$Z34,$U32-$S34,0)</f>
        <v>-3</v>
      </c>
      <c r="AI32" s="279">
        <f ca="1">IF($Z32=$Z35,$V32-$S35,0)</f>
        <v>0</v>
      </c>
      <c r="AJ32" s="279">
        <f ca="1">SUM(AF32:AI32)</f>
        <v>-3</v>
      </c>
      <c r="AK32" s="203"/>
      <c r="AL32" s="279"/>
      <c r="AM32" s="279">
        <f ca="1">IF($Z32=$Z33,$T36-$S37,0)</f>
        <v>0</v>
      </c>
      <c r="AN32" s="279">
        <f ca="1">IF($Z32=$Z34,$U36-$S38,0)</f>
        <v>-3</v>
      </c>
      <c r="AO32" s="279">
        <f ca="1">IF($Z32=$Z35,$V36-$S39,0)</f>
        <v>0</v>
      </c>
      <c r="AP32" s="279">
        <f ca="1">SUM(AL32:AO32)</f>
        <v>-3</v>
      </c>
      <c r="AQ32" s="279"/>
      <c r="AR32" s="279">
        <f ca="1">IF($Z32=$Z33,$T36,0)</f>
        <v>0</v>
      </c>
      <c r="AS32" s="279">
        <f ca="1">IF($Z32=$Z34,$U36,0)</f>
        <v>2</v>
      </c>
      <c r="AT32" s="279">
        <f ca="1">IF($Z32=$Z35,$V36,0)</f>
        <v>0</v>
      </c>
      <c r="AU32" s="279">
        <f ca="1">SUM(AQ32:AT32)</f>
        <v>2</v>
      </c>
      <c r="AV32" s="203">
        <v>4</v>
      </c>
      <c r="AW32" s="2"/>
      <c r="AX32" s="2"/>
      <c r="AY32" s="2"/>
      <c r="AZ32" s="2"/>
      <c r="BB32" s="3" t="s">
        <v>22</v>
      </c>
      <c r="BC32" s="3" t="s">
        <v>23</v>
      </c>
      <c r="BL32" s="1"/>
      <c r="BM32" s="9" t="str">
        <f ca="1">VLOOKUP(1,$BX$32:$CC$35,2,FALSE)</f>
        <v>Argentinien</v>
      </c>
      <c r="BN32" s="2">
        <f ca="1">VLOOKUP(1,$BX$32:$CC$35,3,FALSE)</f>
        <v>7</v>
      </c>
      <c r="BO32" s="2">
        <f ca="1">VLOOKUP(1,$BX$32:$CC$35,4,FALSE)</f>
        <v>11</v>
      </c>
      <c r="BP32" s="2">
        <f ca="1">VLOOKUP(1,$BX$32:$CC$35,5,FALSE)</f>
        <v>8</v>
      </c>
      <c r="BQ32" s="2">
        <f ca="1">VLOOKUP(1,$BX$32:$CC$35,6,FALSE)</f>
        <v>3</v>
      </c>
      <c r="BS32" s="60"/>
      <c r="BT32" s="61">
        <f ca="1">IF(BH33="",0,IF(BK33=$B$98,IF(BH33&gt;BJ33,3,IF(BH33=BJ33,1,0)),0))</f>
        <v>1</v>
      </c>
      <c r="BU32" s="61">
        <f ca="1">IF(BH35="",0,IF(BK35=$B$98,IF(BH35&gt;BJ35,3,IF(BH35=BJ35,1,0)),0))</f>
        <v>3</v>
      </c>
      <c r="BV32" s="61">
        <f ca="1">IF(BJ37="",0,IF(BK38=$B$98,IF(BH37&lt;BJ37,3,IF(BH37=BJ37,1,0)),0))</f>
        <v>3</v>
      </c>
      <c r="BW32" s="1"/>
      <c r="BX32" s="1">
        <f ca="1">RANK(CD32,$CD$32:$CD$35)</f>
        <v>1</v>
      </c>
      <c r="BY32" s="40" t="s">
        <v>221</v>
      </c>
      <c r="BZ32" s="1">
        <f ca="1">SUM(BS32:BV32)</f>
        <v>7</v>
      </c>
      <c r="CA32" s="1">
        <f ca="1">SUM(BS36:BV36)</f>
        <v>11</v>
      </c>
      <c r="CB32" s="1">
        <f ca="1">SUM(BS36:BS39)</f>
        <v>8</v>
      </c>
      <c r="CC32" s="1">
        <f ca="1">CA32-CB32</f>
        <v>3</v>
      </c>
      <c r="CD32" s="24">
        <f ca="1">IF(BP$8="",(((((((CE32*10+BZ32)*100+CC32)*100+CA32)*10+CK32)*10+CJ32)*100+CP32)*100+CU32)*10+CV32,(((((((CE32*10+BZ32)*10+CK32)*10+CJ32)*100+CP32)*100+CU32)*100+CC32)*100+CA32)*10+CV32)</f>
        <v>700000003114</v>
      </c>
      <c r="CE32" s="207"/>
      <c r="CF32" s="280"/>
      <c r="CG32" s="280">
        <f ca="1">IF($BZ32=$BZ33,$BT32-$BS33,0)</f>
        <v>0</v>
      </c>
      <c r="CH32" s="280">
        <f ca="1">IF($BZ32=$BZ34,$BU32-$BS34,0)</f>
        <v>0</v>
      </c>
      <c r="CI32" s="280">
        <f ca="1">IF($BZ32=$BZ35,$BV32-$BS35,0)</f>
        <v>0</v>
      </c>
      <c r="CJ32" s="280">
        <f ca="1">SUM(CF32:CI32)</f>
        <v>0</v>
      </c>
      <c r="CK32" s="207"/>
      <c r="CL32" s="280"/>
      <c r="CM32" s="280">
        <f ca="1">IF($BZ32=$BZ33,$BT36-$BS37,0)</f>
        <v>0</v>
      </c>
      <c r="CN32" s="280">
        <f ca="1">IF($BZ32=$BZ34,$BU36-$BS38,0)</f>
        <v>0</v>
      </c>
      <c r="CO32" s="280">
        <f ca="1">IF($BZ32=$BZ35,$BV36-$BS39,0)</f>
        <v>0</v>
      </c>
      <c r="CP32" s="280">
        <f ca="1">SUM(CL32:CO32)</f>
        <v>0</v>
      </c>
      <c r="CQ32" s="280"/>
      <c r="CR32" s="280">
        <f ca="1">IF($BZ32=$BZ33,$BT36,0)</f>
        <v>0</v>
      </c>
      <c r="CS32" s="280">
        <f ca="1">IF($BZ32=$BZ34,$BU36,0)</f>
        <v>0</v>
      </c>
      <c r="CT32" s="280">
        <f ca="1">IF($BZ32=$BZ35,$BV36,0)</f>
        <v>0</v>
      </c>
      <c r="CU32" s="280">
        <f ca="1">SUM(CQ32:CT32)</f>
        <v>0</v>
      </c>
      <c r="CV32" s="207">
        <v>4</v>
      </c>
    </row>
    <row r="33" spans="1:104">
      <c r="A33" s="2">
        <v>16</v>
      </c>
      <c r="B33" s="6">
        <f>VLOOKUP(A33,Spiele!$A$1:$L$116,2,FALSE)</f>
        <v>46188.5</v>
      </c>
      <c r="C33" s="6" t="str">
        <f>VLOOKUP(A33,Spiele!$A$1:$L$116,9,FALSE)</f>
        <v>Seattle</v>
      </c>
      <c r="D33" s="56" t="str">
        <f>Y32</f>
        <v>Belgien</v>
      </c>
      <c r="E33" s="40" t="s">
        <v>24</v>
      </c>
      <c r="F33" s="56" t="str">
        <f>Y33</f>
        <v>Ägypten</v>
      </c>
      <c r="G33" s="53"/>
      <c r="H33" s="107">
        <f ca="1">IF($B$102&lt;&gt;"","",IF($B$101&lt;&gt;"",IF(Ergebnisse!H33="","",Ergebnisse!H33),IF($B$99="",2,INT(RAND()*5)+INT(RAND()*3)*INT(RAND()*2))))</f>
        <v>3</v>
      </c>
      <c r="I33" s="11" t="s">
        <v>25</v>
      </c>
      <c r="J33" s="107">
        <f ca="1">IF($B$102&lt;&gt;"","",IF($B$101&lt;&gt;"",IF(Ergebnisse!J33="","",Ergebnisse!J33),IF($B$99="",2,INT(RAND()*5)+INT(RAND()*3)*INT(RAND()*2))))</f>
        <v>1</v>
      </c>
      <c r="K33" s="7" t="str">
        <f t="shared" ref="K33" ca="1" si="6">IF(OR(H33="",J33=""),"","ok")</f>
        <v>ok</v>
      </c>
      <c r="L33" s="1"/>
      <c r="M33" s="9" t="str">
        <f ca="1">VLOOKUP(2,$X$32:$AC$35,2,FALSE)</f>
        <v>IR Iran</v>
      </c>
      <c r="N33" s="2">
        <f ca="1">VLOOKUP(2,$X$32:$AC$35,3,FALSE)</f>
        <v>4</v>
      </c>
      <c r="O33" s="2">
        <f ca="1">VLOOKUP(2,$X$32:$AC$35,4,FALSE)</f>
        <v>8</v>
      </c>
      <c r="P33" s="2">
        <f ca="1">VLOOKUP(2,$X$32:$AC$35,5,FALSE)</f>
        <v>7</v>
      </c>
      <c r="Q33" s="2">
        <f ca="1">VLOOKUP(2,$X$32:$AC$35,6,FALSE)</f>
        <v>1</v>
      </c>
      <c r="S33" s="61">
        <f ca="1">IF(J33="",0,IF(K33=$B$98,IF(H33&lt;J33,3,IF(H33=J33,1,0)),0))</f>
        <v>0</v>
      </c>
      <c r="T33" s="60"/>
      <c r="U33" s="61">
        <f ca="1">IF(H38="",0,IF(K37=$B$98,IF(H38&gt;J38,3,IF(H38=J38,1,0)),0))</f>
        <v>1</v>
      </c>
      <c r="V33" s="61">
        <f ca="1">IF(J36="",0,IF(K36=$B$98,IF(J36&gt;H36,3,IF(J36=H36,1,0)),0))</f>
        <v>0</v>
      </c>
      <c r="W33" s="62"/>
      <c r="X33" s="62">
        <f ca="1">RANK(AD33,$AD$32:$AD$35)</f>
        <v>4</v>
      </c>
      <c r="Y33" s="40" t="s">
        <v>222</v>
      </c>
      <c r="Z33" s="62">
        <f ca="1">SUM(S33:V33)</f>
        <v>1</v>
      </c>
      <c r="AA33" s="62">
        <f ca="1">SUM(S37:V37)</f>
        <v>3</v>
      </c>
      <c r="AB33" s="62">
        <f ca="1">SUM(T36:T39)</f>
        <v>8</v>
      </c>
      <c r="AC33" s="62">
        <f ca="1">AA33-AB33</f>
        <v>-5</v>
      </c>
      <c r="AD33" s="24">
        <f ca="1">IF(P$8="",(((((((AE33*10+Z33)*100+AC33)*100+AA33)*10+AK33)*10+AJ33)*100+AP33)*100+AU33)*10+AV33,(((((((AE33*10+Z33)*10+AK33)*10+AJ33)*100+AP33)*100+AU33)*100+AC33)*100+AA33)*10+AV33)</f>
        <v>99999995033</v>
      </c>
      <c r="AE33" s="203"/>
      <c r="AF33" s="279">
        <f ca="1">IF($Z33=$Z32,$S33-$T32,0)</f>
        <v>0</v>
      </c>
      <c r="AG33" s="279"/>
      <c r="AH33" s="279">
        <f ca="1">IF($Z33=$Z34,$U33-$T34,0)</f>
        <v>0</v>
      </c>
      <c r="AI33" s="279">
        <f ca="1">IF($Z33=$Z35,$V33-$T35,0)</f>
        <v>0</v>
      </c>
      <c r="AJ33" s="279">
        <f ca="1">SUM(AF33:AI33)</f>
        <v>0</v>
      </c>
      <c r="AK33" s="203"/>
      <c r="AL33" s="279">
        <f ca="1">IF($Z33=$Z32,$S37-$T36,0)</f>
        <v>0</v>
      </c>
      <c r="AM33" s="279"/>
      <c r="AN33" s="279">
        <f ca="1">IF($Z33=$Z34,$U37-$T38,0)</f>
        <v>0</v>
      </c>
      <c r="AO33" s="279">
        <f ca="1">IF($Z33=$Z35,$V37-$T39,0)</f>
        <v>0</v>
      </c>
      <c r="AP33" s="279">
        <f ca="1">SUM(AL33:AO33)</f>
        <v>0</v>
      </c>
      <c r="AQ33" s="279">
        <f ca="1">IF($Z33=$Z32,$S37,0)</f>
        <v>0</v>
      </c>
      <c r="AR33" s="279"/>
      <c r="AS33" s="279">
        <f ca="1">IF($Z33=$Z34,$U37,0)</f>
        <v>0</v>
      </c>
      <c r="AT33" s="279">
        <f ca="1">IF($Z33=$Z35,$V37,0)</f>
        <v>0</v>
      </c>
      <c r="AU33" s="279">
        <f ca="1">SUM(AQ33:AT33)</f>
        <v>0</v>
      </c>
      <c r="AV33" s="203">
        <v>3</v>
      </c>
      <c r="AW33" s="2"/>
      <c r="AX33" s="2"/>
      <c r="AY33" s="2"/>
      <c r="AZ33" s="2"/>
      <c r="BA33" s="2">
        <v>17</v>
      </c>
      <c r="BB33" s="6">
        <f>VLOOKUP(BA33,Spiele!$A$1:$L$116,2,FALSE)</f>
        <v>46189.625</v>
      </c>
      <c r="BC33" s="6" t="str">
        <f>VLOOKUP(BA33,Spiele!$A$1:$L$116,9,FALSE)</f>
        <v>New York</v>
      </c>
      <c r="BD33" s="56" t="str">
        <f>BY32</f>
        <v>Argentinien</v>
      </c>
      <c r="BE33" s="40" t="s">
        <v>24</v>
      </c>
      <c r="BF33" s="56" t="str">
        <f>BY33</f>
        <v>Algerien</v>
      </c>
      <c r="BG33" s="53"/>
      <c r="BH33" s="107">
        <f ca="1">IF($B$102&lt;&gt;"","",IF($B$101&lt;&gt;"",IF(Ergebnisse!BH33="","",Ergebnisse!BH33),IF($B$99="",2,INT(RAND()*5)+INT(RAND()*3)*INT(RAND()*2))))</f>
        <v>4</v>
      </c>
      <c r="BI33" s="11" t="s">
        <v>25</v>
      </c>
      <c r="BJ33" s="107">
        <f ca="1">IF($B$102&lt;&gt;"","",IF($B$101&lt;&gt;"",IF(Ergebnisse!BJ33="","",Ergebnisse!BJ33),IF($B$99="",2,INT(RAND()*5)+INT(RAND()*3)*INT(RAND()*2))))</f>
        <v>4</v>
      </c>
      <c r="BK33" s="7" t="str">
        <f t="shared" ref="BK33" ca="1" si="7">IF(OR(BH33="",BJ33=""),"","ok")</f>
        <v>ok</v>
      </c>
      <c r="BL33" s="1"/>
      <c r="BM33" s="9" t="str">
        <f ca="1">VLOOKUP(2,$BX$32:$CC$35,2,FALSE)</f>
        <v>Algerien</v>
      </c>
      <c r="BN33" s="2">
        <f ca="1">VLOOKUP(2,$BX$32:$CC$35,3,FALSE)</f>
        <v>4</v>
      </c>
      <c r="BO33" s="2">
        <f ca="1">VLOOKUP(2,$BX$32:$CC$35,4,FALSE)</f>
        <v>10</v>
      </c>
      <c r="BP33" s="2">
        <f ca="1">VLOOKUP(2,$BX$32:$CC$35,5,FALSE)</f>
        <v>8</v>
      </c>
      <c r="BQ33" s="2">
        <f ca="1">VLOOKUP(2,$BX$32:$CC$35,6,FALSE)</f>
        <v>2</v>
      </c>
      <c r="BS33" s="61">
        <f ca="1">IF(BJ33="",0,IF(BK33=$B$98,IF(BH33&lt;BJ33,3,IF(BH33=BJ33,1,0)),0))</f>
        <v>1</v>
      </c>
      <c r="BT33" s="60"/>
      <c r="BU33" s="61">
        <f ca="1">IF(BH38="",0,IF(BK37=$B$98,IF(BH38&gt;BJ38,3,IF(BH38=BJ38,1,0)),0))</f>
        <v>0</v>
      </c>
      <c r="BV33" s="61">
        <f ca="1">IF(BJ36="",0,IF(BK36=$B$98,IF(BJ36&gt;BH36,3,IF(BJ36=BH36,1,0)),0))</f>
        <v>3</v>
      </c>
      <c r="BW33" s="1"/>
      <c r="BX33" s="1">
        <f ca="1">RANK(CD33,$CD$32:$CD$35)</f>
        <v>2</v>
      </c>
      <c r="BY33" s="40" t="s">
        <v>223</v>
      </c>
      <c r="BZ33" s="1">
        <f ca="1">SUM(BS33:BV33)</f>
        <v>4</v>
      </c>
      <c r="CA33" s="1">
        <f ca="1">SUM(BS37:BV37)</f>
        <v>10</v>
      </c>
      <c r="CB33" s="1">
        <f ca="1">SUM(BT36:BT39)</f>
        <v>8</v>
      </c>
      <c r="CC33" s="1">
        <f ca="1">CA33-CB33</f>
        <v>2</v>
      </c>
      <c r="CD33" s="24">
        <f ca="1">IF(BP$8="",(((((((CE33*10+BZ33)*100+CC33)*100+CA33)*10+CK33)*10+CJ33)*100+CP33)*100+CU33)*10+CV33,(((((((CE33*10+BZ33)*10+CK33)*10+CJ33)*100+CP33)*100+CU33)*100+CC33)*100+CA33)*10+CV33)</f>
        <v>400000002103</v>
      </c>
      <c r="CE33" s="207"/>
      <c r="CF33" s="280">
        <f ca="1">IF($BZ33=$BZ32,$BS33-$BT32,0)</f>
        <v>0</v>
      </c>
      <c r="CG33" s="280"/>
      <c r="CH33" s="280">
        <f ca="1">IF($BZ33=$BZ34,$BU33-$BT34,0)</f>
        <v>0</v>
      </c>
      <c r="CI33" s="280">
        <f ca="1">IF($BZ33=$BZ35,$BV33-$BT35,0)</f>
        <v>0</v>
      </c>
      <c r="CJ33" s="280">
        <f ca="1">SUM(CF33:CI33)</f>
        <v>0</v>
      </c>
      <c r="CK33" s="207"/>
      <c r="CL33" s="280">
        <f ca="1">IF($BZ33=$BZ32,$BS37-$BT36,0)</f>
        <v>0</v>
      </c>
      <c r="CM33" s="280"/>
      <c r="CN33" s="280">
        <f ca="1">IF($BZ33=$BZ34,$BU37-$BT38,0)</f>
        <v>0</v>
      </c>
      <c r="CO33" s="280">
        <f ca="1">IF($BZ33=$BZ35,$BV37-$BT39,0)</f>
        <v>0</v>
      </c>
      <c r="CP33" s="280">
        <f ca="1">SUM(CL33:CO33)</f>
        <v>0</v>
      </c>
      <c r="CQ33" s="280">
        <f ca="1">IF($BZ33=$BZ32,$BS37,0)</f>
        <v>0</v>
      </c>
      <c r="CR33" s="280"/>
      <c r="CS33" s="280">
        <f ca="1">IF($BZ33=$BZ34,$BU37,0)</f>
        <v>0</v>
      </c>
      <c r="CT33" s="280">
        <f ca="1">IF($BZ33=$BZ35,$BV37,0)</f>
        <v>0</v>
      </c>
      <c r="CU33" s="280">
        <f ca="1">SUM(CQ33:CT33)</f>
        <v>0</v>
      </c>
      <c r="CV33" s="207">
        <v>3</v>
      </c>
    </row>
    <row r="34" spans="1:104" s="10" customFormat="1">
      <c r="A34" s="2">
        <v>15</v>
      </c>
      <c r="B34" s="6">
        <f>VLOOKUP(A34,Spiele!$A$1:$L$116,2,FALSE)</f>
        <v>46188.75</v>
      </c>
      <c r="C34" s="6" t="str">
        <f>VLOOKUP(A34,Spiele!$A$1:$L$116,9,FALSE)</f>
        <v>Los Angeles</v>
      </c>
      <c r="D34" s="56" t="str">
        <f>Y34</f>
        <v>IR Iran</v>
      </c>
      <c r="E34" s="40" t="s">
        <v>24</v>
      </c>
      <c r="F34" s="56" t="str">
        <f>Y35</f>
        <v>Neuseeland</v>
      </c>
      <c r="G34" s="53"/>
      <c r="H34" s="107">
        <f ca="1">IF($B$102&lt;&gt;"","",IF($B$101&lt;&gt;"",IF(Ergebnisse!H34="","",Ergebnisse!H34),IF($B$99="",2,INT(RAND()*5)+INT(RAND()*3)*INT(RAND()*2))))</f>
        <v>1</v>
      </c>
      <c r="I34" s="11" t="s">
        <v>25</v>
      </c>
      <c r="J34" s="107">
        <f ca="1">IF($B$102&lt;&gt;"","",IF($B$101&lt;&gt;"",IF(Ergebnisse!J34="","",Ergebnisse!J34),IF($B$99="",2,INT(RAND()*5)+INT(RAND()*3)*INT(RAND()*2))))</f>
        <v>3</v>
      </c>
      <c r="K34" s="7" t="str">
        <f t="shared" ca="1" si="2"/>
        <v>ok</v>
      </c>
      <c r="L34" s="1"/>
      <c r="M34" s="9" t="str">
        <f ca="1">VLOOKUP(3,$X$32:$AC$35,2,FALSE)</f>
        <v>Belgien</v>
      </c>
      <c r="N34" s="2">
        <f ca="1">VLOOKUP(3,$X$32:$AC$35,3,FALSE)</f>
        <v>4</v>
      </c>
      <c r="O34" s="2">
        <f ca="1">VLOOKUP(3,$X$32:$AC$35,4,FALSE)</f>
        <v>7</v>
      </c>
      <c r="P34" s="2">
        <f ca="1">VLOOKUP(3,$X$32:$AC$35,5,FALSE)</f>
        <v>8</v>
      </c>
      <c r="Q34" s="2">
        <f ca="1">VLOOKUP(3,$X$32:$AC$35,6,FALSE)</f>
        <v>-1</v>
      </c>
      <c r="R34" s="2"/>
      <c r="S34" s="61">
        <f ca="1">IF(J35="",0,IF(K35=$B$98,IF(H35&lt;J35,3,IF(H35=J35,1,0)),0))</f>
        <v>3</v>
      </c>
      <c r="T34" s="61">
        <f ca="1">IF(J38="",0,IF(K37=$B$98,IF(H38&lt;J38,3,IF(H38=J38,1,0)),0))</f>
        <v>1</v>
      </c>
      <c r="U34" s="60"/>
      <c r="V34" s="61">
        <f ca="1">IF(H34="",0,IF(K34=$B$98,IF(H34&gt;J34,3,IF(H34=J34,1,0)),0))</f>
        <v>0</v>
      </c>
      <c r="W34" s="62"/>
      <c r="X34" s="62">
        <f ca="1">RANK(AD34,$AD$32:$AD$35)</f>
        <v>2</v>
      </c>
      <c r="Y34" s="40" t="s">
        <v>224</v>
      </c>
      <c r="Z34" s="62">
        <f ca="1">SUM(S34:V34)</f>
        <v>4</v>
      </c>
      <c r="AA34" s="62">
        <f ca="1">SUM(S38:V38)</f>
        <v>8</v>
      </c>
      <c r="AB34" s="62">
        <f ca="1">SUM(U36:U39)</f>
        <v>7</v>
      </c>
      <c r="AC34" s="62">
        <f ca="1">AA34-AB34</f>
        <v>1</v>
      </c>
      <c r="AD34" s="24">
        <f ca="1">IF(P$8="",(((((((AE34*10+Z34)*100+AC34)*100+AA34)*10+AK34)*10+AJ34)*100+AP34)*100+AU34)*10+AV34,(((((((AE34*10+Z34)*10+AK34)*10+AJ34)*100+AP34)*100+AU34)*100+AC34)*100+AA34)*10+AV34)</f>
        <v>403030501082</v>
      </c>
      <c r="AE34" s="203"/>
      <c r="AF34" s="279">
        <f ca="1">IF($Z34=$Z32,$S34-$U32,0)</f>
        <v>3</v>
      </c>
      <c r="AG34" s="279">
        <f ca="1">IF($Z34=$Z33,$T34-$U33,0)</f>
        <v>0</v>
      </c>
      <c r="AH34" s="279"/>
      <c r="AI34" s="279">
        <f ca="1">IF($Z34=$Z35,$V34-$U35,0)</f>
        <v>0</v>
      </c>
      <c r="AJ34" s="279">
        <f ca="1">SUM(AF34:AI34)</f>
        <v>3</v>
      </c>
      <c r="AK34" s="203"/>
      <c r="AL34" s="279">
        <f ca="1">IF($Z34=$Z32,$S38-$U36,0)</f>
        <v>3</v>
      </c>
      <c r="AM34" s="279">
        <f ca="1">IF($Z34=$Z33,$T38-$U37,0)</f>
        <v>0</v>
      </c>
      <c r="AN34" s="279"/>
      <c r="AO34" s="279">
        <f ca="1">IF($Z34=$Z35,$V38-$U39,0)</f>
        <v>0</v>
      </c>
      <c r="AP34" s="279">
        <f ca="1">SUM(AL34:AO34)</f>
        <v>3</v>
      </c>
      <c r="AQ34" s="279">
        <f ca="1">IF($Z34=$Z32,$S38,0)</f>
        <v>5</v>
      </c>
      <c r="AR34" s="279">
        <f ca="1">IF($Z34=$Z33,$T38,0)</f>
        <v>0</v>
      </c>
      <c r="AS34" s="279"/>
      <c r="AT34" s="279">
        <f ca="1">IF($Z34=$Z35,$V38,0)</f>
        <v>0</v>
      </c>
      <c r="AU34" s="279">
        <f ca="1">SUM(AQ34:AT34)</f>
        <v>5</v>
      </c>
      <c r="AV34" s="203">
        <v>2</v>
      </c>
      <c r="AW34" s="2"/>
      <c r="AX34" s="2"/>
      <c r="AY34" s="2"/>
      <c r="AZ34" s="2"/>
      <c r="BA34" s="2">
        <v>18</v>
      </c>
      <c r="BB34" s="6">
        <f>VLOOKUP(BA34,Spiele!$A$1:$L$116,2,FALSE)</f>
        <v>46189.75</v>
      </c>
      <c r="BC34" s="6" t="str">
        <f>VLOOKUP(BA34,Spiele!$A$1:$L$116,9,FALSE)</f>
        <v>Boston</v>
      </c>
      <c r="BD34" s="56" t="str">
        <f>BY34</f>
        <v>Österreich</v>
      </c>
      <c r="BE34" s="40" t="s">
        <v>24</v>
      </c>
      <c r="BF34" s="56" t="str">
        <f>BY35</f>
        <v>Jordanien</v>
      </c>
      <c r="BG34" s="53"/>
      <c r="BH34" s="107">
        <f ca="1">IF($B$102&lt;&gt;"","",IF($B$101&lt;&gt;"",IF(Ergebnisse!BH34="","",Ergebnisse!BH34),IF($B$99="",2,INT(RAND()*5)+INT(RAND()*3)*INT(RAND()*2))))</f>
        <v>0</v>
      </c>
      <c r="BI34" s="11" t="s">
        <v>25</v>
      </c>
      <c r="BJ34" s="107">
        <f ca="1">IF($B$102&lt;&gt;"","",IF($B$101&lt;&gt;"",IF(Ergebnisse!BJ34="","",Ergebnisse!BJ34),IF($B$99="",2,INT(RAND()*5)+INT(RAND()*3)*INT(RAND()*2))))</f>
        <v>3</v>
      </c>
      <c r="BK34" s="7" t="str">
        <f t="shared" ca="1" si="3"/>
        <v>ok</v>
      </c>
      <c r="BL34" s="1"/>
      <c r="BM34" s="9" t="str">
        <f ca="1">VLOOKUP(3,$BX$32:$CC$35,2,FALSE)</f>
        <v>Jordanien</v>
      </c>
      <c r="BN34" s="2">
        <f ca="1">VLOOKUP(3,$BX$32:$CC$35,3,FALSE)</f>
        <v>3</v>
      </c>
      <c r="BO34" s="2">
        <f ca="1">VLOOKUP(3,$BX$32:$CC$35,4,FALSE)</f>
        <v>4</v>
      </c>
      <c r="BP34" s="2">
        <f ca="1">VLOOKUP(3,$BX$32:$CC$35,5,FALSE)</f>
        <v>7</v>
      </c>
      <c r="BQ34" s="2">
        <f ca="1">VLOOKUP(3,$BX$32:$CC$35,6,FALSE)</f>
        <v>-3</v>
      </c>
      <c r="BR34" s="2"/>
      <c r="BS34" s="61">
        <f ca="1">IF(BJ35="",0,IF(BK35=$B$98,IF(BH35&lt;BJ35,3,IF(BH35=BJ35,1,0)),0))</f>
        <v>0</v>
      </c>
      <c r="BT34" s="61">
        <f ca="1">IF(BJ38="",0,IF(BK37=$B$98,IF(BH38&lt;BJ38,3,IF(BH38=BJ38,1,0)),0))</f>
        <v>3</v>
      </c>
      <c r="BU34" s="60"/>
      <c r="BV34" s="61">
        <f ca="1">IF(BH34="",0,IF(BK34=$B$98,IF(BH34&gt;BJ34,3,IF(BH34=BJ34,1,0)),0))</f>
        <v>0</v>
      </c>
      <c r="BW34" s="1"/>
      <c r="BX34" s="1">
        <f ca="1">RANK(CD34,$CD$32:$CD$35)</f>
        <v>4</v>
      </c>
      <c r="BY34" s="40" t="s">
        <v>187</v>
      </c>
      <c r="BZ34" s="1">
        <f ca="1">SUM(BS34:BV34)</f>
        <v>3</v>
      </c>
      <c r="CA34" s="1">
        <f ca="1">SUM(BS38:BV38)</f>
        <v>7</v>
      </c>
      <c r="CB34" s="1">
        <f ca="1">SUM(BU36:BU39)</f>
        <v>9</v>
      </c>
      <c r="CC34" s="1">
        <f ca="1">CA34-CB34</f>
        <v>-2</v>
      </c>
      <c r="CD34" s="24">
        <f ca="1">IF(BP$8="",(((((((CE34*10+BZ34)*100+CC34)*100+CA34)*10+CK34)*10+CJ34)*100+CP34)*100+CU34)*10+CV34,(((((((CE34*10+BZ34)*10+CK34)*10+CJ34)*100+CP34)*100+CU34)*100+CC34)*100+CA34)*10+CV34)</f>
        <v>296969998072</v>
      </c>
      <c r="CE34" s="207"/>
      <c r="CF34" s="280">
        <f ca="1">IF($BZ34=$BZ32,$BS34-$BU32,0)</f>
        <v>0</v>
      </c>
      <c r="CG34" s="280">
        <f ca="1">IF($BZ34=$BZ33,$BT34-$BU33,0)</f>
        <v>0</v>
      </c>
      <c r="CH34" s="280"/>
      <c r="CI34" s="280">
        <f ca="1">IF($BZ34=$BZ35,$BV34-$BU35,0)</f>
        <v>-3</v>
      </c>
      <c r="CJ34" s="280">
        <f ca="1">SUM(CF34:CI34)</f>
        <v>-3</v>
      </c>
      <c r="CK34" s="207"/>
      <c r="CL34" s="280">
        <f ca="1">IF($BZ34=$BZ32,$BS38-$BU36,0)</f>
        <v>0</v>
      </c>
      <c r="CM34" s="280">
        <f ca="1">IF($BZ34=$BZ33,$BT38-$BU37,0)</f>
        <v>0</v>
      </c>
      <c r="CN34" s="280"/>
      <c r="CO34" s="280">
        <f ca="1">IF($BZ34=$BZ35,$BV38-$BU39,0)</f>
        <v>-3</v>
      </c>
      <c r="CP34" s="280">
        <f ca="1">SUM(CL34:CO34)</f>
        <v>-3</v>
      </c>
      <c r="CQ34" s="280">
        <f ca="1">IF($BZ34=$BZ32,$BS38,0)</f>
        <v>0</v>
      </c>
      <c r="CR34" s="280">
        <f ca="1">IF($BZ34=$BZ33,$BT38,0)</f>
        <v>0</v>
      </c>
      <c r="CS34" s="280"/>
      <c r="CT34" s="280">
        <f ca="1">IF($BZ34=$BZ35,$BV38,0)</f>
        <v>0</v>
      </c>
      <c r="CU34" s="280">
        <f ca="1">SUM(CQ34:CT34)</f>
        <v>0</v>
      </c>
      <c r="CV34" s="207">
        <v>2</v>
      </c>
      <c r="CW34" s="2"/>
      <c r="CX34" s="2"/>
      <c r="CY34" s="2"/>
      <c r="CZ34" s="2"/>
    </row>
    <row r="35" spans="1:104">
      <c r="A35" s="2">
        <v>39</v>
      </c>
      <c r="B35" s="6">
        <f>VLOOKUP(A35,Spiele!$A$1:$L$116,2,FALSE)</f>
        <v>46194.5</v>
      </c>
      <c r="C35" s="6" t="str">
        <f>VLOOKUP(A35,Spiele!$A$1:$L$116,9,FALSE)</f>
        <v>Los Angeles</v>
      </c>
      <c r="D35" s="56" t="str">
        <f>Y32</f>
        <v>Belgien</v>
      </c>
      <c r="E35" s="40" t="s">
        <v>24</v>
      </c>
      <c r="F35" s="56" t="str">
        <f>Y34</f>
        <v>IR Iran</v>
      </c>
      <c r="G35" s="53"/>
      <c r="H35" s="107">
        <f ca="1">IF($B$102&lt;&gt;"","",IF($B$101&lt;&gt;"",IF(Ergebnisse!H35="","",Ergebnisse!H35),IF($B$99="",2,INT(RAND()*5)+INT(RAND()*3)*INT(RAND()*2))))</f>
        <v>2</v>
      </c>
      <c r="I35" s="11" t="s">
        <v>25</v>
      </c>
      <c r="J35" s="107">
        <f ca="1">IF($B$102&lt;&gt;"","",IF($B$101&lt;&gt;"",IF(Ergebnisse!J35="","",Ergebnisse!J35),IF($B$99="",2,INT(RAND()*5)+INT(RAND()*3)*INT(RAND()*2))))</f>
        <v>5</v>
      </c>
      <c r="K35" s="7" t="str">
        <f t="shared" ca="1" si="2"/>
        <v>ok</v>
      </c>
      <c r="L35" s="1"/>
      <c r="M35" s="9" t="str">
        <f ca="1">VLOOKUP(4,$X$32:$AC$35,2,FALSE)</f>
        <v>Ägypten</v>
      </c>
      <c r="N35" s="2">
        <f ca="1">VLOOKUP(4,$X$32:$AC$35,3,FALSE)</f>
        <v>1</v>
      </c>
      <c r="O35" s="2">
        <f ca="1">VLOOKUP(4,$X$32:$AC$35,4,FALSE)</f>
        <v>3</v>
      </c>
      <c r="P35" s="2">
        <f ca="1">VLOOKUP(4,$X$32:$AC$35,5,FALSE)</f>
        <v>8</v>
      </c>
      <c r="Q35" s="2">
        <f ca="1">VLOOKUP(4,$X$32:$AC$35,6,FALSE)</f>
        <v>-5</v>
      </c>
      <c r="S35" s="61">
        <f ca="1">IF(H37="",0,IF(K38=$B$98,IF(H37&gt;J37,3,IF(H37=J37,1,0)),0))</f>
        <v>1</v>
      </c>
      <c r="T35" s="61">
        <f ca="1">IF(H36="",0,IF(K36=$B$98,IF(J36&lt;H36,3,IF(J36=H36,1,0)),0))</f>
        <v>3</v>
      </c>
      <c r="U35" s="61">
        <f ca="1">IF(J34="",0,IF(K34=$B$98,IF(H34&lt;J34,3,IF(H34=J34,1,0)),0))</f>
        <v>3</v>
      </c>
      <c r="V35" s="60"/>
      <c r="W35" s="62"/>
      <c r="X35" s="62">
        <f ca="1">RANK(AD35,$AD$32:$AD$35)</f>
        <v>1</v>
      </c>
      <c r="Y35" s="40" t="s">
        <v>225</v>
      </c>
      <c r="Z35" s="62">
        <f ca="1">SUM(S35:V35)</f>
        <v>7</v>
      </c>
      <c r="AA35" s="62">
        <f ca="1">SUM(S39:V39)</f>
        <v>8</v>
      </c>
      <c r="AB35" s="62">
        <f ca="1">SUM(V36:V39)</f>
        <v>3</v>
      </c>
      <c r="AC35" s="62">
        <f ca="1">AA35-AB35</f>
        <v>5</v>
      </c>
      <c r="AD35" s="24">
        <f ca="1">IF(P$8="",(((((((AE35*10+Z35)*100+AC35)*100+AA35)*10+AK35)*10+AJ35)*100+AP35)*100+AU35)*10+AV35,(((((((AE35*10+Z35)*10+AK35)*10+AJ35)*100+AP35)*100+AU35)*100+AC35)*100+AA35)*10+AV35)</f>
        <v>700000005081</v>
      </c>
      <c r="AE35" s="203"/>
      <c r="AF35" s="279">
        <f ca="1">IF($Z35=$Z32,$S35-$V32,0)</f>
        <v>0</v>
      </c>
      <c r="AG35" s="279">
        <f ca="1">IF($Z35=$Z33,$T35-$V33,0)</f>
        <v>0</v>
      </c>
      <c r="AH35" s="279">
        <f ca="1">IF($Z35=$Z34,$U35-$V34,0)</f>
        <v>0</v>
      </c>
      <c r="AI35" s="279"/>
      <c r="AJ35" s="279">
        <f ca="1">SUM(AF35:AI35)</f>
        <v>0</v>
      </c>
      <c r="AK35" s="203"/>
      <c r="AL35" s="279">
        <f ca="1">IF($Z35=$Z32,$S39-$V36,0)</f>
        <v>0</v>
      </c>
      <c r="AM35" s="279">
        <f ca="1">IF($Z35=$Z33,$T39-$V37,0)</f>
        <v>0</v>
      </c>
      <c r="AN35" s="279">
        <f ca="1">IF($Z35=$Z34,$U39-$V38,0)</f>
        <v>0</v>
      </c>
      <c r="AO35" s="279"/>
      <c r="AP35" s="279">
        <f ca="1">SUM(AL35:AO35)</f>
        <v>0</v>
      </c>
      <c r="AQ35" s="279">
        <f ca="1">IF($Z35=$Z32,$S39,0)</f>
        <v>0</v>
      </c>
      <c r="AR35" s="279">
        <f ca="1">IF($Z35=$Z33,$T39,0)</f>
        <v>0</v>
      </c>
      <c r="AS35" s="279">
        <f ca="1">IF($Z35=$Z34,$U39,0)</f>
        <v>0</v>
      </c>
      <c r="AT35" s="279"/>
      <c r="AU35" s="279">
        <f ca="1">SUM(AQ35:AT35)</f>
        <v>0</v>
      </c>
      <c r="AV35" s="203">
        <v>1</v>
      </c>
      <c r="AW35" s="2"/>
      <c r="AX35" s="2"/>
      <c r="AY35" s="2"/>
      <c r="AZ35" s="2"/>
      <c r="BA35" s="2">
        <v>43</v>
      </c>
      <c r="BB35" s="6">
        <f>VLOOKUP(BA35,Spiele!$A$1:$L$116,2,FALSE)</f>
        <v>46195.5</v>
      </c>
      <c r="BC35" s="6" t="str">
        <f>VLOOKUP(BA35,Spiele!$A$1:$L$116,9,FALSE)</f>
        <v>Dallas</v>
      </c>
      <c r="BD35" s="56" t="str">
        <f>BY32</f>
        <v>Argentinien</v>
      </c>
      <c r="BE35" s="40" t="s">
        <v>24</v>
      </c>
      <c r="BF35" s="56" t="str">
        <f>BY34</f>
        <v>Österreich</v>
      </c>
      <c r="BG35" s="53"/>
      <c r="BH35" s="107">
        <f ca="1">IF($B$102&lt;&gt;"","",IF($B$101&lt;&gt;"",IF(Ergebnisse!BH35="","",Ergebnisse!BH35),IF($B$99="",2,INT(RAND()*5)+INT(RAND()*3)*INT(RAND()*2))))</f>
        <v>4</v>
      </c>
      <c r="BI35" s="11" t="s">
        <v>25</v>
      </c>
      <c r="BJ35" s="107">
        <f ca="1">IF($B$102&lt;&gt;"","",IF($B$101&lt;&gt;"",IF(Ergebnisse!BJ35="","",Ergebnisse!BJ35),IF($B$99="",2,INT(RAND()*5)+INT(RAND()*3)*INT(RAND()*2))))</f>
        <v>3</v>
      </c>
      <c r="BK35" s="7" t="str">
        <f t="shared" ca="1" si="3"/>
        <v>ok</v>
      </c>
      <c r="BL35" s="1"/>
      <c r="BM35" s="9" t="str">
        <f ca="1">VLOOKUP(4,$BX$32:$CC$35,2,FALSE)</f>
        <v>Österreich</v>
      </c>
      <c r="BN35" s="2">
        <f ca="1">VLOOKUP(4,$BX$32:$CC$35,3,FALSE)</f>
        <v>3</v>
      </c>
      <c r="BO35" s="2">
        <f ca="1">VLOOKUP(4,$BX$32:$CC$35,4,FALSE)</f>
        <v>7</v>
      </c>
      <c r="BP35" s="2">
        <f ca="1">VLOOKUP(4,$BX$32:$CC$35,5,FALSE)</f>
        <v>9</v>
      </c>
      <c r="BQ35" s="2">
        <f ca="1">VLOOKUP(4,$BX$32:$CC$35,6,FALSE)</f>
        <v>-2</v>
      </c>
      <c r="BS35" s="61">
        <f ca="1">IF(BH37="",0,IF(BK38=$B$98,IF(BH37&gt;BJ37,3,IF(BH37=BJ37,1,0)),0))</f>
        <v>0</v>
      </c>
      <c r="BT35" s="61">
        <f ca="1">IF(BH36="",0,IF(BK36=$B$98,IF(BJ36&lt;BH36,3,IF(BJ36=BH36,1,0)),0))</f>
        <v>0</v>
      </c>
      <c r="BU35" s="61">
        <f ca="1">IF(BJ34="",0,IF(BK34=$B$98,IF(BH34&lt;BJ34,3,IF(BH34=BJ34,1,0)),0))</f>
        <v>3</v>
      </c>
      <c r="BV35" s="60"/>
      <c r="BW35" s="1"/>
      <c r="BX35" s="1">
        <f ca="1">RANK(CD35,$CD$32:$CD$35)</f>
        <v>3</v>
      </c>
      <c r="BY35" s="40" t="s">
        <v>226</v>
      </c>
      <c r="BZ35" s="1">
        <f ca="1">SUM(BS35:BV35)</f>
        <v>3</v>
      </c>
      <c r="CA35" s="1">
        <f ca="1">SUM(BS39:BV39)</f>
        <v>4</v>
      </c>
      <c r="CB35" s="1">
        <f ca="1">SUM(BV36:BV39)</f>
        <v>7</v>
      </c>
      <c r="CC35" s="1">
        <f ca="1">CA35-CB35</f>
        <v>-3</v>
      </c>
      <c r="CD35" s="24">
        <f ca="1">IF(BP$8="",(((((((CE35*10+BZ35)*100+CC35)*100+CA35)*10+CK35)*10+CJ35)*100+CP35)*100+CU35)*10+CV35,(((((((CE35*10+BZ35)*10+CK35)*10+CJ35)*100+CP35)*100+CU35)*100+CC35)*100+CA35)*10+CV35)</f>
        <v>303030297041</v>
      </c>
      <c r="CE35" s="207"/>
      <c r="CF35" s="280">
        <f ca="1">IF($BZ35=$BZ32,$BS35-$BV32,0)</f>
        <v>0</v>
      </c>
      <c r="CG35" s="280">
        <f ca="1">IF($BZ35=$BZ33,$BT35-$BV33,0)</f>
        <v>0</v>
      </c>
      <c r="CH35" s="280">
        <f ca="1">IF($BZ35=$BZ34,$BU35-$BV34,0)</f>
        <v>3</v>
      </c>
      <c r="CI35" s="280"/>
      <c r="CJ35" s="280">
        <f ca="1">SUM(CF35:CI35)</f>
        <v>3</v>
      </c>
      <c r="CK35" s="207"/>
      <c r="CL35" s="280">
        <f ca="1">IF($BZ35=$BZ32,$BS39-$BV36,0)</f>
        <v>0</v>
      </c>
      <c r="CM35" s="280">
        <f ca="1">IF($BZ35=$BZ33,$BT39-$BV37,0)</f>
        <v>0</v>
      </c>
      <c r="CN35" s="280">
        <f ca="1">IF($BZ35=$BZ34,$BU39-$BV38,0)</f>
        <v>3</v>
      </c>
      <c r="CO35" s="280"/>
      <c r="CP35" s="280">
        <f ca="1">SUM(CL35:CO35)</f>
        <v>3</v>
      </c>
      <c r="CQ35" s="280">
        <f ca="1">IF($BZ35=$BZ32,$BS39,0)</f>
        <v>0</v>
      </c>
      <c r="CR35" s="280">
        <f ca="1">IF($BZ35=$BZ33,$BT39,0)</f>
        <v>0</v>
      </c>
      <c r="CS35" s="280">
        <f ca="1">IF($BZ35=$BZ34,$BU39,0)</f>
        <v>3</v>
      </c>
      <c r="CT35" s="280"/>
      <c r="CU35" s="280">
        <f ca="1">SUM(CQ35:CT35)</f>
        <v>3</v>
      </c>
      <c r="CV35" s="207">
        <v>1</v>
      </c>
    </row>
    <row r="36" spans="1:104">
      <c r="A36" s="2">
        <v>40</v>
      </c>
      <c r="B36" s="6">
        <f>VLOOKUP(A36,Spiele!$A$1:$L$116,2,FALSE)</f>
        <v>46194.75</v>
      </c>
      <c r="C36" s="6" t="str">
        <f>VLOOKUP(A36,Spiele!$A$1:$L$116,9,FALSE)</f>
        <v>Vancouver</v>
      </c>
      <c r="D36" s="56" t="str">
        <f>Y35</f>
        <v>Neuseeland</v>
      </c>
      <c r="E36" s="40" t="s">
        <v>24</v>
      </c>
      <c r="F36" s="56" t="str">
        <f>Y33</f>
        <v>Ägypten</v>
      </c>
      <c r="G36" s="53"/>
      <c r="H36" s="107">
        <f ca="1">IF($B$102&lt;&gt;"","",IF($B$101&lt;&gt;"",IF(Ergebnisse!H36="","",Ergebnisse!H36),IF($B$99="",2,INT(RAND()*5)+INT(RAND()*3)*INT(RAND()*2))))</f>
        <v>3</v>
      </c>
      <c r="I36" s="11" t="s">
        <v>25</v>
      </c>
      <c r="J36" s="107">
        <f ca="1">IF($B$102&lt;&gt;"","",IF($B$101&lt;&gt;"",IF(Ergebnisse!J36="","",Ergebnisse!J36),IF($B$99="",2,INT(RAND()*5)+INT(RAND()*3)*INT(RAND()*2))))</f>
        <v>0</v>
      </c>
      <c r="K36" s="7" t="str">
        <f t="shared" ca="1" si="2"/>
        <v>ok</v>
      </c>
      <c r="L36" s="1"/>
      <c r="N36" s="1"/>
      <c r="O36" s="1"/>
      <c r="P36" s="1"/>
      <c r="S36" s="60"/>
      <c r="T36" s="61">
        <f ca="1">IF(K33=$B$98,H33,0)</f>
        <v>3</v>
      </c>
      <c r="U36" s="61">
        <f ca="1">IF(K35=$B$98,H35,0)</f>
        <v>2</v>
      </c>
      <c r="V36" s="61">
        <f ca="1">IF(K38=$B$98,J37,0)</f>
        <v>2</v>
      </c>
      <c r="W36" s="62"/>
      <c r="X36" s="62"/>
      <c r="Y36" s="62"/>
      <c r="Z36" s="62"/>
      <c r="AA36" s="62"/>
      <c r="AB36" s="62"/>
      <c r="AC36" s="62"/>
      <c r="AD36" s="66"/>
      <c r="AE36" s="204"/>
      <c r="AF36" s="279"/>
      <c r="AG36" s="279"/>
      <c r="AH36" s="279"/>
      <c r="AI36" s="279"/>
      <c r="AJ36" s="279"/>
      <c r="AK36" s="279"/>
      <c r="AL36" s="279"/>
      <c r="AM36" s="279"/>
      <c r="AN36" s="279"/>
      <c r="AO36" s="279"/>
      <c r="AP36" s="279"/>
      <c r="AQ36" s="279"/>
      <c r="AR36" s="279"/>
      <c r="AS36" s="279"/>
      <c r="AT36" s="279"/>
      <c r="AV36" s="279"/>
      <c r="AW36" s="2"/>
      <c r="AX36" s="2"/>
      <c r="AY36" s="2"/>
      <c r="AZ36" s="2"/>
      <c r="BA36" s="2">
        <v>44</v>
      </c>
      <c r="BB36" s="6">
        <f>VLOOKUP(BA36,Spiele!$A$1:$L$116,2,FALSE)</f>
        <v>46195.833333333336</v>
      </c>
      <c r="BC36" s="6" t="str">
        <f>VLOOKUP(BA36,Spiele!$A$1:$L$116,9,FALSE)</f>
        <v>San Francisco</v>
      </c>
      <c r="BD36" s="56" t="str">
        <f>BY35</f>
        <v>Jordanien</v>
      </c>
      <c r="BE36" s="40" t="s">
        <v>24</v>
      </c>
      <c r="BF36" s="56" t="str">
        <f>BY33</f>
        <v>Algerien</v>
      </c>
      <c r="BG36" s="53"/>
      <c r="BH36" s="107">
        <f ca="1">IF($B$102&lt;&gt;"","",IF($B$101&lt;&gt;"",IF(Ergebnisse!BH36="","",Ergebnisse!BH36),IF($B$99="",2,INT(RAND()*5)+INT(RAND()*3)*INT(RAND()*2))))</f>
        <v>0</v>
      </c>
      <c r="BI36" s="11" t="s">
        <v>25</v>
      </c>
      <c r="BJ36" s="107">
        <f ca="1">IF($B$102&lt;&gt;"","",IF($B$101&lt;&gt;"",IF(Ergebnisse!BJ36="","",Ergebnisse!BJ36),IF($B$99="",2,INT(RAND()*5)+INT(RAND()*3)*INT(RAND()*2))))</f>
        <v>4</v>
      </c>
      <c r="BK36" s="7" t="str">
        <f t="shared" ca="1" si="3"/>
        <v>ok</v>
      </c>
      <c r="BL36" s="1"/>
      <c r="BN36" s="1"/>
      <c r="BO36" s="1"/>
      <c r="BP36" s="1"/>
      <c r="BS36" s="60"/>
      <c r="BT36" s="61">
        <f ca="1">IF(BK33=$B$98,BH33,0)</f>
        <v>4</v>
      </c>
      <c r="BU36" s="61">
        <f ca="1">IF(BK35=$B$98,BH35,0)</f>
        <v>4</v>
      </c>
      <c r="BV36" s="61">
        <f ca="1">IF(BK38=$B$98,BJ37,0)</f>
        <v>3</v>
      </c>
      <c r="BW36" s="1"/>
      <c r="BX36" s="1"/>
      <c r="BY36" s="62"/>
      <c r="BZ36" s="1"/>
      <c r="CA36" s="1"/>
      <c r="CB36" s="1"/>
      <c r="CC36" s="1"/>
      <c r="CD36" s="5"/>
      <c r="CE36" s="7"/>
      <c r="CF36" s="280"/>
      <c r="CG36" s="280"/>
      <c r="CH36" s="280"/>
      <c r="CI36" s="280"/>
      <c r="CJ36" s="280"/>
      <c r="CK36" s="280"/>
      <c r="CL36" s="280"/>
      <c r="CM36" s="280"/>
      <c r="CN36" s="280"/>
      <c r="CO36" s="280"/>
      <c r="CP36" s="280"/>
      <c r="CQ36" s="280"/>
      <c r="CR36" s="280"/>
      <c r="CS36" s="280"/>
      <c r="CT36" s="280"/>
      <c r="CV36" s="280"/>
    </row>
    <row r="37" spans="1:104">
      <c r="A37" s="2">
        <v>64</v>
      </c>
      <c r="B37" s="6">
        <f>VLOOKUP(A37,Spiele!$A$1:$L$116,2,FALSE)</f>
        <v>46199.833333333336</v>
      </c>
      <c r="C37" s="6" t="str">
        <f>VLOOKUP(A37,Spiele!$A$1:$L$116,9,FALSE)</f>
        <v>Vancouver</v>
      </c>
      <c r="D37" s="56" t="str">
        <f>Y35</f>
        <v>Neuseeland</v>
      </c>
      <c r="E37" s="40" t="s">
        <v>24</v>
      </c>
      <c r="F37" s="56" t="str">
        <f>Y32</f>
        <v>Belgien</v>
      </c>
      <c r="G37" s="55"/>
      <c r="H37" s="107">
        <f ca="1">IF($B$102&lt;&gt;"","",IF($B$101&lt;&gt;"",IF(Ergebnisse!H37="","",Ergebnisse!H37),IF($B$99="",2,INT(RAND()*5)+INT(RAND()*3)*INT(RAND()*2))))</f>
        <v>2</v>
      </c>
      <c r="I37" s="11" t="s">
        <v>25</v>
      </c>
      <c r="J37" s="107">
        <f ca="1">IF($B$102&lt;&gt;"","",IF($B$101&lt;&gt;"",IF(Ergebnisse!J37="","",Ergebnisse!J37),IF($B$99="",2,INT(RAND()*5)+INT(RAND()*3)*INT(RAND()*2))))</f>
        <v>2</v>
      </c>
      <c r="K37" s="7" t="str">
        <f t="shared" ca="1" si="2"/>
        <v>ok</v>
      </c>
      <c r="M37" s="228" t="str">
        <f ca="1">IF(N32&gt;0,M32,"")</f>
        <v>Neuseeland</v>
      </c>
      <c r="N37" s="2" t="s">
        <v>227</v>
      </c>
      <c r="P37" s="29"/>
      <c r="S37" s="61">
        <f ca="1">IF(K33=$B$98,J33,0)</f>
        <v>1</v>
      </c>
      <c r="T37" s="60"/>
      <c r="U37" s="61">
        <f ca="1">IF(K37=$B$98,H38,0)</f>
        <v>2</v>
      </c>
      <c r="V37" s="61">
        <f ca="1">IF(K36=$B$98,J36,0)</f>
        <v>0</v>
      </c>
      <c r="AD37" s="55" t="s">
        <v>140</v>
      </c>
      <c r="AE37" s="108"/>
      <c r="AF37" s="281"/>
      <c r="AG37" s="281"/>
      <c r="AH37" s="281"/>
      <c r="AI37" s="281"/>
      <c r="AJ37" s="281"/>
      <c r="AK37" s="281"/>
      <c r="AL37" s="281"/>
      <c r="AM37" s="281"/>
      <c r="AN37" s="281"/>
      <c r="AO37" s="281"/>
      <c r="AP37" s="281"/>
      <c r="AQ37" s="281"/>
      <c r="AR37" s="281"/>
      <c r="AS37" s="281"/>
      <c r="AT37" s="281"/>
      <c r="AV37" s="281"/>
      <c r="AW37" s="2"/>
      <c r="AX37" s="2"/>
      <c r="AY37" s="2"/>
      <c r="AZ37" s="2"/>
      <c r="BA37" s="2">
        <v>70</v>
      </c>
      <c r="BB37" s="6">
        <f>VLOOKUP(BA37,Spiele!$A$1:$L$116,2,FALSE)</f>
        <v>46200.875</v>
      </c>
      <c r="BC37" s="6" t="str">
        <f>VLOOKUP(BA37,Spiele!$A$1:$L$116,9,FALSE)</f>
        <v>Dallas</v>
      </c>
      <c r="BD37" s="56" t="str">
        <f>BY35</f>
        <v>Jordanien</v>
      </c>
      <c r="BE37" s="40" t="s">
        <v>24</v>
      </c>
      <c r="BF37" s="56" t="str">
        <f>BY32</f>
        <v>Argentinien</v>
      </c>
      <c r="BG37" s="55"/>
      <c r="BH37" s="107">
        <f ca="1">IF($B$102&lt;&gt;"","",IF($B$101&lt;&gt;"",IF(Ergebnisse!BH37="","",Ergebnisse!BH37),IF($B$99="",2,INT(RAND()*5)+INT(RAND()*3)*INT(RAND()*2))))</f>
        <v>1</v>
      </c>
      <c r="BI37" s="11" t="s">
        <v>25</v>
      </c>
      <c r="BJ37" s="107">
        <f ca="1">IF($B$102&lt;&gt;"","",IF($B$101&lt;&gt;"",IF(Ergebnisse!BJ37="","",Ergebnisse!BJ37),IF($B$99="",2,INT(RAND()*5)+INT(RAND()*3)*INT(RAND()*2))))</f>
        <v>3</v>
      </c>
      <c r="BK37" s="7" t="str">
        <f t="shared" ca="1" si="3"/>
        <v>ok</v>
      </c>
      <c r="BM37" s="227" t="str">
        <f ca="1">IF(BN32&gt;0,BM32,"")</f>
        <v>Argentinien</v>
      </c>
      <c r="BN37" s="2" t="s">
        <v>228</v>
      </c>
      <c r="BP37" s="29"/>
      <c r="BS37" s="61">
        <f ca="1">IF(BK33=$B$98,BJ33,0)</f>
        <v>4</v>
      </c>
      <c r="BT37" s="60"/>
      <c r="BU37" s="61">
        <f ca="1">IF(BK37=$B$98,BH38,0)</f>
        <v>2</v>
      </c>
      <c r="BV37" s="61">
        <f ca="1">IF(BK36=$B$98,BJ36,0)</f>
        <v>4</v>
      </c>
      <c r="CD37" s="2" t="s">
        <v>140</v>
      </c>
      <c r="CE37" s="8"/>
      <c r="CF37" s="282"/>
      <c r="CG37" s="282"/>
      <c r="CH37" s="282"/>
      <c r="CI37" s="282"/>
      <c r="CJ37" s="282"/>
      <c r="CK37" s="282"/>
      <c r="CL37" s="282"/>
      <c r="CM37" s="282"/>
      <c r="CN37" s="282"/>
      <c r="CO37" s="282"/>
      <c r="CP37" s="282"/>
      <c r="CQ37" s="282"/>
      <c r="CR37" s="282"/>
      <c r="CS37" s="282"/>
      <c r="CT37" s="282"/>
      <c r="CV37" s="282"/>
    </row>
    <row r="38" spans="1:104">
      <c r="A38" s="2">
        <v>63</v>
      </c>
      <c r="B38" s="6">
        <f>VLOOKUP(A38,Spiele!$A$1:$L$116,2,FALSE)</f>
        <v>46199.833333333336</v>
      </c>
      <c r="C38" s="6" t="str">
        <f>VLOOKUP(A38,Spiele!$A$1:$L$116,9,FALSE)</f>
        <v>Seattle</v>
      </c>
      <c r="D38" s="56" t="str">
        <f>Y33</f>
        <v>Ägypten</v>
      </c>
      <c r="E38" s="40" t="s">
        <v>24</v>
      </c>
      <c r="F38" s="56" t="str">
        <f>Y34</f>
        <v>IR Iran</v>
      </c>
      <c r="G38" s="55"/>
      <c r="H38" s="107">
        <f ca="1">IF($B$102&lt;&gt;"","",IF($B$101&lt;&gt;"",IF(Ergebnisse!H38="","",Ergebnisse!H38),IF($B$99="",2,INT(RAND()*5)+INT(RAND()*3)*INT(RAND()*2))))</f>
        <v>2</v>
      </c>
      <c r="I38" s="11" t="s">
        <v>25</v>
      </c>
      <c r="J38" s="107">
        <f ca="1">IF($B$102&lt;&gt;"","",IF($B$101&lt;&gt;"",IF(Ergebnisse!J38="","",Ergebnisse!J38),IF($B$99="",2,INT(RAND()*5)+INT(RAND()*3)*INT(RAND()*2))))</f>
        <v>2</v>
      </c>
      <c r="K38" s="7" t="str">
        <f t="shared" ca="1" si="2"/>
        <v>ok</v>
      </c>
      <c r="M38" s="228" t="str">
        <f ca="1">IF(N33&gt;0,M33,"")</f>
        <v>IR Iran</v>
      </c>
      <c r="N38" s="2" t="s">
        <v>229</v>
      </c>
      <c r="O38" s="30"/>
      <c r="P38" s="205" t="s">
        <v>11</v>
      </c>
      <c r="S38" s="61">
        <f ca="1">IF(K35=$B$98,J35,0)</f>
        <v>5</v>
      </c>
      <c r="T38" s="61">
        <f ca="1">IF(K37=$B$98,J38,0)</f>
        <v>2</v>
      </c>
      <c r="U38" s="60"/>
      <c r="V38" s="61">
        <f ca="1">IF(K34=$B$98,H34,0)</f>
        <v>1</v>
      </c>
      <c r="AD38" s="55" t="s">
        <v>141</v>
      </c>
      <c r="AE38" s="108"/>
      <c r="AF38" s="281"/>
      <c r="AG38" s="281"/>
      <c r="AH38" s="281"/>
      <c r="AI38" s="281"/>
      <c r="AJ38" s="281"/>
      <c r="AK38" s="281"/>
      <c r="AL38" s="281"/>
      <c r="AM38" s="281"/>
      <c r="AN38" s="281"/>
      <c r="AO38" s="281"/>
      <c r="AP38" s="281"/>
      <c r="AQ38" s="281"/>
      <c r="AR38" s="281"/>
      <c r="AS38" s="281"/>
      <c r="AT38" s="281"/>
      <c r="AV38" s="281"/>
      <c r="AW38" s="2"/>
      <c r="AX38" s="2"/>
      <c r="AY38" s="2"/>
      <c r="AZ38" s="2"/>
      <c r="BA38" s="2">
        <v>69</v>
      </c>
      <c r="BB38" s="6">
        <f>VLOOKUP(BA38,Spiele!$A$1:$L$116,2,FALSE)</f>
        <v>46200.875</v>
      </c>
      <c r="BC38" s="6" t="str">
        <f>VLOOKUP(BA38,Spiele!$A$1:$L$116,9,FALSE)</f>
        <v>Kansas City</v>
      </c>
      <c r="BD38" s="56" t="str">
        <f>BY33</f>
        <v>Algerien</v>
      </c>
      <c r="BE38" s="40" t="s">
        <v>24</v>
      </c>
      <c r="BF38" s="56" t="str">
        <f>BY34</f>
        <v>Österreich</v>
      </c>
      <c r="BG38" s="55"/>
      <c r="BH38" s="107">
        <f ca="1">IF($B$102&lt;&gt;"","",IF($B$101&lt;&gt;"",IF(Ergebnisse!BH38="","",Ergebnisse!BH38),IF($B$99="",2,INT(RAND()*5)+INT(RAND()*3)*INT(RAND()*2))))</f>
        <v>2</v>
      </c>
      <c r="BI38" s="11" t="s">
        <v>25</v>
      </c>
      <c r="BJ38" s="107">
        <f ca="1">IF($B$102&lt;&gt;"","",IF($B$101&lt;&gt;"",IF(Ergebnisse!BJ38="","",Ergebnisse!BJ38),IF($B$99="",2,INT(RAND()*5)+INT(RAND()*3)*INT(RAND()*2))))</f>
        <v>4</v>
      </c>
      <c r="BK38" s="7" t="str">
        <f t="shared" ca="1" si="3"/>
        <v>ok</v>
      </c>
      <c r="BM38" s="227" t="str">
        <f ca="1">IF(BN33&gt;0,BM33,"")</f>
        <v>Algerien</v>
      </c>
      <c r="BN38" s="2" t="s">
        <v>230</v>
      </c>
      <c r="BO38" s="30"/>
      <c r="BP38" s="205" t="s">
        <v>11</v>
      </c>
      <c r="BS38" s="61">
        <f ca="1">IF(BK35=$B$98,BJ35,0)</f>
        <v>3</v>
      </c>
      <c r="BT38" s="61">
        <f ca="1">IF(BK37=$B$98,BJ38,0)</f>
        <v>4</v>
      </c>
      <c r="BU38" s="60"/>
      <c r="BV38" s="61">
        <f ca="1">IF(BK34=$B$98,BH34,0)</f>
        <v>0</v>
      </c>
      <c r="CD38" s="2" t="s">
        <v>141</v>
      </c>
      <c r="CE38" s="8"/>
      <c r="CF38" s="282"/>
      <c r="CG38" s="282"/>
      <c r="CH38" s="282"/>
      <c r="CI38" s="282"/>
      <c r="CJ38" s="282"/>
      <c r="CK38" s="282"/>
      <c r="CL38" s="282"/>
      <c r="CM38" s="282"/>
      <c r="CN38" s="282"/>
      <c r="CO38" s="282"/>
      <c r="CP38" s="282"/>
      <c r="CQ38" s="282"/>
      <c r="CR38" s="282"/>
      <c r="CS38" s="282"/>
      <c r="CT38" s="282"/>
      <c r="CV38" s="282"/>
    </row>
    <row r="39" spans="1:104">
      <c r="E39" s="55"/>
      <c r="F39" s="55"/>
      <c r="G39" s="55"/>
      <c r="M39" s="228" t="str">
        <f ca="1">IF(N34&gt;0,M34,"")</f>
        <v>Belgien</v>
      </c>
      <c r="N39" s="2" t="s">
        <v>231</v>
      </c>
      <c r="S39" s="61">
        <f ca="1">IF(K38=$B$98,H37,0)</f>
        <v>2</v>
      </c>
      <c r="T39" s="61">
        <f ca="1">IF(K36=$B$98,H36,0)</f>
        <v>3</v>
      </c>
      <c r="U39" s="61">
        <f ca="1">IF(K34=$B$98,J34,0)</f>
        <v>3</v>
      </c>
      <c r="V39" s="60"/>
      <c r="AD39" s="55" t="s">
        <v>143</v>
      </c>
      <c r="AE39" s="108"/>
      <c r="AF39" s="281"/>
      <c r="AG39" s="281"/>
      <c r="AH39" s="281"/>
      <c r="AI39" s="281"/>
      <c r="AJ39" s="281"/>
      <c r="AK39" s="281"/>
      <c r="AL39" s="281"/>
      <c r="AM39" s="281"/>
      <c r="AN39" s="281"/>
      <c r="AO39" s="281"/>
      <c r="AP39" s="281"/>
      <c r="AQ39" s="281"/>
      <c r="AR39" s="281"/>
      <c r="AS39" s="281"/>
      <c r="AT39" s="281"/>
      <c r="AV39" s="281"/>
      <c r="AW39" s="2"/>
      <c r="AX39" s="2"/>
      <c r="AY39" s="2"/>
      <c r="AZ39" s="2"/>
      <c r="BE39" s="55"/>
      <c r="BF39" s="55"/>
      <c r="BG39" s="55"/>
      <c r="BM39" s="227" t="str">
        <f ca="1">IF(BN34&gt;0,BM34,"")</f>
        <v>Jordanien</v>
      </c>
      <c r="BN39" s="2" t="s">
        <v>232</v>
      </c>
      <c r="BS39" s="61">
        <f ca="1">IF(BK38=$B$98,BH37,0)</f>
        <v>1</v>
      </c>
      <c r="BT39" s="61">
        <f ca="1">IF(BK36=$B$98,BH36,0)</f>
        <v>0</v>
      </c>
      <c r="BU39" s="61">
        <f ca="1">IF(BK34=$B$98,BJ34,0)</f>
        <v>3</v>
      </c>
      <c r="BV39" s="60"/>
      <c r="CD39" s="2" t="s">
        <v>143</v>
      </c>
      <c r="CE39" s="8"/>
      <c r="CF39" s="282"/>
      <c r="CG39" s="282"/>
      <c r="CH39" s="282"/>
      <c r="CI39" s="282"/>
      <c r="CJ39" s="282"/>
      <c r="CK39" s="282"/>
      <c r="CL39" s="282"/>
      <c r="CM39" s="282"/>
      <c r="CN39" s="282"/>
      <c r="CO39" s="282"/>
      <c r="CP39" s="282"/>
      <c r="CQ39" s="282"/>
      <c r="CR39" s="282"/>
      <c r="CS39" s="282"/>
      <c r="CT39" s="282"/>
      <c r="CV39" s="282"/>
    </row>
    <row r="40" spans="1:104">
      <c r="D40" s="55"/>
      <c r="E40" s="58"/>
      <c r="F40" s="59"/>
      <c r="G40" s="59"/>
      <c r="H40" s="55"/>
      <c r="I40" s="55"/>
      <c r="J40" s="55"/>
      <c r="AE40" s="108"/>
      <c r="AF40" s="281"/>
      <c r="AG40" s="281"/>
      <c r="AH40" s="281"/>
      <c r="AI40" s="281"/>
      <c r="AJ40" s="281"/>
      <c r="AK40" s="281"/>
      <c r="AL40" s="281"/>
      <c r="AM40" s="281"/>
      <c r="AN40" s="281"/>
      <c r="AO40" s="281"/>
      <c r="AP40" s="281"/>
      <c r="AQ40" s="281"/>
      <c r="AR40" s="281"/>
      <c r="AS40" s="281"/>
      <c r="AT40" s="281"/>
      <c r="AV40" s="281"/>
      <c r="AW40" s="2"/>
      <c r="AX40" s="2"/>
      <c r="AY40" s="2"/>
      <c r="AZ40" s="2"/>
      <c r="BD40" s="55"/>
      <c r="BE40" s="58"/>
      <c r="BF40" s="59"/>
      <c r="BG40" s="59"/>
      <c r="BH40" s="55"/>
      <c r="BI40" s="55"/>
      <c r="BJ40" s="55"/>
      <c r="BS40" s="55"/>
      <c r="BT40" s="55"/>
      <c r="BU40" s="55"/>
      <c r="BV40" s="55"/>
      <c r="CE40" s="8"/>
      <c r="CF40" s="282"/>
      <c r="CG40" s="282"/>
      <c r="CH40" s="282"/>
      <c r="CI40" s="282"/>
      <c r="CJ40" s="282"/>
      <c r="CK40" s="282"/>
      <c r="CL40" s="282"/>
      <c r="CM40" s="282"/>
      <c r="CN40" s="282"/>
      <c r="CO40" s="282"/>
      <c r="CP40" s="282"/>
      <c r="CQ40" s="282"/>
      <c r="CR40" s="282"/>
      <c r="CS40" s="282"/>
      <c r="CT40" s="282"/>
      <c r="CV40" s="282"/>
    </row>
    <row r="41" spans="1:104">
      <c r="A41" s="10"/>
      <c r="B41" s="229" t="s">
        <v>0</v>
      </c>
      <c r="C41" s="230" t="s">
        <v>233</v>
      </c>
      <c r="D41" s="53" t="s">
        <v>2</v>
      </c>
      <c r="E41" s="54"/>
      <c r="F41" s="53"/>
      <c r="G41" s="53"/>
      <c r="H41" s="20"/>
      <c r="I41" s="19"/>
      <c r="J41" s="20"/>
      <c r="K41" s="180"/>
      <c r="L41" s="17"/>
      <c r="M41" s="35" t="s">
        <v>3</v>
      </c>
      <c r="N41" s="17" t="s">
        <v>4</v>
      </c>
      <c r="O41" s="17" t="s">
        <v>5</v>
      </c>
      <c r="P41" s="17" t="s">
        <v>6</v>
      </c>
      <c r="Q41" s="17" t="s">
        <v>7</v>
      </c>
      <c r="R41" s="17"/>
      <c r="W41" s="53"/>
      <c r="X41" s="53" t="s">
        <v>8</v>
      </c>
      <c r="Y41" s="56" t="s">
        <v>9</v>
      </c>
      <c r="Z41" s="53" t="s">
        <v>4</v>
      </c>
      <c r="AA41" s="53" t="s">
        <v>5</v>
      </c>
      <c r="AB41" s="53" t="s">
        <v>6</v>
      </c>
      <c r="AC41" s="53" t="s">
        <v>7</v>
      </c>
      <c r="AD41" s="53"/>
      <c r="AE41" s="19" t="s">
        <v>10</v>
      </c>
      <c r="AF41" s="40" t="s">
        <v>11</v>
      </c>
      <c r="AG41" s="40"/>
      <c r="AH41" s="40"/>
      <c r="AI41" s="40"/>
      <c r="AJ41" s="40" t="s">
        <v>12</v>
      </c>
      <c r="AK41" s="56" t="s">
        <v>13</v>
      </c>
      <c r="AL41" s="40" t="s">
        <v>14</v>
      </c>
      <c r="AM41" s="40"/>
      <c r="AN41" s="40"/>
      <c r="AO41" s="40"/>
      <c r="AP41" s="40" t="s">
        <v>15</v>
      </c>
      <c r="AQ41" s="40" t="s">
        <v>16</v>
      </c>
      <c r="AR41" s="40"/>
      <c r="AS41" s="40"/>
      <c r="AT41" s="40"/>
      <c r="AU41" s="58" t="s">
        <v>17</v>
      </c>
      <c r="AV41" s="56" t="s">
        <v>18</v>
      </c>
      <c r="AW41" s="10"/>
      <c r="AX41" s="10"/>
      <c r="AY41" s="10"/>
      <c r="AZ41" s="10"/>
      <c r="BA41" s="10"/>
      <c r="BB41" s="231" t="s">
        <v>0</v>
      </c>
      <c r="BC41" s="232" t="s">
        <v>234</v>
      </c>
      <c r="BD41" s="53" t="s">
        <v>2</v>
      </c>
      <c r="BE41" s="54"/>
      <c r="BF41" s="53"/>
      <c r="BG41" s="53"/>
      <c r="BH41" s="20"/>
      <c r="BI41" s="19"/>
      <c r="BJ41" s="20"/>
      <c r="BK41" s="180"/>
      <c r="BL41" s="17"/>
      <c r="BM41" s="35" t="s">
        <v>3</v>
      </c>
      <c r="BN41" s="17" t="s">
        <v>4</v>
      </c>
      <c r="BO41" s="17" t="s">
        <v>5</v>
      </c>
      <c r="BP41" s="17" t="s">
        <v>6</v>
      </c>
      <c r="BQ41" s="17" t="s">
        <v>7</v>
      </c>
      <c r="BR41" s="17"/>
      <c r="BS41" s="55"/>
      <c r="BT41" s="55"/>
      <c r="BU41" s="55"/>
      <c r="BV41" s="55"/>
      <c r="BW41" s="17"/>
      <c r="BX41" s="17" t="s">
        <v>8</v>
      </c>
      <c r="BY41" s="56" t="s">
        <v>9</v>
      </c>
      <c r="BZ41" s="17" t="s">
        <v>4</v>
      </c>
      <c r="CA41" s="17" t="s">
        <v>5</v>
      </c>
      <c r="CB41" s="17" t="s">
        <v>6</v>
      </c>
      <c r="CC41" s="17" t="s">
        <v>7</v>
      </c>
      <c r="CD41" s="17"/>
      <c r="CE41" s="180" t="s">
        <v>10</v>
      </c>
      <c r="CF41" s="15" t="s">
        <v>11</v>
      </c>
      <c r="CG41" s="15"/>
      <c r="CH41" s="15"/>
      <c r="CI41" s="15"/>
      <c r="CJ41" s="15" t="s">
        <v>12</v>
      </c>
      <c r="CK41" s="21" t="s">
        <v>13</v>
      </c>
      <c r="CL41" s="15" t="s">
        <v>14</v>
      </c>
      <c r="CM41" s="15"/>
      <c r="CN41" s="15"/>
      <c r="CO41" s="15"/>
      <c r="CP41" s="15" t="s">
        <v>15</v>
      </c>
      <c r="CQ41" s="15" t="s">
        <v>16</v>
      </c>
      <c r="CR41" s="15"/>
      <c r="CS41" s="15"/>
      <c r="CT41" s="15"/>
      <c r="CU41" s="16" t="s">
        <v>17</v>
      </c>
      <c r="CV41" s="21" t="s">
        <v>18</v>
      </c>
      <c r="CW41" s="10"/>
      <c r="CX41" s="10"/>
      <c r="CY41" s="10"/>
      <c r="CZ41" s="10"/>
    </row>
    <row r="42" spans="1:104">
      <c r="B42" s="3" t="s">
        <v>22</v>
      </c>
      <c r="C42" s="3" t="s">
        <v>23</v>
      </c>
      <c r="D42" s="55"/>
      <c r="E42" s="55"/>
      <c r="F42" s="55"/>
      <c r="G42" s="55"/>
      <c r="L42" s="1"/>
      <c r="M42" s="9" t="str">
        <f ca="1">VLOOKUP(1,$X$42:$AC$45,2,FALSE)</f>
        <v>Uruguay</v>
      </c>
      <c r="N42" s="2">
        <f ca="1">VLOOKUP(1,$X$42:$AC$45,3,FALSE)</f>
        <v>7</v>
      </c>
      <c r="O42" s="2">
        <f ca="1">VLOOKUP(1,$X$42:$AC$45,4,FALSE)</f>
        <v>11</v>
      </c>
      <c r="P42" s="2">
        <f ca="1">VLOOKUP(1,$X$42:$AC$45,5,FALSE)</f>
        <v>6</v>
      </c>
      <c r="Q42" s="2">
        <f ca="1">VLOOKUP(1,$X$42:$AC$45,6,FALSE)</f>
        <v>5</v>
      </c>
      <c r="S42" s="60"/>
      <c r="T42" s="61">
        <f ca="1">IF(H43="",0,IF(K43=$B$98,IF(H43&gt;J43,3,IF(H43=J43,1,0)),0))</f>
        <v>3</v>
      </c>
      <c r="U42" s="61">
        <f ca="1">IF(H45="",0,IF(K45=$B$98,IF(H45&gt;J45,3,IF(H45=J45,1,0)),0))</f>
        <v>0</v>
      </c>
      <c r="V42" s="61">
        <f ca="1">IF(J47="",0,IF(K48=$B$98,IF(H47&lt;J47,3,IF(H47=J47,1,0)),0))</f>
        <v>1</v>
      </c>
      <c r="W42" s="62"/>
      <c r="X42" s="62">
        <f ca="1">RANK(AD42,$AD$42:$AD$45)</f>
        <v>2</v>
      </c>
      <c r="Y42" s="40" t="s">
        <v>66</v>
      </c>
      <c r="Z42" s="62">
        <f ca="1">SUM(S42:V42)</f>
        <v>4</v>
      </c>
      <c r="AA42" s="62">
        <f ca="1">SUM(S46:V46)</f>
        <v>10</v>
      </c>
      <c r="AB42" s="62">
        <f ca="1">SUM(S46:S49)</f>
        <v>9</v>
      </c>
      <c r="AC42" s="62">
        <f ca="1">AA42-AB42</f>
        <v>1</v>
      </c>
      <c r="AD42" s="24">
        <f ca="1">IF(P$18="",(((((((AE42*10+Z42)*100+AC42)*100+AA42)*10+AK42)*10+AJ42)*100+AP42)*100+AU42)*10+AV42,(((((((AE42*10+Z42)*10+AK42)*10+AJ42)*100+AP42)*100+AU42)*100+AC42)*100+AA42)*10+AV42)</f>
        <v>400000001104</v>
      </c>
      <c r="AE42" s="203"/>
      <c r="AF42" s="279"/>
      <c r="AG42" s="279">
        <f ca="1">IF($Z42=$Z43,$T42-$S43,0)</f>
        <v>0</v>
      </c>
      <c r="AH42" s="279">
        <f ca="1">IF($Z42=$Z44,$U42-$S44,0)</f>
        <v>0</v>
      </c>
      <c r="AI42" s="279">
        <f ca="1">IF($Z42=$Z45,$V42-$S45,0)</f>
        <v>0</v>
      </c>
      <c r="AJ42" s="279">
        <f ca="1">SUM(AF42:AI42)</f>
        <v>0</v>
      </c>
      <c r="AK42" s="203"/>
      <c r="AL42" s="279"/>
      <c r="AM42" s="279">
        <f ca="1">IF($Z42=$Z43,$T46-$S47,0)</f>
        <v>0</v>
      </c>
      <c r="AN42" s="279">
        <f ca="1">IF($Z42=$Z44,$U46-$S48,0)</f>
        <v>0</v>
      </c>
      <c r="AO42" s="279">
        <f ca="1">IF($Z42=$Z45,$V46-$S49,0)</f>
        <v>0</v>
      </c>
      <c r="AP42" s="279">
        <f ca="1">SUM(AL42:AO42)</f>
        <v>0</v>
      </c>
      <c r="AQ42" s="279"/>
      <c r="AR42" s="279">
        <f ca="1">IF($Z42=$Z43,$T46,0)</f>
        <v>0</v>
      </c>
      <c r="AS42" s="279">
        <f ca="1">IF($Z42=$Z44,$U46,0)</f>
        <v>0</v>
      </c>
      <c r="AT42" s="279">
        <f ca="1">IF($Z42=$Z45,$V46,0)</f>
        <v>0</v>
      </c>
      <c r="AU42" s="279">
        <f ca="1">SUM(AQ42:AT42)</f>
        <v>0</v>
      </c>
      <c r="AV42" s="203">
        <v>4</v>
      </c>
      <c r="AW42" s="2"/>
      <c r="AX42" s="2"/>
      <c r="AY42" s="2"/>
      <c r="AZ42" s="2"/>
      <c r="BB42" s="3" t="s">
        <v>22</v>
      </c>
      <c r="BC42" s="3" t="s">
        <v>23</v>
      </c>
      <c r="BD42" s="55"/>
      <c r="BE42" s="55"/>
      <c r="BF42" s="55"/>
      <c r="BG42" s="55"/>
      <c r="BL42" s="1"/>
      <c r="BM42" s="9" t="str">
        <f ca="1">VLOOKUP(1,$BX$42:$CC$45,2,FALSE)</f>
        <v>Portugal</v>
      </c>
      <c r="BN42" s="2">
        <f ca="1">VLOOKUP(1,$BX$42:$CC$45,3,FALSE)</f>
        <v>6</v>
      </c>
      <c r="BO42" s="2">
        <f ca="1">VLOOKUP(1,$BX$42:$CC$45,4,FALSE)</f>
        <v>9</v>
      </c>
      <c r="BP42" s="2">
        <f ca="1">VLOOKUP(1,$BX$42:$CC$45,5,FALSE)</f>
        <v>6</v>
      </c>
      <c r="BQ42" s="2">
        <f ca="1">VLOOKUP(1,$BX$42:$CC$45,6,FALSE)</f>
        <v>3</v>
      </c>
      <c r="BS42" s="60"/>
      <c r="BT42" s="61">
        <f ca="1">IF(BH43="",0,IF(BK43=$B$98,IF(BH43&gt;BJ43,3,IF(BH43=BJ43,1,0)),0))</f>
        <v>3</v>
      </c>
      <c r="BU42" s="61">
        <f ca="1">IF(BH45="",0,IF(BK45=$B$98,IF(BH45&gt;BJ45,3,IF(BH45=BJ45,1,0)),0))</f>
        <v>0</v>
      </c>
      <c r="BV42" s="61">
        <f ca="1">IF(BJ47="",0,IF(BK48=$B$98,IF(BH47&lt;BJ47,3,IF(BH47=BJ47,1,0)),0))</f>
        <v>3</v>
      </c>
      <c r="BW42" s="1"/>
      <c r="BX42" s="1">
        <f ca="1">RANK(CD42,$CD$42:$CD$45)</f>
        <v>1</v>
      </c>
      <c r="BY42" s="40" t="s">
        <v>190</v>
      </c>
      <c r="BZ42" s="1">
        <f ca="1">SUM(BS42:BV42)</f>
        <v>6</v>
      </c>
      <c r="CA42" s="1">
        <f ca="1">SUM(BS46:BV46)</f>
        <v>9</v>
      </c>
      <c r="CB42" s="1">
        <f ca="1">SUM(BS46:BS49)</f>
        <v>6</v>
      </c>
      <c r="CC42" s="1">
        <f ca="1">CA42-CB42</f>
        <v>3</v>
      </c>
      <c r="CD42" s="24">
        <f ca="1">IF(BP$8="",(((((((CE42*10+BZ42)*100+CC42)*100+CA42)*10+CK42)*10+CJ42)*100+CP42)*100+CU42)*10+CV42,(((((((CE42*10+BZ42)*10+CK42)*10+CJ42)*100+CP42)*100+CU42)*100+CC42)*100+CA42)*10+CV42)</f>
        <v>600010403094</v>
      </c>
      <c r="CE42" s="207"/>
      <c r="CF42" s="280"/>
      <c r="CG42" s="280">
        <f ca="1">IF($BZ42=$BZ43,$BT42-$BS43,0)</f>
        <v>3</v>
      </c>
      <c r="CH42" s="280">
        <f ca="1">IF($BZ42=$BZ44,$BU42-$BS44,0)</f>
        <v>-3</v>
      </c>
      <c r="CI42" s="280">
        <f ca="1">IF($BZ42=$BZ45,$BV42-$BS45,0)</f>
        <v>0</v>
      </c>
      <c r="CJ42" s="280">
        <f ca="1">SUM(CF42:CI42)</f>
        <v>0</v>
      </c>
      <c r="CK42" s="207"/>
      <c r="CL42" s="280"/>
      <c r="CM42" s="280">
        <f ca="1">IF($BZ42=$BZ43,$BT46-$BS47,0)</f>
        <v>3</v>
      </c>
      <c r="CN42" s="280">
        <f ca="1">IF($BZ42=$BZ44,$BU46-$BS48,0)</f>
        <v>-2</v>
      </c>
      <c r="CO42" s="280">
        <f ca="1">IF($BZ42=$BZ45,$BV46-$BS49,0)</f>
        <v>0</v>
      </c>
      <c r="CP42" s="280">
        <f ca="1">SUM(CL42:CO42)</f>
        <v>1</v>
      </c>
      <c r="CQ42" s="280"/>
      <c r="CR42" s="280">
        <f ca="1">IF($BZ42=$BZ43,$BT46,0)</f>
        <v>4</v>
      </c>
      <c r="CS42" s="280">
        <f ca="1">IF($BZ42=$BZ44,$BU46,0)</f>
        <v>0</v>
      </c>
      <c r="CT42" s="280">
        <f ca="1">IF($BZ42=$BZ45,$BV46,0)</f>
        <v>0</v>
      </c>
      <c r="CU42" s="280">
        <f ca="1">SUM(CQ42:CT42)</f>
        <v>4</v>
      </c>
      <c r="CV42" s="207">
        <v>4</v>
      </c>
    </row>
    <row r="43" spans="1:104">
      <c r="A43" s="2">
        <v>14</v>
      </c>
      <c r="B43" s="6">
        <f>VLOOKUP(A43,Spiele!$A$1:$L$116,2,FALSE)</f>
        <v>46188.5</v>
      </c>
      <c r="C43" s="6" t="str">
        <f>VLOOKUP(A43,Spiele!$A$1:$L$116,9,FALSE)</f>
        <v>Atlanta</v>
      </c>
      <c r="D43" s="56" t="str">
        <f>Y42</f>
        <v>Spanien</v>
      </c>
      <c r="E43" s="40" t="s">
        <v>24</v>
      </c>
      <c r="F43" s="56" t="str">
        <f>Y43</f>
        <v>Kap Verde</v>
      </c>
      <c r="G43" s="53"/>
      <c r="H43" s="107">
        <f ca="1">IF($B$102&lt;&gt;"","",IF($B$101&lt;&gt;"",IF(Ergebnisse!H43="","",Ergebnisse!H43),IF($B$99="",2,INT(RAND()*5)+INT(RAND()*3)*INT(RAND()*2))))</f>
        <v>6</v>
      </c>
      <c r="I43" s="11" t="s">
        <v>25</v>
      </c>
      <c r="J43" s="107">
        <f ca="1">IF($B$102&lt;&gt;"","",IF($B$101&lt;&gt;"",IF(Ergebnisse!J43="","",Ergebnisse!J43),IF($B$99="",2,INT(RAND()*5)+INT(RAND()*3)*INT(RAND()*2))))</f>
        <v>1</v>
      </c>
      <c r="K43" s="7" t="str">
        <f t="shared" ref="K43" ca="1" si="8">IF(OR(H43="",J43=""),"","ok")</f>
        <v>ok</v>
      </c>
      <c r="L43" s="1"/>
      <c r="M43" s="9" t="str">
        <f ca="1">VLOOKUP(2,$X$42:$AC$45,2,FALSE)</f>
        <v>Spanien</v>
      </c>
      <c r="N43" s="2">
        <f ca="1">VLOOKUP(2,$X$42:$AC$45,3,FALSE)</f>
        <v>4</v>
      </c>
      <c r="O43" s="2">
        <f ca="1">VLOOKUP(2,$X$42:$AC$45,4,FALSE)</f>
        <v>10</v>
      </c>
      <c r="P43" s="2">
        <f ca="1">VLOOKUP(2,$X$42:$AC$45,5,FALSE)</f>
        <v>9</v>
      </c>
      <c r="Q43" s="2">
        <f ca="1">VLOOKUP(2,$X$42:$AC$45,6,FALSE)</f>
        <v>1</v>
      </c>
      <c r="S43" s="61">
        <f ca="1">IF(J43="",0,IF(K43=$B$98,IF(H43&lt;J43,3,IF(H43=J43,1,0)),0))</f>
        <v>0</v>
      </c>
      <c r="T43" s="61"/>
      <c r="U43" s="60">
        <f ca="1">IF(H48="",0,IF(K47=$B$98,IF(H48&gt;J48,3,IF(H48=J48,1,0)),0))</f>
        <v>3</v>
      </c>
      <c r="V43" s="61">
        <f ca="1">IF(J46="",0,IF(K46=$B$98,IF(J46&gt;H46,3,IF(J46=H46,1,0)),0))</f>
        <v>0</v>
      </c>
      <c r="W43" s="62"/>
      <c r="X43" s="62">
        <f ca="1">RANK(AD43,$AD$42:$AD$45)</f>
        <v>3</v>
      </c>
      <c r="Y43" s="40" t="s">
        <v>235</v>
      </c>
      <c r="Z43" s="62">
        <f ca="1">SUM(S43:V43)</f>
        <v>3</v>
      </c>
      <c r="AA43" s="62">
        <f ca="1">SUM(S47:V47)</f>
        <v>7</v>
      </c>
      <c r="AB43" s="62">
        <f ca="1">SUM(T46:T49)</f>
        <v>14</v>
      </c>
      <c r="AC43" s="62">
        <f ca="1">AA43-AB43</f>
        <v>-7</v>
      </c>
      <c r="AD43" s="24">
        <f ca="1">IF(P$18="",(((((((AE43*10+Z43)*100+AC43)*100+AA43)*10+AK43)*10+AJ43)*100+AP43)*100+AU43)*10+AV43,(((((((AE43*10+Z43)*10+AK43)*10+AJ43)*100+AP43)*100+AU43)*100+AC43)*100+AA43)*10+AV43)</f>
        <v>303010393073</v>
      </c>
      <c r="AE43" s="203"/>
      <c r="AF43" s="279">
        <f ca="1">IF($Z43=$Z42,$S43-$T42,0)</f>
        <v>0</v>
      </c>
      <c r="AG43" s="279"/>
      <c r="AH43" s="279">
        <f ca="1">IF($Z43=$Z44,$U43-$T44,0)</f>
        <v>3</v>
      </c>
      <c r="AI43" s="279">
        <f ca="1">IF($Z43=$Z45,$V43-$T45,0)</f>
        <v>0</v>
      </c>
      <c r="AJ43" s="279">
        <f ca="1">SUM(AF43:AI43)</f>
        <v>3</v>
      </c>
      <c r="AK43" s="203"/>
      <c r="AL43" s="279">
        <f ca="1">IF($Z43=$Z42,$S47-$T46,0)</f>
        <v>0</v>
      </c>
      <c r="AM43" s="279"/>
      <c r="AN43" s="279">
        <f ca="1">IF($Z43=$Z44,$U47-$T48,0)</f>
        <v>1</v>
      </c>
      <c r="AO43" s="279">
        <f ca="1">IF($Z43=$Z45,$V47-$T49,0)</f>
        <v>0</v>
      </c>
      <c r="AP43" s="279">
        <f ca="1">SUM(AL43:AO43)</f>
        <v>1</v>
      </c>
      <c r="AQ43" s="279">
        <f ca="1">IF($Z43=$Z42,$S47,0)</f>
        <v>0</v>
      </c>
      <c r="AR43" s="279"/>
      <c r="AS43" s="279">
        <f ca="1">IF($Z43=$Z44,$U47,0)</f>
        <v>4</v>
      </c>
      <c r="AT43" s="279">
        <f ca="1">IF($Z43=$Z45,$V47,0)</f>
        <v>0</v>
      </c>
      <c r="AU43" s="279">
        <f ca="1">SUM(AQ43:AT43)</f>
        <v>4</v>
      </c>
      <c r="AV43" s="203">
        <v>3</v>
      </c>
      <c r="AW43" s="2"/>
      <c r="AX43" s="2"/>
      <c r="AY43" s="2"/>
      <c r="AZ43" s="2"/>
      <c r="BA43" s="2">
        <v>23</v>
      </c>
      <c r="BB43" s="6">
        <f>VLOOKUP(BA43,Spiele!$A$1:$L$116,2,FALSE)</f>
        <v>46190.5</v>
      </c>
      <c r="BC43" s="6" t="str">
        <f>VLOOKUP(BA43,Spiele!$A$1:$L$116,9,FALSE)</f>
        <v>Houston</v>
      </c>
      <c r="BD43" s="56" t="str">
        <f>BY42</f>
        <v>Portugal</v>
      </c>
      <c r="BE43" s="40" t="s">
        <v>24</v>
      </c>
      <c r="BF43" s="56" t="str">
        <f>BY43</f>
        <v>DR Kongo</v>
      </c>
      <c r="BG43" s="53"/>
      <c r="BH43" s="107">
        <f ca="1">IF($B$102&lt;&gt;"","",IF($B$101&lt;&gt;"",IF(Ergebnisse!BH43="","",Ergebnisse!BH43),IF($B$99="",2,INT(RAND()*5)+INT(RAND()*3)*INT(RAND()*2))))</f>
        <v>4</v>
      </c>
      <c r="BI43" s="11" t="s">
        <v>25</v>
      </c>
      <c r="BJ43" s="107">
        <f ca="1">IF($B$102&lt;&gt;"","",IF($B$101&lt;&gt;"",IF(Ergebnisse!BJ43="","",Ergebnisse!BJ43),IF($B$99="",2,INT(RAND()*5)+INT(RAND()*3)*INT(RAND()*2))))</f>
        <v>1</v>
      </c>
      <c r="BK43" s="7" t="str">
        <f t="shared" ref="BK43" ca="1" si="9">IF(OR(BH43="",BJ43=""),"","ok")</f>
        <v>ok</v>
      </c>
      <c r="BL43" s="1"/>
      <c r="BM43" s="9" t="str">
        <f ca="1">VLOOKUP(2,$BX$42:$CC$45,2,FALSE)</f>
        <v>Usbekistan</v>
      </c>
      <c r="BN43" s="2">
        <f ca="1">VLOOKUP(2,$BX$42:$CC$45,3,FALSE)</f>
        <v>6</v>
      </c>
      <c r="BO43" s="2">
        <f ca="1">VLOOKUP(2,$BX$42:$CC$45,4,FALSE)</f>
        <v>4</v>
      </c>
      <c r="BP43" s="2">
        <f ca="1">VLOOKUP(2,$BX$42:$CC$45,5,FALSE)</f>
        <v>2</v>
      </c>
      <c r="BQ43" s="2">
        <f ca="1">VLOOKUP(2,$BX$42:$CC$45,6,FALSE)</f>
        <v>2</v>
      </c>
      <c r="BS43" s="61">
        <f ca="1">IF(BJ43="",0,IF(BK43=$B$98,IF(BH43&lt;BJ43,3,IF(BH43=BJ43,1,0)),0))</f>
        <v>0</v>
      </c>
      <c r="BT43" s="61"/>
      <c r="BU43" s="60">
        <f ca="1">IF(BH48="",0,IF(BK47=$B$98,IF(BH48&gt;BJ48,3,IF(BH48=BJ48,1,0)),0))</f>
        <v>3</v>
      </c>
      <c r="BV43" s="61">
        <f ca="1">IF(BJ46="",0,IF(BK46=$B$98,IF(BJ46&gt;BH46,3,IF(BJ46=BH46,1,0)),0))</f>
        <v>3</v>
      </c>
      <c r="BW43" s="1"/>
      <c r="BX43" s="1">
        <f ca="1">RANK(CD43,$CD$42:$CD$45)</f>
        <v>3</v>
      </c>
      <c r="BY43" s="40" t="s">
        <v>236</v>
      </c>
      <c r="BZ43" s="1">
        <f ca="1">SUM(BS43:BV43)</f>
        <v>6</v>
      </c>
      <c r="CA43" s="1">
        <f ca="1">SUM(BS47:BV47)</f>
        <v>8</v>
      </c>
      <c r="CB43" s="1">
        <f ca="1">SUM(BT46:BT49)</f>
        <v>9</v>
      </c>
      <c r="CC43" s="1">
        <f ca="1">CA43-CB43</f>
        <v>-1</v>
      </c>
      <c r="CD43" s="24">
        <f ca="1">IF(BP$8="",(((((((CE43*10+BZ43)*100+CC43)*100+CA43)*10+CK43)*10+CJ43)*100+CP43)*100+CU43)*10+CV43,(((((((CE43*10+BZ43)*10+CK43)*10+CJ43)*100+CP43)*100+CU43)*100+CC43)*100+CA43)*10+CV43)</f>
        <v>599980299083</v>
      </c>
      <c r="CE43" s="207"/>
      <c r="CF43" s="280">
        <f ca="1">IF($BZ43=$BZ42,$BS43-$BT42,0)</f>
        <v>-3</v>
      </c>
      <c r="CG43" s="280"/>
      <c r="CH43" s="280">
        <f ca="1">IF($BZ43=$BZ44,$BU43-$BT44,0)</f>
        <v>3</v>
      </c>
      <c r="CI43" s="280">
        <f ca="1">IF($BZ43=$BZ45,$BV43-$BT45,0)</f>
        <v>0</v>
      </c>
      <c r="CJ43" s="280">
        <f ca="1">SUM(CF43:CI43)</f>
        <v>0</v>
      </c>
      <c r="CK43" s="207"/>
      <c r="CL43" s="280">
        <f ca="1">IF($BZ43=$BZ42,$BS47-$BT46,0)</f>
        <v>-3</v>
      </c>
      <c r="CM43" s="280"/>
      <c r="CN43" s="280">
        <f ca="1">IF($BZ43=$BZ44,$BU47-$BT48,0)</f>
        <v>1</v>
      </c>
      <c r="CO43" s="280">
        <f ca="1">IF($BZ43=$BZ45,$BV47-$BT49,0)</f>
        <v>0</v>
      </c>
      <c r="CP43" s="280">
        <f ca="1">SUM(CL43:CO43)</f>
        <v>-2</v>
      </c>
      <c r="CQ43" s="280">
        <f ca="1">IF($BZ43=$BZ42,$BS47,0)</f>
        <v>1</v>
      </c>
      <c r="CR43" s="280"/>
      <c r="CS43" s="280">
        <f ca="1">IF($BZ43=$BZ44,$BU47,0)</f>
        <v>2</v>
      </c>
      <c r="CT43" s="280">
        <f ca="1">IF($BZ43=$BZ45,$BV47,0)</f>
        <v>0</v>
      </c>
      <c r="CU43" s="280">
        <f ca="1">SUM(CQ43:CT43)</f>
        <v>3</v>
      </c>
      <c r="CV43" s="207">
        <v>3</v>
      </c>
    </row>
    <row r="44" spans="1:104">
      <c r="A44" s="2">
        <v>13</v>
      </c>
      <c r="B44" s="6">
        <f>VLOOKUP(A44,Spiele!$A$1:$L$116,2,FALSE)</f>
        <v>46188.75</v>
      </c>
      <c r="C44" s="6" t="str">
        <f>VLOOKUP(A44,Spiele!$A$1:$L$116,9,FALSE)</f>
        <v>Miami</v>
      </c>
      <c r="D44" s="56" t="str">
        <f>Y44</f>
        <v>Saudiarabien</v>
      </c>
      <c r="E44" s="40" t="s">
        <v>24</v>
      </c>
      <c r="F44" s="56" t="str">
        <f>Y45</f>
        <v>Uruguay</v>
      </c>
      <c r="G44" s="53"/>
      <c r="H44" s="107">
        <f ca="1">IF($B$102&lt;&gt;"","",IF($B$101&lt;&gt;"",IF(Ergebnisse!H44="","",Ergebnisse!H44),IF($B$99="",2,INT(RAND()*5)+INT(RAND()*3)*INT(RAND()*2))))</f>
        <v>0</v>
      </c>
      <c r="I44" s="11" t="s">
        <v>25</v>
      </c>
      <c r="J44" s="107">
        <f ca="1">IF($B$102&lt;&gt;"","",IF($B$101&lt;&gt;"",IF(Ergebnisse!J44="","",Ergebnisse!J44),IF($B$99="",2,INT(RAND()*5)+INT(RAND()*3)*INT(RAND()*2))))</f>
        <v>2</v>
      </c>
      <c r="K44" s="7" t="str">
        <f t="shared" ca="1" si="2"/>
        <v>ok</v>
      </c>
      <c r="L44" s="1"/>
      <c r="M44" s="9" t="str">
        <f ca="1">VLOOKUP(3,$X$42:$AC$45,2,FALSE)</f>
        <v>Kap Verde</v>
      </c>
      <c r="N44" s="2">
        <f ca="1">VLOOKUP(3,$X$42:$AC$45,3,FALSE)</f>
        <v>3</v>
      </c>
      <c r="O44" s="2">
        <f ca="1">VLOOKUP(3,$X$42:$AC$45,4,FALSE)</f>
        <v>7</v>
      </c>
      <c r="P44" s="2">
        <f ca="1">VLOOKUP(3,$X$42:$AC$45,5,FALSE)</f>
        <v>14</v>
      </c>
      <c r="Q44" s="2">
        <f ca="1">VLOOKUP(3,$X$42:$AC$45,6,FALSE)</f>
        <v>-7</v>
      </c>
      <c r="S44" s="61">
        <f ca="1">IF(J45="",0,IF(K45=$B$98,IF(H45&lt;J45,3,IF(H45=J45,1,0)),0))</f>
        <v>3</v>
      </c>
      <c r="T44" s="61">
        <f ca="1">IF(J48="",0,IF(K47=$B$98,IF(H48&lt;J48,3,IF(H48=J48,1,0)),0))</f>
        <v>0</v>
      </c>
      <c r="U44" s="60"/>
      <c r="V44" s="61">
        <f ca="1">IF(H44="",0,IF(K44=$B$98,IF(H44&gt;J44,3,IF(H44=J44,1,0)),0))</f>
        <v>0</v>
      </c>
      <c r="W44" s="62"/>
      <c r="X44" s="62">
        <f ca="1">RANK(AD44,$AD$42:$AD$45)</f>
        <v>4</v>
      </c>
      <c r="Y44" s="40" t="s">
        <v>237</v>
      </c>
      <c r="Z44" s="62">
        <f ca="1">SUM(S44:V44)</f>
        <v>3</v>
      </c>
      <c r="AA44" s="62">
        <f ca="1">SUM(S48:V48)</f>
        <v>7</v>
      </c>
      <c r="AB44" s="62">
        <f ca="1">SUM(U46:U49)</f>
        <v>6</v>
      </c>
      <c r="AC44" s="62">
        <f ca="1">AA44-AB44</f>
        <v>1</v>
      </c>
      <c r="AD44" s="24">
        <f ca="1">IF(P$18="",(((((((AE44*10+Z44)*100+AC44)*100+AA44)*10+AK44)*10+AJ44)*100+AP44)*100+AU44)*10+AV44,(((((((AE44*10+Z44)*10+AK44)*10+AJ44)*100+AP44)*100+AU44)*100+AC44)*100+AA44)*10+AV44)</f>
        <v>296990301072</v>
      </c>
      <c r="AE44" s="203"/>
      <c r="AF44" s="279">
        <f ca="1">IF($Z44=$Z42,$S44-$U42,0)</f>
        <v>0</v>
      </c>
      <c r="AG44" s="279">
        <f ca="1">IF($Z44=$Z43,$T44-$U43,0)</f>
        <v>-3</v>
      </c>
      <c r="AH44" s="279"/>
      <c r="AI44" s="279">
        <f ca="1">IF($Z44=$Z45,$V44-$U45,0)</f>
        <v>0</v>
      </c>
      <c r="AJ44" s="279">
        <f ca="1">SUM(AF44:AI44)</f>
        <v>-3</v>
      </c>
      <c r="AK44" s="203"/>
      <c r="AL44" s="279">
        <f ca="1">IF($Z44=$Z42,$S48-$U46,0)</f>
        <v>0</v>
      </c>
      <c r="AM44" s="279">
        <f ca="1">IF($Z44=$Z43,$T48-$U47,0)</f>
        <v>-1</v>
      </c>
      <c r="AN44" s="279"/>
      <c r="AO44" s="279">
        <f ca="1">IF($Z44=$Z45,$V48-$U49,0)</f>
        <v>0</v>
      </c>
      <c r="AP44" s="279">
        <f ca="1">SUM(AL44:AO44)</f>
        <v>-1</v>
      </c>
      <c r="AQ44" s="279">
        <f ca="1">IF($Z44=$Z42,$S48,0)</f>
        <v>0</v>
      </c>
      <c r="AR44" s="279">
        <f ca="1">IF($Z44=$Z43,$T48,0)</f>
        <v>3</v>
      </c>
      <c r="AS44" s="279"/>
      <c r="AT44" s="279">
        <f ca="1">IF($Z44=$Z45,$V48,0)</f>
        <v>0</v>
      </c>
      <c r="AU44" s="279">
        <f ca="1">SUM(AQ44:AT44)</f>
        <v>3</v>
      </c>
      <c r="AV44" s="203">
        <v>2</v>
      </c>
      <c r="AW44" s="2"/>
      <c r="AX44" s="2"/>
      <c r="AY44" s="2"/>
      <c r="AZ44" s="2"/>
      <c r="BA44" s="2">
        <v>24</v>
      </c>
      <c r="BB44" s="6">
        <f>VLOOKUP(BA44,Spiele!$A$1:$L$116,2,FALSE)</f>
        <v>46190.875</v>
      </c>
      <c r="BC44" s="6" t="str">
        <f>VLOOKUP(BA44,Spiele!$A$1:$L$116,9,FALSE)</f>
        <v>Mexico City</v>
      </c>
      <c r="BD44" s="56" t="str">
        <f>BY44</f>
        <v>Usbekistan</v>
      </c>
      <c r="BE44" s="40" t="s">
        <v>24</v>
      </c>
      <c r="BF44" s="56" t="str">
        <f>BY45</f>
        <v>Kolumbien</v>
      </c>
      <c r="BG44" s="53"/>
      <c r="BH44" s="107">
        <f ca="1">IF($B$102&lt;&gt;"","",IF($B$101&lt;&gt;"",IF(Ergebnisse!BH44="","",Ergebnisse!BH44),IF($B$99="",2,INT(RAND()*5)+INT(RAND()*3)*INT(RAND()*2))))</f>
        <v>1</v>
      </c>
      <c r="BI44" s="11" t="s">
        <v>25</v>
      </c>
      <c r="BJ44" s="107">
        <f ca="1">IF($B$102&lt;&gt;"","",IF($B$101&lt;&gt;"",IF(Ergebnisse!BJ44="","",Ergebnisse!BJ44),IF($B$99="",2,INT(RAND()*5)+INT(RAND()*3)*INT(RAND()*2))))</f>
        <v>0</v>
      </c>
      <c r="BK44" s="7" t="str">
        <f t="shared" ca="1" si="3"/>
        <v>ok</v>
      </c>
      <c r="BL44" s="1"/>
      <c r="BM44" s="9" t="str">
        <f ca="1">VLOOKUP(3,$BX$42:$CC$45,2,FALSE)</f>
        <v>DR Kongo</v>
      </c>
      <c r="BN44" s="2">
        <f ca="1">VLOOKUP(3,$BX$42:$CC$45,3,FALSE)</f>
        <v>6</v>
      </c>
      <c r="BO44" s="2">
        <f ca="1">VLOOKUP(3,$BX$42:$CC$45,4,FALSE)</f>
        <v>8</v>
      </c>
      <c r="BP44" s="2">
        <f ca="1">VLOOKUP(3,$BX$42:$CC$45,5,FALSE)</f>
        <v>9</v>
      </c>
      <c r="BQ44" s="2">
        <f ca="1">VLOOKUP(3,$BX$42:$CC$45,6,FALSE)</f>
        <v>-1</v>
      </c>
      <c r="BS44" s="61">
        <f ca="1">IF(BJ45="",0,IF(BK45=$B$98,IF(BH45&lt;BJ45,3,IF(BH45=BJ45,1,0)),0))</f>
        <v>3</v>
      </c>
      <c r="BT44" s="61">
        <f ca="1">IF(BJ48="",0,IF(BK47=$B$98,IF(BH48&lt;BJ48,3,IF(BH48=BJ48,1,0)),0))</f>
        <v>0</v>
      </c>
      <c r="BU44" s="60"/>
      <c r="BV44" s="61">
        <f ca="1">IF(BH44="",0,IF(BK44=$B$98,IF(BH44&gt;BJ44,3,IF(BH44=BJ44,1,0)),0))</f>
        <v>3</v>
      </c>
      <c r="BW44" s="1"/>
      <c r="BX44" s="1">
        <f ca="1">RANK(CD44,$CD$42:$CD$45)</f>
        <v>2</v>
      </c>
      <c r="BY44" s="40" t="s">
        <v>238</v>
      </c>
      <c r="BZ44" s="1">
        <f ca="1">SUM(BS44:BV44)</f>
        <v>6</v>
      </c>
      <c r="CA44" s="1">
        <f ca="1">SUM(BS48:BV48)</f>
        <v>4</v>
      </c>
      <c r="CB44" s="1">
        <f ca="1">SUM(BU46:BU49)</f>
        <v>2</v>
      </c>
      <c r="CC44" s="1">
        <f ca="1">CA44-CB44</f>
        <v>2</v>
      </c>
      <c r="CD44" s="24">
        <f ca="1">IF(BP$8="",(((((((CE44*10+BZ44)*100+CC44)*100+CA44)*10+CK44)*10+CJ44)*100+CP44)*100+CU44)*10+CV44,(((((((CE44*10+BZ44)*10+CK44)*10+CJ44)*100+CP44)*100+CU44)*100+CC44)*100+CA44)*10+CV44)</f>
        <v>600010302042</v>
      </c>
      <c r="CE44" s="207"/>
      <c r="CF44" s="280">
        <f ca="1">IF($BZ44=$BZ42,$BS44-$BU42,0)</f>
        <v>3</v>
      </c>
      <c r="CG44" s="280">
        <f ca="1">IF($BZ44=$BZ43,$BT44-$BU43,0)</f>
        <v>-3</v>
      </c>
      <c r="CH44" s="280"/>
      <c r="CI44" s="280">
        <f ca="1">IF($BZ44=$BZ45,$BV44-$BU45,0)</f>
        <v>0</v>
      </c>
      <c r="CJ44" s="280">
        <f ca="1">SUM(CF44:CI44)</f>
        <v>0</v>
      </c>
      <c r="CK44" s="207"/>
      <c r="CL44" s="280">
        <f ca="1">IF($BZ44=$BZ42,$BS48-$BU46,0)</f>
        <v>2</v>
      </c>
      <c r="CM44" s="280">
        <f ca="1">IF($BZ44=$BZ43,$BT48-$BU47,0)</f>
        <v>-1</v>
      </c>
      <c r="CN44" s="280"/>
      <c r="CO44" s="280">
        <f ca="1">IF($BZ44=$BZ45,$BV48-$BU49,0)</f>
        <v>0</v>
      </c>
      <c r="CP44" s="280">
        <f ca="1">SUM(CL44:CO44)</f>
        <v>1</v>
      </c>
      <c r="CQ44" s="280">
        <f ca="1">IF($BZ44=$BZ42,$BS48,0)</f>
        <v>2</v>
      </c>
      <c r="CR44" s="280">
        <f ca="1">IF($BZ44=$BZ43,$BT48,0)</f>
        <v>1</v>
      </c>
      <c r="CS44" s="280"/>
      <c r="CT44" s="280">
        <f ca="1">IF($BZ44=$BZ45,$BV48,0)</f>
        <v>0</v>
      </c>
      <c r="CU44" s="280">
        <f ca="1">SUM(CQ44:CT44)</f>
        <v>3</v>
      </c>
      <c r="CV44" s="207">
        <v>2</v>
      </c>
    </row>
    <row r="45" spans="1:104">
      <c r="A45" s="2">
        <v>38</v>
      </c>
      <c r="B45" s="6">
        <f>VLOOKUP(A45,Spiele!$A$1:$L$116,2,FALSE)</f>
        <v>46194.5</v>
      </c>
      <c r="C45" s="6" t="str">
        <f>VLOOKUP(A45,Spiele!$A$1:$L$116,9,FALSE)</f>
        <v>Atlanta</v>
      </c>
      <c r="D45" s="56" t="str">
        <f>Y42</f>
        <v>Spanien</v>
      </c>
      <c r="E45" s="40" t="s">
        <v>24</v>
      </c>
      <c r="F45" s="56" t="str">
        <f>Y44</f>
        <v>Saudiarabien</v>
      </c>
      <c r="G45" s="53"/>
      <c r="H45" s="107">
        <f ca="1">IF($B$102&lt;&gt;"","",IF($B$101&lt;&gt;"",IF(Ergebnisse!H45="","",Ergebnisse!H45),IF($B$99="",2,INT(RAND()*5)+INT(RAND()*3)*INT(RAND()*2))))</f>
        <v>0</v>
      </c>
      <c r="I45" s="11" t="s">
        <v>25</v>
      </c>
      <c r="J45" s="107">
        <f ca="1">IF($B$102&lt;&gt;"","",IF($B$101&lt;&gt;"",IF(Ergebnisse!J45="","",Ergebnisse!J45),IF($B$99="",2,INT(RAND()*5)+INT(RAND()*3)*INT(RAND()*2))))</f>
        <v>4</v>
      </c>
      <c r="K45" s="7" t="str">
        <f t="shared" ca="1" si="2"/>
        <v>ok</v>
      </c>
      <c r="L45" s="1"/>
      <c r="M45" s="9" t="str">
        <f ca="1">VLOOKUP(4,$X$42:$AC$45,2,FALSE)</f>
        <v>Saudiarabien</v>
      </c>
      <c r="N45" s="2">
        <f ca="1">VLOOKUP(4,$X$42:$AC$45,3,FALSE)</f>
        <v>3</v>
      </c>
      <c r="O45" s="2">
        <f ca="1">VLOOKUP(4,$X$42:$AC$45,4,FALSE)</f>
        <v>7</v>
      </c>
      <c r="P45" s="2">
        <f ca="1">VLOOKUP(4,$X$42:$AC$45,5,FALSE)</f>
        <v>6</v>
      </c>
      <c r="Q45" s="2">
        <f ca="1">VLOOKUP(4,$X$42:$AC$45,6,FALSE)</f>
        <v>1</v>
      </c>
      <c r="S45" s="61">
        <f ca="1">IF(H47="",0,IF(K48=$B$98,IF(H47&gt;J47,3,IF(H47=J47,1,0)),0))</f>
        <v>1</v>
      </c>
      <c r="T45" s="61">
        <f ca="1">IF(H46="",0,IF(K46=$B$98,IF(J46&lt;H46,3,IF(J46=H46,1,0)),0))</f>
        <v>3</v>
      </c>
      <c r="U45" s="60">
        <f ca="1">IF(J44="",0,IF(K44=$B$98,IF(H44&lt;J44,3,IF(H44=J44,1,0)),0))</f>
        <v>3</v>
      </c>
      <c r="V45" s="61"/>
      <c r="W45" s="62"/>
      <c r="X45" s="62">
        <f ca="1">RANK(AD45,$AD$42:$AD$45)</f>
        <v>1</v>
      </c>
      <c r="Y45" s="40" t="s">
        <v>239</v>
      </c>
      <c r="Z45" s="62">
        <f ca="1">SUM(S45:V45)</f>
        <v>7</v>
      </c>
      <c r="AA45" s="62">
        <f ca="1">SUM(S49:V49)</f>
        <v>11</v>
      </c>
      <c r="AB45" s="62">
        <f ca="1">SUM(V46:V49)</f>
        <v>6</v>
      </c>
      <c r="AC45" s="62">
        <f ca="1">AA45-AB45</f>
        <v>5</v>
      </c>
      <c r="AD45" s="24">
        <f ca="1">IF(P$18="",(((((((AE45*10+Z45)*100+AC45)*100+AA45)*10+AK45)*10+AJ45)*100+AP45)*100+AU45)*10+AV45,(((((((AE45*10+Z45)*10+AK45)*10+AJ45)*100+AP45)*100+AU45)*100+AC45)*100+AA45)*10+AV45)</f>
        <v>700000005111</v>
      </c>
      <c r="AE45" s="203"/>
      <c r="AF45" s="279">
        <f ca="1">IF($Z45=$Z42,$S45-$V42,0)</f>
        <v>0</v>
      </c>
      <c r="AG45" s="279">
        <f ca="1">IF($Z45=$Z43,$T45-$V43,0)</f>
        <v>0</v>
      </c>
      <c r="AH45" s="279">
        <f ca="1">IF($Z45=$Z44,$U45-$V44,0)</f>
        <v>0</v>
      </c>
      <c r="AI45" s="279"/>
      <c r="AJ45" s="279">
        <f ca="1">SUM(AF45:AI45)</f>
        <v>0</v>
      </c>
      <c r="AK45" s="203"/>
      <c r="AL45" s="279">
        <f ca="1">IF($Z45=$Z42,$S49-$V46,0)</f>
        <v>0</v>
      </c>
      <c r="AM45" s="279">
        <f ca="1">IF($Z45=$Z43,$T49-$V47,0)</f>
        <v>0</v>
      </c>
      <c r="AN45" s="279">
        <f ca="1">IF($Z45=$Z44,$U49-$V48,0)</f>
        <v>0</v>
      </c>
      <c r="AO45" s="279"/>
      <c r="AP45" s="279">
        <f ca="1">SUM(AL45:AO45)</f>
        <v>0</v>
      </c>
      <c r="AQ45" s="279">
        <f ca="1">IF($Z45=$Z42,$S49,0)</f>
        <v>0</v>
      </c>
      <c r="AR45" s="279">
        <f ca="1">IF($Z45=$Z43,$T49,0)</f>
        <v>0</v>
      </c>
      <c r="AS45" s="279">
        <f ca="1">IF($Z45=$Z44,$U49,0)</f>
        <v>0</v>
      </c>
      <c r="AT45" s="279"/>
      <c r="AU45" s="279">
        <f ca="1">SUM(AQ45:AT45)</f>
        <v>0</v>
      </c>
      <c r="AV45" s="203">
        <v>1</v>
      </c>
      <c r="AW45" s="2"/>
      <c r="AX45" s="2"/>
      <c r="AY45" s="2"/>
      <c r="AZ45" s="2"/>
      <c r="BA45" s="2">
        <v>47</v>
      </c>
      <c r="BB45" s="6">
        <f>VLOOKUP(BA45,Spiele!$A$1:$L$116,2,FALSE)</f>
        <v>46196.5</v>
      </c>
      <c r="BC45" s="6" t="str">
        <f>VLOOKUP(BA45,Spiele!$A$1:$L$116,9,FALSE)</f>
        <v>Houston</v>
      </c>
      <c r="BD45" s="56" t="str">
        <f>BY42</f>
        <v>Portugal</v>
      </c>
      <c r="BE45" s="40" t="s">
        <v>24</v>
      </c>
      <c r="BF45" s="56" t="str">
        <f>BY44</f>
        <v>Usbekistan</v>
      </c>
      <c r="BG45" s="53"/>
      <c r="BH45" s="107">
        <f ca="1">IF($B$102&lt;&gt;"","",IF($B$101&lt;&gt;"",IF(Ergebnisse!BH45="","",Ergebnisse!BH45),IF($B$99="",2,INT(RAND()*5)+INT(RAND()*3)*INT(RAND()*2))))</f>
        <v>0</v>
      </c>
      <c r="BI45" s="11" t="s">
        <v>25</v>
      </c>
      <c r="BJ45" s="107">
        <f ca="1">IF($B$102&lt;&gt;"","",IF($B$101&lt;&gt;"",IF(Ergebnisse!BJ45="","",Ergebnisse!BJ45),IF($B$99="",2,INT(RAND()*5)+INT(RAND()*3)*INT(RAND()*2))))</f>
        <v>2</v>
      </c>
      <c r="BK45" s="7" t="str">
        <f t="shared" ca="1" si="3"/>
        <v>ok</v>
      </c>
      <c r="BL45" s="1"/>
      <c r="BM45" s="9" t="str">
        <f ca="1">VLOOKUP(4,$BX$42:CC$45,2,FALSE)</f>
        <v>Kolumbien</v>
      </c>
      <c r="BN45" s="2">
        <f ca="1">VLOOKUP(4,$BX$42:$CC$45,3,FALSE)</f>
        <v>0</v>
      </c>
      <c r="BO45" s="2">
        <f ca="1">VLOOKUP(4,$BX$42:$CC$45,4,FALSE)</f>
        <v>7</v>
      </c>
      <c r="BP45" s="2">
        <f ca="1">VLOOKUP(4,$BX$42:$CC$45,5,FALSE)</f>
        <v>11</v>
      </c>
      <c r="BQ45" s="2">
        <f ca="1">VLOOKUP(4,$BX$42:$CC$45,6,FALSE)</f>
        <v>-4</v>
      </c>
      <c r="BS45" s="61">
        <f ca="1">IF(BH47="",0,IF(BK48=$B$98,IF(BH47&gt;BJ47,3,IF(BH47=BJ47,1,0)),0))</f>
        <v>0</v>
      </c>
      <c r="BT45" s="61">
        <f ca="1">IF(BH46="",0,IF(BK46=$B$98,IF(BJ46&lt;BH46,3,IF(BJ46=BH46,1,0)),0))</f>
        <v>0</v>
      </c>
      <c r="BU45" s="60">
        <f ca="1">IF(BJ44="",0,IF(BK44=$B$98,IF(BH44&lt;BJ44,3,IF(BH44=BJ44,1,0)),0))</f>
        <v>0</v>
      </c>
      <c r="BV45" s="61"/>
      <c r="BW45" s="1"/>
      <c r="BX45" s="1">
        <f ca="1">RANK(CD45,$CD$42:$CD$45)</f>
        <v>4</v>
      </c>
      <c r="BY45" s="40" t="s">
        <v>240</v>
      </c>
      <c r="BZ45" s="1">
        <f ca="1">SUM(BS45:BV45)</f>
        <v>0</v>
      </c>
      <c r="CA45" s="1">
        <f ca="1">SUM(BS49:BV49)</f>
        <v>7</v>
      </c>
      <c r="CB45" s="1">
        <f ca="1">SUM(BV46:BV49)</f>
        <v>11</v>
      </c>
      <c r="CC45" s="1">
        <f ca="1">CA45-CB45</f>
        <v>-4</v>
      </c>
      <c r="CD45" s="24">
        <f ca="1">IF(BP$8="",(((((((CE45*10+BZ45)*100+CC45)*100+CA45)*10+CK45)*10+CJ45)*100+CP45)*100+CU45)*10+CV45,(((((((CE45*10+BZ45)*10+CK45)*10+CJ45)*100+CP45)*100+CU45)*100+CC45)*100+CA45)*10+CV45)</f>
        <v>-3929</v>
      </c>
      <c r="CE45" s="207"/>
      <c r="CF45" s="280">
        <f ca="1">IF($BZ45=$BZ42,$BS45-$BV42,0)</f>
        <v>0</v>
      </c>
      <c r="CG45" s="280">
        <f ca="1">IF($BZ45=$BZ43,$BT45-$BV43,0)</f>
        <v>0</v>
      </c>
      <c r="CH45" s="280">
        <f ca="1">IF($BZ45=$BZ44,$BU45-$BV44,0)</f>
        <v>0</v>
      </c>
      <c r="CI45" s="280"/>
      <c r="CJ45" s="280">
        <f ca="1">SUM(CF45:CI45)</f>
        <v>0</v>
      </c>
      <c r="CK45" s="207"/>
      <c r="CL45" s="280">
        <f ca="1">IF($BZ45=$BZ42,$BS49-$BV46,0)</f>
        <v>0</v>
      </c>
      <c r="CM45" s="280">
        <f ca="1">IF($BZ45=$BZ43,$BT49-$BV47,0)</f>
        <v>0</v>
      </c>
      <c r="CN45" s="280">
        <f ca="1">IF($BZ45=$BZ44,$BU49-$BV48,0)</f>
        <v>0</v>
      </c>
      <c r="CO45" s="280"/>
      <c r="CP45" s="280">
        <f ca="1">SUM(CL45:CO45)</f>
        <v>0</v>
      </c>
      <c r="CQ45" s="280">
        <f ca="1">IF($BZ45=$BZ42,$BS49,0)</f>
        <v>0</v>
      </c>
      <c r="CR45" s="280">
        <f ca="1">IF($BZ45=$BZ43,$BT49,0)</f>
        <v>0</v>
      </c>
      <c r="CS45" s="280">
        <f ca="1">IF($BZ45=$BZ44,$BU49,0)</f>
        <v>0</v>
      </c>
      <c r="CT45" s="280"/>
      <c r="CU45" s="280">
        <f ca="1">SUM(CQ45:CT45)</f>
        <v>0</v>
      </c>
      <c r="CV45" s="207">
        <v>1</v>
      </c>
    </row>
    <row r="46" spans="1:104">
      <c r="A46" s="2">
        <v>37</v>
      </c>
      <c r="B46" s="6">
        <f>VLOOKUP(A46,Spiele!$A$1:$L$116,2,FALSE)</f>
        <v>46194.75</v>
      </c>
      <c r="C46" s="6" t="str">
        <f>VLOOKUP(A46,Spiele!$A$1:$L$116,9,FALSE)</f>
        <v>Miami</v>
      </c>
      <c r="D46" s="56" t="str">
        <f>Y45</f>
        <v>Uruguay</v>
      </c>
      <c r="E46" s="40" t="s">
        <v>24</v>
      </c>
      <c r="F46" s="56" t="str">
        <f>Y43</f>
        <v>Kap Verde</v>
      </c>
      <c r="G46" s="53"/>
      <c r="H46" s="107">
        <f ca="1">IF($B$102&lt;&gt;"","",IF($B$101&lt;&gt;"",IF(Ergebnisse!H46="","",Ergebnisse!H46),IF($B$99="",2,INT(RAND()*5)+INT(RAND()*3)*INT(RAND()*2))))</f>
        <v>5</v>
      </c>
      <c r="I46" s="11" t="s">
        <v>25</v>
      </c>
      <c r="J46" s="107">
        <f ca="1">IF($B$102&lt;&gt;"","",IF($B$101&lt;&gt;"",IF(Ergebnisse!J46="","",Ergebnisse!J46),IF($B$99="",2,INT(RAND()*5)+INT(RAND()*3)*INT(RAND()*2))))</f>
        <v>2</v>
      </c>
      <c r="K46" s="7" t="str">
        <f t="shared" ca="1" si="2"/>
        <v>ok</v>
      </c>
      <c r="L46" s="1"/>
      <c r="S46" s="61"/>
      <c r="T46" s="61">
        <f ca="1">IF(K43=$B$98,H43,0)</f>
        <v>6</v>
      </c>
      <c r="U46" s="60">
        <f ca="1">IF(K45=$B$98,H45,0)</f>
        <v>0</v>
      </c>
      <c r="V46" s="61">
        <f ca="1">IF(K48=$B$98,J47,0)</f>
        <v>4</v>
      </c>
      <c r="W46" s="62"/>
      <c r="X46" s="62"/>
      <c r="Y46" s="40"/>
      <c r="Z46" s="62"/>
      <c r="AA46" s="62"/>
      <c r="AB46" s="62"/>
      <c r="AC46" s="62"/>
      <c r="AD46" s="24"/>
      <c r="AE46" s="203"/>
      <c r="AF46" s="279"/>
      <c r="AG46" s="279"/>
      <c r="AH46" s="279"/>
      <c r="AI46" s="279"/>
      <c r="AJ46" s="279"/>
      <c r="AK46" s="203"/>
      <c r="AL46" s="279"/>
      <c r="AM46" s="279"/>
      <c r="AN46" s="279"/>
      <c r="AO46" s="279"/>
      <c r="AP46" s="279"/>
      <c r="AQ46" s="279"/>
      <c r="AR46" s="279"/>
      <c r="AS46" s="279"/>
      <c r="AT46" s="279"/>
      <c r="AU46" s="279"/>
      <c r="AV46" s="203"/>
      <c r="AW46" s="2"/>
      <c r="AX46" s="2"/>
      <c r="AY46" s="2"/>
      <c r="AZ46" s="2"/>
      <c r="BA46" s="2">
        <v>48</v>
      </c>
      <c r="BB46" s="6">
        <f>VLOOKUP(BA46,Spiele!$A$1:$L$116,2,FALSE)</f>
        <v>46196.875</v>
      </c>
      <c r="BC46" s="6" t="str">
        <f>VLOOKUP(BA46,Spiele!$A$1:$L$116,9,FALSE)</f>
        <v>Guadalajara</v>
      </c>
      <c r="BD46" s="56" t="str">
        <f>BY45</f>
        <v>Kolumbien</v>
      </c>
      <c r="BE46" s="40" t="s">
        <v>24</v>
      </c>
      <c r="BF46" s="56" t="str">
        <f>BY43</f>
        <v>DR Kongo</v>
      </c>
      <c r="BG46" s="53"/>
      <c r="BH46" s="107">
        <f ca="1">IF($B$102&lt;&gt;"","",IF($B$101&lt;&gt;"",IF(Ergebnisse!BH46="","",Ergebnisse!BH46),IF($B$99="",2,INT(RAND()*5)+INT(RAND()*3)*INT(RAND()*2))))</f>
        <v>4</v>
      </c>
      <c r="BI46" s="11" t="s">
        <v>25</v>
      </c>
      <c r="BJ46" s="107">
        <f ca="1">IF($B$102&lt;&gt;"","",IF($B$101&lt;&gt;"",IF(Ergebnisse!BJ46="","",Ergebnisse!BJ46),IF($B$99="",2,INT(RAND()*5)+INT(RAND()*3)*INT(RAND()*2))))</f>
        <v>5</v>
      </c>
      <c r="BK46" s="7" t="str">
        <f t="shared" ca="1" si="3"/>
        <v>ok</v>
      </c>
      <c r="BL46" s="1"/>
      <c r="BS46" s="61"/>
      <c r="BT46" s="61">
        <f ca="1">IF(BK43=$B$98,BH43,0)</f>
        <v>4</v>
      </c>
      <c r="BU46" s="60">
        <f ca="1">IF(BK45=$B$98,BH45,0)</f>
        <v>0</v>
      </c>
      <c r="BV46" s="61">
        <f ca="1">IF(BK48=$B$98,BJ47,0)</f>
        <v>5</v>
      </c>
      <c r="BW46" s="1"/>
      <c r="BX46" s="1"/>
      <c r="BY46" s="40"/>
      <c r="BZ46" s="1"/>
      <c r="CA46" s="1"/>
      <c r="CB46" s="1"/>
      <c r="CC46" s="1"/>
      <c r="CD46" s="24"/>
      <c r="CE46" s="207"/>
      <c r="CF46" s="280"/>
      <c r="CG46" s="280"/>
      <c r="CH46" s="280"/>
      <c r="CI46" s="280"/>
      <c r="CJ46" s="280"/>
      <c r="CK46" s="207"/>
      <c r="CL46" s="280"/>
      <c r="CM46" s="280"/>
      <c r="CN46" s="280"/>
      <c r="CO46" s="280"/>
      <c r="CP46" s="280"/>
      <c r="CQ46" s="280"/>
      <c r="CR46" s="280"/>
      <c r="CS46" s="280"/>
      <c r="CT46" s="280"/>
      <c r="CU46" s="280"/>
      <c r="CV46" s="207"/>
    </row>
    <row r="47" spans="1:104">
      <c r="A47" s="2">
        <v>66</v>
      </c>
      <c r="B47" s="6">
        <f>VLOOKUP(A47,Spiele!$A$1:$L$116,2,FALSE)</f>
        <v>46199.791666666672</v>
      </c>
      <c r="C47" s="6" t="str">
        <f>VLOOKUP(A47,Spiele!$A$1:$L$116,9,FALSE)</f>
        <v>Guadalajara</v>
      </c>
      <c r="D47" s="56" t="str">
        <f>Y45</f>
        <v>Uruguay</v>
      </c>
      <c r="E47" s="40" t="s">
        <v>24</v>
      </c>
      <c r="F47" s="56" t="str">
        <f>Y42</f>
        <v>Spanien</v>
      </c>
      <c r="G47" s="53"/>
      <c r="H47" s="107">
        <f ca="1">IF($B$102&lt;&gt;"","",IF($B$101&lt;&gt;"",IF(Ergebnisse!H47="","",Ergebnisse!H47),IF($B$99="",2,INT(RAND()*5)+INT(RAND()*3)*INT(RAND()*2))))</f>
        <v>4</v>
      </c>
      <c r="I47" s="11" t="s">
        <v>25</v>
      </c>
      <c r="J47" s="107">
        <f ca="1">IF($B$102&lt;&gt;"","",IF($B$101&lt;&gt;"",IF(Ergebnisse!J47="","",Ergebnisse!J47),IF($B$99="",2,INT(RAND()*5)+INT(RAND()*3)*INT(RAND()*2))))</f>
        <v>4</v>
      </c>
      <c r="K47" s="7" t="str">
        <f t="shared" ca="1" si="2"/>
        <v>ok</v>
      </c>
      <c r="L47" s="1"/>
      <c r="M47" s="233" t="str">
        <f ca="1">IF(N42&gt;0,M42,"")</f>
        <v>Uruguay</v>
      </c>
      <c r="N47" s="2" t="s">
        <v>241</v>
      </c>
      <c r="S47" s="61">
        <f ca="1">IF(K43=$B$98,J43,0)</f>
        <v>1</v>
      </c>
      <c r="T47" s="61"/>
      <c r="U47" s="60">
        <f ca="1">IF(K47=$B$98,H48,0)</f>
        <v>4</v>
      </c>
      <c r="V47" s="61">
        <f ca="1">IF(K46=$B$98,J46,0)</f>
        <v>2</v>
      </c>
      <c r="W47" s="62"/>
      <c r="X47" s="62"/>
      <c r="Y47" s="40"/>
      <c r="Z47" s="62"/>
      <c r="AA47" s="62"/>
      <c r="AB47" s="62"/>
      <c r="AC47" s="62"/>
      <c r="AD47" s="24" t="s">
        <v>140</v>
      </c>
      <c r="AE47" s="203"/>
      <c r="AF47" s="279"/>
      <c r="AG47" s="279"/>
      <c r="AH47" s="279"/>
      <c r="AI47" s="279"/>
      <c r="AJ47" s="279"/>
      <c r="AK47" s="203"/>
      <c r="AL47" s="279"/>
      <c r="AM47" s="279"/>
      <c r="AN47" s="279"/>
      <c r="AO47" s="279"/>
      <c r="AP47" s="279"/>
      <c r="AQ47" s="279"/>
      <c r="AR47" s="279"/>
      <c r="AS47" s="279"/>
      <c r="AT47" s="279"/>
      <c r="AU47" s="279"/>
      <c r="AV47" s="203"/>
      <c r="AW47" s="2"/>
      <c r="AX47" s="2"/>
      <c r="AY47" s="2"/>
      <c r="AZ47" s="2"/>
      <c r="BA47" s="2">
        <v>72</v>
      </c>
      <c r="BB47" s="6">
        <f>VLOOKUP(BA47,Spiele!$A$1:$L$116,2,FALSE)</f>
        <v>46200.8125</v>
      </c>
      <c r="BC47" s="6" t="str">
        <f>VLOOKUP(BA47,Spiele!$A$1:$L$116,9,FALSE)</f>
        <v>Atlanta</v>
      </c>
      <c r="BD47" s="56" t="str">
        <f>BY45</f>
        <v>Kolumbien</v>
      </c>
      <c r="BE47" s="40" t="s">
        <v>24</v>
      </c>
      <c r="BF47" s="56" t="str">
        <f>BY42</f>
        <v>Portugal</v>
      </c>
      <c r="BG47" s="53"/>
      <c r="BH47" s="107">
        <f ca="1">IF($B$102&lt;&gt;"","",IF($B$101&lt;&gt;"",IF(Ergebnisse!BH47="","",Ergebnisse!BH47),IF($B$99="",2,INT(RAND()*5)+INT(RAND()*3)*INT(RAND()*2))))</f>
        <v>3</v>
      </c>
      <c r="BI47" s="11" t="s">
        <v>25</v>
      </c>
      <c r="BJ47" s="107">
        <f ca="1">IF($B$102&lt;&gt;"","",IF($B$101&lt;&gt;"",IF(Ergebnisse!BJ47="","",Ergebnisse!BJ47),IF($B$99="",2,INT(RAND()*5)+INT(RAND()*3)*INT(RAND()*2))))</f>
        <v>5</v>
      </c>
      <c r="BK47" s="7" t="str">
        <f t="shared" ca="1" si="3"/>
        <v>ok</v>
      </c>
      <c r="BL47" s="1"/>
      <c r="BM47" s="9" t="str">
        <f ca="1">IF(BN42&gt;0,BM42,"")</f>
        <v>Portugal</v>
      </c>
      <c r="BN47" s="2" t="s">
        <v>242</v>
      </c>
      <c r="BS47" s="61">
        <f ca="1">IF(BK43=$B$98,BJ43,0)</f>
        <v>1</v>
      </c>
      <c r="BT47" s="61"/>
      <c r="BU47" s="60">
        <f ca="1">IF(BK47=$B$98,BH48,0)</f>
        <v>2</v>
      </c>
      <c r="BV47" s="61">
        <f ca="1">IF(BK46=$B$98,BJ46,0)</f>
        <v>5</v>
      </c>
      <c r="BW47" s="1"/>
      <c r="BX47" s="1"/>
      <c r="BY47" s="40"/>
      <c r="BZ47" s="1"/>
      <c r="CA47" s="1"/>
      <c r="CB47" s="1"/>
      <c r="CC47" s="1"/>
      <c r="CD47" s="24" t="s">
        <v>140</v>
      </c>
      <c r="CE47" s="207"/>
      <c r="CF47" s="280"/>
      <c r="CG47" s="280"/>
      <c r="CH47" s="280"/>
      <c r="CI47" s="280"/>
      <c r="CJ47" s="280"/>
      <c r="CK47" s="207"/>
      <c r="CL47" s="280"/>
      <c r="CM47" s="280"/>
      <c r="CN47" s="280"/>
      <c r="CO47" s="280"/>
      <c r="CP47" s="280"/>
      <c r="CQ47" s="280"/>
      <c r="CR47" s="280"/>
      <c r="CS47" s="280"/>
      <c r="CT47" s="280"/>
      <c r="CU47" s="280"/>
      <c r="CV47" s="207"/>
    </row>
    <row r="48" spans="1:104">
      <c r="A48" s="2">
        <v>65</v>
      </c>
      <c r="B48" s="6">
        <f>VLOOKUP(A48,Spiele!$A$1:$L$116,2,FALSE)</f>
        <v>46199.791666666672</v>
      </c>
      <c r="C48" s="6" t="str">
        <f>VLOOKUP(A48,Spiele!$A$1:$L$116,9,FALSE)</f>
        <v>Houston</v>
      </c>
      <c r="D48" s="56" t="str">
        <f>Y43</f>
        <v>Kap Verde</v>
      </c>
      <c r="E48" s="40" t="s">
        <v>24</v>
      </c>
      <c r="F48" s="56" t="str">
        <f>Y44</f>
        <v>Saudiarabien</v>
      </c>
      <c r="G48" s="53"/>
      <c r="H48" s="107">
        <f ca="1">IF($B$102&lt;&gt;"","",IF($B$101&lt;&gt;"",IF(Ergebnisse!H48="","",Ergebnisse!H48),IF($B$99="",2,INT(RAND()*5)+INT(RAND()*3)*INT(RAND()*2))))</f>
        <v>4</v>
      </c>
      <c r="I48" s="11" t="s">
        <v>25</v>
      </c>
      <c r="J48" s="107">
        <f ca="1">IF($B$102&lt;&gt;"","",IF($B$101&lt;&gt;"",IF(Ergebnisse!J48="","",Ergebnisse!J48),IF($B$99="",2,INT(RAND()*5)+INT(RAND()*3)*INT(RAND()*2))))</f>
        <v>3</v>
      </c>
      <c r="K48" s="7" t="str">
        <f t="shared" ca="1" si="2"/>
        <v>ok</v>
      </c>
      <c r="L48" s="1"/>
      <c r="M48" s="233" t="str">
        <f ca="1">IF(N43&gt;0,M43,"")</f>
        <v>Spanien</v>
      </c>
      <c r="N48" s="2" t="s">
        <v>243</v>
      </c>
      <c r="P48" s="2" t="s">
        <v>11</v>
      </c>
      <c r="S48" s="61">
        <f ca="1">IF(K45=$B$98,J45,0)</f>
        <v>4</v>
      </c>
      <c r="T48" s="61">
        <f ca="1">IF(K47=$B$98,J48,0)</f>
        <v>3</v>
      </c>
      <c r="U48" s="60"/>
      <c r="V48" s="61">
        <f ca="1">IF(K44=$B$98,H44,0)</f>
        <v>0</v>
      </c>
      <c r="W48" s="62"/>
      <c r="X48" s="62"/>
      <c r="Y48" s="40"/>
      <c r="Z48" s="62"/>
      <c r="AA48" s="62"/>
      <c r="AB48" s="62"/>
      <c r="AC48" s="62"/>
      <c r="AD48" s="24" t="s">
        <v>141</v>
      </c>
      <c r="AE48" s="203"/>
      <c r="AF48" s="279"/>
      <c r="AG48" s="279"/>
      <c r="AH48" s="279"/>
      <c r="AI48" s="279"/>
      <c r="AJ48" s="279"/>
      <c r="AK48" s="203"/>
      <c r="AL48" s="279"/>
      <c r="AM48" s="279"/>
      <c r="AN48" s="279"/>
      <c r="AO48" s="279"/>
      <c r="AP48" s="279"/>
      <c r="AQ48" s="279"/>
      <c r="AR48" s="279"/>
      <c r="AS48" s="279"/>
      <c r="AT48" s="279"/>
      <c r="AU48" s="279"/>
      <c r="AV48" s="203"/>
      <c r="AW48" s="2"/>
      <c r="AX48" s="2"/>
      <c r="AY48" s="2"/>
      <c r="AZ48" s="2"/>
      <c r="BA48" s="2">
        <v>71</v>
      </c>
      <c r="BB48" s="6">
        <f>VLOOKUP(BA48,Spiele!$A$1:$L$116,2,FALSE)</f>
        <v>46200.8125</v>
      </c>
      <c r="BC48" s="6" t="str">
        <f>VLOOKUP(BA48,Spiele!$A$1:$L$116,9,FALSE)</f>
        <v>Miami</v>
      </c>
      <c r="BD48" s="56" t="str">
        <f>BY43</f>
        <v>DR Kongo</v>
      </c>
      <c r="BE48" s="40" t="s">
        <v>24</v>
      </c>
      <c r="BF48" s="56" t="str">
        <f>BY44</f>
        <v>Usbekistan</v>
      </c>
      <c r="BG48" s="53"/>
      <c r="BH48" s="107">
        <f ca="1">IF($B$102&lt;&gt;"","",IF($B$101&lt;&gt;"",IF(Ergebnisse!BH48="","",Ergebnisse!BH48),IF($B$99="",2,INT(RAND()*5)+INT(RAND()*3)*INT(RAND()*2))))</f>
        <v>2</v>
      </c>
      <c r="BI48" s="11" t="s">
        <v>25</v>
      </c>
      <c r="BJ48" s="107">
        <f ca="1">IF($B$102&lt;&gt;"","",IF($B$101&lt;&gt;"",IF(Ergebnisse!BJ48="","",Ergebnisse!BJ48),IF($B$99="",2,INT(RAND()*5)+INT(RAND()*3)*INT(RAND()*2))))</f>
        <v>1</v>
      </c>
      <c r="BK48" s="7" t="str">
        <f t="shared" ca="1" si="3"/>
        <v>ok</v>
      </c>
      <c r="BL48" s="1"/>
      <c r="BM48" s="9" t="str">
        <f ca="1">IF(BN43&gt;0,BM43,"")</f>
        <v>Usbekistan</v>
      </c>
      <c r="BN48" s="2" t="s">
        <v>244</v>
      </c>
      <c r="BP48" s="2" t="s">
        <v>11</v>
      </c>
      <c r="BS48" s="61">
        <f ca="1">IF(BK45=$B$98,BJ45,0)</f>
        <v>2</v>
      </c>
      <c r="BT48" s="61">
        <f ca="1">IF(BK47=$B$98,BJ48,0)</f>
        <v>1</v>
      </c>
      <c r="BU48" s="60"/>
      <c r="BV48" s="61">
        <f ca="1">IF(BK44=$B$98,BH44,0)</f>
        <v>1</v>
      </c>
      <c r="BW48" s="1"/>
      <c r="BX48" s="1"/>
      <c r="BY48" s="40"/>
      <c r="BZ48" s="1"/>
      <c r="CA48" s="1"/>
      <c r="CB48" s="1"/>
      <c r="CC48" s="1"/>
      <c r="CD48" s="24" t="s">
        <v>141</v>
      </c>
      <c r="CE48" s="207"/>
      <c r="CF48" s="280"/>
      <c r="CG48" s="280"/>
      <c r="CH48" s="280"/>
      <c r="CI48" s="280"/>
      <c r="CJ48" s="280"/>
      <c r="CK48" s="207"/>
      <c r="CL48" s="280"/>
      <c r="CM48" s="280"/>
      <c r="CN48" s="280"/>
      <c r="CO48" s="280"/>
      <c r="CP48" s="280"/>
      <c r="CQ48" s="280"/>
      <c r="CR48" s="280"/>
      <c r="CS48" s="280"/>
      <c r="CT48" s="280"/>
      <c r="CU48" s="280"/>
      <c r="CV48" s="207"/>
    </row>
    <row r="49" spans="1:104">
      <c r="E49" s="55"/>
      <c r="F49" s="55"/>
      <c r="G49" s="55"/>
      <c r="M49" s="233" t="str">
        <f ca="1">IF(N44&gt;0,M44,"")</f>
        <v>Kap Verde</v>
      </c>
      <c r="N49" s="2" t="s">
        <v>245</v>
      </c>
      <c r="S49" s="61">
        <f ca="1">IF(K48=$B$98,H47,0)</f>
        <v>4</v>
      </c>
      <c r="T49" s="61">
        <f ca="1">IF(K46=$B$98,H46,0)</f>
        <v>5</v>
      </c>
      <c r="U49" s="61">
        <f ca="1">IF(K44=$B$98,J44,0)</f>
        <v>2</v>
      </c>
      <c r="V49" s="60"/>
      <c r="AD49" s="55" t="s">
        <v>143</v>
      </c>
      <c r="AE49" s="108"/>
      <c r="AF49" s="281"/>
      <c r="AG49" s="281"/>
      <c r="AH49" s="281"/>
      <c r="AI49" s="281"/>
      <c r="AJ49" s="281"/>
      <c r="AK49" s="281"/>
      <c r="AL49" s="281"/>
      <c r="AM49" s="281"/>
      <c r="AN49" s="281"/>
      <c r="AO49" s="281"/>
      <c r="AP49" s="281"/>
      <c r="AQ49" s="281"/>
      <c r="AR49" s="281"/>
      <c r="AS49" s="281"/>
      <c r="AT49" s="281"/>
      <c r="AV49" s="281"/>
      <c r="AW49" s="2"/>
      <c r="AX49" s="2"/>
      <c r="AY49" s="2"/>
      <c r="AZ49" s="2"/>
      <c r="BB49" s="2" t="s">
        <v>2</v>
      </c>
      <c r="BE49" s="55"/>
      <c r="BF49" s="55"/>
      <c r="BG49" s="55"/>
      <c r="BM49" s="232" t="str">
        <f ca="1">IF(BN44&gt;0,BM44,"")</f>
        <v>DR Kongo</v>
      </c>
      <c r="BN49" s="2" t="s">
        <v>246</v>
      </c>
      <c r="BS49" s="61">
        <f ca="1">IF(BK48=$B$98,BH47,0)</f>
        <v>3</v>
      </c>
      <c r="BT49" s="61">
        <f ca="1">IF(BK46=$B$98,BH46,0)</f>
        <v>4</v>
      </c>
      <c r="BU49" s="61">
        <f ca="1">IF(BK44=$B$98,BJ44,0)</f>
        <v>0</v>
      </c>
      <c r="BV49" s="60"/>
      <c r="CD49" s="2" t="s">
        <v>143</v>
      </c>
      <c r="CE49" s="8"/>
      <c r="CF49" s="282"/>
      <c r="CG49" s="282"/>
      <c r="CH49" s="282"/>
      <c r="CI49" s="282"/>
      <c r="CJ49" s="282"/>
      <c r="CK49" s="282"/>
      <c r="CL49" s="282"/>
      <c r="CM49" s="282"/>
      <c r="CN49" s="282"/>
      <c r="CO49" s="282"/>
      <c r="CP49" s="282"/>
      <c r="CQ49" s="282"/>
      <c r="CR49" s="282"/>
      <c r="CS49" s="282"/>
      <c r="CT49" s="282"/>
      <c r="CV49" s="282"/>
    </row>
    <row r="50" spans="1:104">
      <c r="D50" s="55"/>
      <c r="E50" s="58"/>
      <c r="F50" s="59"/>
      <c r="G50" s="59"/>
      <c r="H50" s="55"/>
      <c r="I50" s="55"/>
      <c r="J50" s="55"/>
      <c r="AE50" s="108"/>
      <c r="AF50" s="281"/>
      <c r="AG50" s="281"/>
      <c r="AH50" s="281"/>
      <c r="AI50" s="281"/>
      <c r="AJ50" s="281"/>
      <c r="AK50" s="281"/>
      <c r="AL50" s="281"/>
      <c r="AM50" s="281"/>
      <c r="AN50" s="281"/>
      <c r="AO50" s="281"/>
      <c r="AP50" s="281"/>
      <c r="AQ50" s="281"/>
      <c r="AR50" s="281"/>
      <c r="AS50" s="281"/>
      <c r="AT50" s="281"/>
      <c r="AV50" s="281"/>
      <c r="AW50" s="2"/>
      <c r="AX50" s="2"/>
      <c r="AY50" s="2"/>
      <c r="AZ50" s="2"/>
      <c r="BD50" s="55"/>
      <c r="BE50" s="58"/>
      <c r="BF50" s="59"/>
      <c r="BG50" s="59"/>
      <c r="BH50" s="55"/>
      <c r="BI50" s="55"/>
      <c r="BJ50" s="55"/>
      <c r="BS50" s="55"/>
      <c r="BT50" s="55"/>
      <c r="BU50" s="55"/>
      <c r="BV50" s="55"/>
      <c r="CE50" s="8"/>
      <c r="CF50" s="282"/>
      <c r="CG50" s="282"/>
      <c r="CH50" s="282"/>
      <c r="CI50" s="282"/>
      <c r="CJ50" s="282"/>
      <c r="CK50" s="282"/>
      <c r="CL50" s="282"/>
      <c r="CM50" s="282"/>
      <c r="CN50" s="282"/>
      <c r="CO50" s="282"/>
      <c r="CP50" s="282"/>
      <c r="CQ50" s="282"/>
      <c r="CR50" s="282"/>
      <c r="CS50" s="282"/>
      <c r="CT50" s="282"/>
      <c r="CV50" s="282"/>
    </row>
    <row r="51" spans="1:104">
      <c r="A51" s="10"/>
      <c r="B51" s="234" t="s">
        <v>0</v>
      </c>
      <c r="C51" s="235" t="s">
        <v>247</v>
      </c>
      <c r="D51" s="53" t="s">
        <v>2</v>
      </c>
      <c r="E51" s="54"/>
      <c r="F51" s="53"/>
      <c r="G51" s="53"/>
      <c r="H51" s="20"/>
      <c r="I51" s="19"/>
      <c r="J51" s="20"/>
      <c r="K51" s="180"/>
      <c r="L51" s="17"/>
      <c r="M51" s="35" t="s">
        <v>3</v>
      </c>
      <c r="N51" s="17" t="s">
        <v>4</v>
      </c>
      <c r="O51" s="17" t="s">
        <v>5</v>
      </c>
      <c r="P51" s="17" t="s">
        <v>6</v>
      </c>
      <c r="Q51" s="17" t="s">
        <v>7</v>
      </c>
      <c r="R51" s="17"/>
      <c r="W51" s="53"/>
      <c r="X51" s="53" t="s">
        <v>8</v>
      </c>
      <c r="Y51" s="56" t="s">
        <v>9</v>
      </c>
      <c r="Z51" s="53" t="s">
        <v>4</v>
      </c>
      <c r="AA51" s="53" t="s">
        <v>5</v>
      </c>
      <c r="AB51" s="53" t="s">
        <v>6</v>
      </c>
      <c r="AC51" s="53" t="s">
        <v>7</v>
      </c>
      <c r="AD51" s="53"/>
      <c r="AE51" s="19" t="s">
        <v>10</v>
      </c>
      <c r="AF51" s="40" t="s">
        <v>11</v>
      </c>
      <c r="AG51" s="40"/>
      <c r="AH51" s="40"/>
      <c r="AI51" s="40"/>
      <c r="AJ51" s="40" t="s">
        <v>12</v>
      </c>
      <c r="AK51" s="56" t="s">
        <v>13</v>
      </c>
      <c r="AL51" s="40" t="s">
        <v>14</v>
      </c>
      <c r="AM51" s="40"/>
      <c r="AN51" s="40"/>
      <c r="AO51" s="40"/>
      <c r="AP51" s="40" t="s">
        <v>15</v>
      </c>
      <c r="AQ51" s="40" t="s">
        <v>16</v>
      </c>
      <c r="AR51" s="40"/>
      <c r="AS51" s="40"/>
      <c r="AT51" s="40"/>
      <c r="AU51" s="58" t="s">
        <v>17</v>
      </c>
      <c r="AV51" s="56" t="s">
        <v>18</v>
      </c>
      <c r="AW51" s="10"/>
      <c r="AX51" s="10"/>
      <c r="AY51" s="10"/>
      <c r="AZ51" s="10"/>
      <c r="BA51" s="10"/>
      <c r="BB51" s="236" t="s">
        <v>0</v>
      </c>
      <c r="BC51" s="237" t="s">
        <v>248</v>
      </c>
      <c r="BD51" s="53" t="s">
        <v>2</v>
      </c>
      <c r="BE51" s="54"/>
      <c r="BF51" s="53"/>
      <c r="BG51" s="53"/>
      <c r="BH51" s="20"/>
      <c r="BI51" s="19"/>
      <c r="BJ51" s="20"/>
      <c r="BK51" s="180"/>
      <c r="BL51" s="17"/>
      <c r="BM51" s="35" t="s">
        <v>3</v>
      </c>
      <c r="BN51" s="17" t="s">
        <v>4</v>
      </c>
      <c r="BO51" s="17" t="s">
        <v>5</v>
      </c>
      <c r="BP51" s="17" t="s">
        <v>6</v>
      </c>
      <c r="BQ51" s="17" t="s">
        <v>7</v>
      </c>
      <c r="BR51" s="17"/>
      <c r="BS51" s="55"/>
      <c r="BT51" s="55"/>
      <c r="BU51" s="55"/>
      <c r="BV51" s="55"/>
      <c r="BW51" s="17"/>
      <c r="BX51" s="17" t="s">
        <v>8</v>
      </c>
      <c r="BY51" s="56" t="s">
        <v>9</v>
      </c>
      <c r="BZ51" s="17" t="s">
        <v>4</v>
      </c>
      <c r="CA51" s="17" t="s">
        <v>5</v>
      </c>
      <c r="CB51" s="17" t="s">
        <v>6</v>
      </c>
      <c r="CC51" s="17" t="s">
        <v>7</v>
      </c>
      <c r="CD51" s="17"/>
      <c r="CE51" s="180" t="s">
        <v>10</v>
      </c>
      <c r="CF51" s="15" t="s">
        <v>11</v>
      </c>
      <c r="CG51" s="15"/>
      <c r="CH51" s="15"/>
      <c r="CI51" s="15"/>
      <c r="CJ51" s="15" t="s">
        <v>12</v>
      </c>
      <c r="CK51" s="21" t="s">
        <v>13</v>
      </c>
      <c r="CL51" s="15" t="s">
        <v>14</v>
      </c>
      <c r="CM51" s="15"/>
      <c r="CN51" s="15"/>
      <c r="CO51" s="15"/>
      <c r="CP51" s="15" t="s">
        <v>15</v>
      </c>
      <c r="CQ51" s="15" t="s">
        <v>16</v>
      </c>
      <c r="CR51" s="15"/>
      <c r="CS51" s="15"/>
      <c r="CT51" s="15"/>
      <c r="CU51" s="16" t="s">
        <v>17</v>
      </c>
      <c r="CV51" s="21" t="s">
        <v>18</v>
      </c>
      <c r="CW51" s="10"/>
      <c r="CX51" s="10"/>
      <c r="CY51" s="10"/>
      <c r="CZ51" s="10"/>
    </row>
    <row r="52" spans="1:104">
      <c r="B52" s="3" t="s">
        <v>22</v>
      </c>
      <c r="C52" s="3" t="s">
        <v>23</v>
      </c>
      <c r="D52" s="55"/>
      <c r="E52" s="55"/>
      <c r="F52" s="55"/>
      <c r="G52" s="55"/>
      <c r="L52" s="1"/>
      <c r="M52" s="9" t="str">
        <f ca="1">VLOOKUP(1,$X$52:$AC$55,2,FALSE)</f>
        <v>Frankreich</v>
      </c>
      <c r="N52" s="2">
        <f ca="1">VLOOKUP(1,$X$52:$AC$55,3,FALSE)</f>
        <v>7</v>
      </c>
      <c r="O52" s="2">
        <f ca="1">VLOOKUP(1,$X$52:$AC$55,4,FALSE)</f>
        <v>10</v>
      </c>
      <c r="P52" s="2">
        <f ca="1">VLOOKUP(1,$X$52:$AC$55,5,FALSE)</f>
        <v>6</v>
      </c>
      <c r="Q52" s="2">
        <f ca="1">VLOOKUP(1,$X$52:$AC$55,6,FALSE)</f>
        <v>4</v>
      </c>
      <c r="S52" s="60"/>
      <c r="T52" s="61">
        <f ca="1">IF(H53="",0,IF(K53=$B$98,IF(H53&gt;J53,3,IF(H53=J53,1,0)),0))</f>
        <v>3</v>
      </c>
      <c r="U52" s="61">
        <f ca="1">IF(H55="",0,IF(K55=$B$98,IF(H55&gt;J55,3,IF(H55=J55,1,0)),0))</f>
        <v>1</v>
      </c>
      <c r="V52" s="61">
        <f ca="1">IF(J57="",0,IF(K58=$B$98,IF(H57&lt;J57,3,IF(H57=J57,1,0)),0))</f>
        <v>3</v>
      </c>
      <c r="W52" s="62"/>
      <c r="X52" s="62">
        <f ca="1">RANK(AD52,$AD$52:$AD$55)</f>
        <v>1</v>
      </c>
      <c r="Y52" s="40" t="s">
        <v>69</v>
      </c>
      <c r="Z52" s="62">
        <f ca="1">SUM(S52:V52)</f>
        <v>7</v>
      </c>
      <c r="AA52" s="62">
        <f ca="1">SUM(S56:V56)</f>
        <v>10</v>
      </c>
      <c r="AB52" s="62">
        <f ca="1">SUM(S56:S59)</f>
        <v>6</v>
      </c>
      <c r="AC52" s="62">
        <f ca="1">AA52-AB52</f>
        <v>4</v>
      </c>
      <c r="AD52" s="24">
        <f ca="1">IF(P$28="",(((((((AE52*10+Z52)*100+AC52)*100+AA52)*10+AK52)*10+AJ52)*100+AP52)*100+AU52)*10+AV52,(((((((AE52*10+Z52)*10+AK52)*10+AJ52)*100+AP52)*100+AU52)*100+AC52)*100+AA52)*10+AV52)</f>
        <v>700000004104</v>
      </c>
      <c r="AE52" s="203"/>
      <c r="AF52" s="279"/>
      <c r="AG52" s="279">
        <f ca="1">IF($Z52=$Z53,$T52-$S53,0)</f>
        <v>0</v>
      </c>
      <c r="AH52" s="279">
        <f ca="1">IF($Z52=$Z54,$U52-$S54,0)</f>
        <v>0</v>
      </c>
      <c r="AI52" s="279">
        <f ca="1">IF($Z52=$Z55,$V52-$S55,0)</f>
        <v>0</v>
      </c>
      <c r="AJ52" s="279">
        <f ca="1">SUM(AF52:AI52)</f>
        <v>0</v>
      </c>
      <c r="AK52" s="203"/>
      <c r="AL52" s="279"/>
      <c r="AM52" s="279">
        <f ca="1">IF($Z52=$Z53,$T56-$S57,0)</f>
        <v>0</v>
      </c>
      <c r="AN52" s="279">
        <f ca="1">IF($Z52=$Z54,$U56-$S58,0)</f>
        <v>0</v>
      </c>
      <c r="AO52" s="279">
        <f ca="1">IF($Z52=$Z55,$V56-$S59,0)</f>
        <v>0</v>
      </c>
      <c r="AP52" s="279">
        <f ca="1">SUM(AL52:AO52)</f>
        <v>0</v>
      </c>
      <c r="AQ52" s="279"/>
      <c r="AR52" s="279">
        <f ca="1">IF($Z52=$Z53,$T56,0)</f>
        <v>0</v>
      </c>
      <c r="AS52" s="279">
        <f ca="1">IF($Z52=$Z54,$U56,0)</f>
        <v>0</v>
      </c>
      <c r="AT52" s="279">
        <f ca="1">IF($Z52=$Z55,$V56,0)</f>
        <v>0</v>
      </c>
      <c r="AU52" s="279">
        <f ca="1">SUM(AQ52:AT52)</f>
        <v>0</v>
      </c>
      <c r="AV52" s="203">
        <v>4</v>
      </c>
      <c r="AW52" s="2"/>
      <c r="AX52" s="2"/>
      <c r="AY52" s="2"/>
      <c r="AZ52" s="2"/>
      <c r="BB52" s="3" t="s">
        <v>22</v>
      </c>
      <c r="BC52" s="3" t="s">
        <v>23</v>
      </c>
      <c r="BD52" s="55"/>
      <c r="BE52" s="55"/>
      <c r="BF52" s="55"/>
      <c r="BG52" s="55"/>
      <c r="BL52" s="1"/>
      <c r="BM52" s="9" t="str">
        <f ca="1">VLOOKUP(1,$BX$52:$CC$55,2,FALSE)</f>
        <v>Ghana</v>
      </c>
      <c r="BN52" s="2">
        <f ca="1">VLOOKUP(1,$BX$52:$CC$55,3,FALSE)</f>
        <v>5</v>
      </c>
      <c r="BO52" s="2">
        <f ca="1">VLOOKUP(1,$BX$52:$CC$55,4,FALSE)</f>
        <v>8</v>
      </c>
      <c r="BP52" s="2">
        <f ca="1">VLOOKUP(1,$BX$52:$CC$55,5,FALSE)</f>
        <v>6</v>
      </c>
      <c r="BQ52" s="2">
        <f ca="1">VLOOKUP(1,$BX$52:$CC$55,6,FALSE)</f>
        <v>2</v>
      </c>
      <c r="BS52" s="60"/>
      <c r="BT52" s="61">
        <f ca="1">IF(BH53="",0,IF(BK53=$B$98,IF(BH53&gt;BJ53,3,IF(BH53=BJ53,1,0)),0))</f>
        <v>0</v>
      </c>
      <c r="BU52" s="61">
        <f ca="1">IF(BH55="",0,IF(BK55=$B$98,IF(BH55&gt;BJ55,3,IF(BH55=BJ55,1,0)),0))</f>
        <v>1</v>
      </c>
      <c r="BV52" s="61">
        <f ca="1">IF(BJ57="",0,IF(BK58=$B$98,IF(BH57&lt;BJ57,3,IF(BH57=BJ57,1,0)),0))</f>
        <v>1</v>
      </c>
      <c r="BW52" s="1"/>
      <c r="BX52" s="1">
        <f ca="1">RANK(CD52,$CD$52:$CD$55)</f>
        <v>4</v>
      </c>
      <c r="BY52" s="40" t="s">
        <v>70</v>
      </c>
      <c r="BZ52" s="1">
        <f ca="1">SUM(BS52:BV52)</f>
        <v>2</v>
      </c>
      <c r="CA52" s="1">
        <f ca="1">SUM(BS56:BV56)</f>
        <v>8</v>
      </c>
      <c r="CB52" s="1">
        <f ca="1">SUM(BS56:BS59)</f>
        <v>10</v>
      </c>
      <c r="CC52" s="1">
        <f ca="1">CA52-CB52</f>
        <v>-2</v>
      </c>
      <c r="CD52" s="24">
        <f ca="1">IF(BP$28="",(((((((CE52*10+BZ52)*100+CC52)*100+CA52)*10+CK52)*10+CJ52)*100+CP52)*100+CU52)*10+CV52,(((((((CE52*10+BZ52)*10+CK52)*10+CJ52)*100+CP52)*100+CU52)*100+CC52)*100+CA52)*10+CV52)</f>
        <v>199999998084</v>
      </c>
      <c r="CE52" s="207"/>
      <c r="CF52" s="280"/>
      <c r="CG52" s="280">
        <f ca="1">IF($BZ52=$BZ53,$BT52-$BS53,0)</f>
        <v>0</v>
      </c>
      <c r="CH52" s="280">
        <f ca="1">IF($BZ52=$BZ54,$BU52-$BS54,0)</f>
        <v>0</v>
      </c>
      <c r="CI52" s="280">
        <f ca="1">IF($BZ52=$BZ55,$BV52-$BS55,0)</f>
        <v>0</v>
      </c>
      <c r="CJ52" s="280">
        <f ca="1">SUM(CF52:CI52)</f>
        <v>0</v>
      </c>
      <c r="CK52" s="207"/>
      <c r="CL52" s="280"/>
      <c r="CM52" s="280">
        <f ca="1">IF($BZ52=$BZ53,$BT56-$BS57,0)</f>
        <v>0</v>
      </c>
      <c r="CN52" s="280">
        <f ca="1">IF($BZ52=$BZ54,$BU56-$BS58,0)</f>
        <v>0</v>
      </c>
      <c r="CO52" s="280">
        <f ca="1">IF($BZ52=$BZ55,$BV56-$BS59,0)</f>
        <v>0</v>
      </c>
      <c r="CP52" s="280">
        <f ca="1">SUM(CL52:CO52)</f>
        <v>0</v>
      </c>
      <c r="CQ52" s="280"/>
      <c r="CR52" s="280">
        <f ca="1">IF($BZ52=$BZ53,$BT56,0)</f>
        <v>0</v>
      </c>
      <c r="CS52" s="280">
        <f ca="1">IF($BZ52=$BZ54,$BU56,0)</f>
        <v>0</v>
      </c>
      <c r="CT52" s="280">
        <f ca="1">IF($BZ52=$BZ55,$BV56,0)</f>
        <v>0</v>
      </c>
      <c r="CU52" s="280">
        <f ca="1">SUM(CQ52:CT52)</f>
        <v>0</v>
      </c>
      <c r="CV52" s="207">
        <v>4</v>
      </c>
    </row>
    <row r="53" spans="1:104">
      <c r="A53" s="2">
        <v>17</v>
      </c>
      <c r="B53" s="6">
        <f>VLOOKUP(A53,Spiele!$A$1:$L$116,2,FALSE)</f>
        <v>46189.625</v>
      </c>
      <c r="C53" s="6" t="str">
        <f>VLOOKUP(A53,Spiele!$A$1:$L$116,9,FALSE)</f>
        <v>New York</v>
      </c>
      <c r="D53" s="56" t="str">
        <f>Y52</f>
        <v>Frankreich</v>
      </c>
      <c r="E53" s="40" t="s">
        <v>24</v>
      </c>
      <c r="F53" s="56" t="str">
        <f>Y53</f>
        <v>Senegal</v>
      </c>
      <c r="G53" s="53"/>
      <c r="H53" s="107">
        <f ca="1">IF($B$102&lt;&gt;"","",IF($B$101&lt;&gt;"",IF(Ergebnisse!H53="","",Ergebnisse!H53),IF($B$99="",2,INT(RAND()*5)+INT(RAND()*3)*INT(RAND()*2))))</f>
        <v>1</v>
      </c>
      <c r="I53" s="11" t="s">
        <v>25</v>
      </c>
      <c r="J53" s="107">
        <f ca="1">IF($B$102&lt;&gt;"","",IF($B$101&lt;&gt;"",IF(Ergebnisse!J53="","",Ergebnisse!J53),IF($B$99="",2,INT(RAND()*5)+INT(RAND()*3)*INT(RAND()*2))))</f>
        <v>0</v>
      </c>
      <c r="K53" s="7" t="str">
        <f t="shared" ref="K53" ca="1" si="10">IF(OR(H53="",J53=""),"","ok")</f>
        <v>ok</v>
      </c>
      <c r="L53" s="1"/>
      <c r="M53" s="9" t="str">
        <f ca="1">VLOOKUP(2,$X$52:$AC$55,2,FALSE)</f>
        <v>Senegal</v>
      </c>
      <c r="N53" s="2">
        <f ca="1">VLOOKUP(2,$X$52:$AC$55,3,FALSE)</f>
        <v>6</v>
      </c>
      <c r="O53" s="2">
        <f ca="1">VLOOKUP(2,$X$52:$AC$55,4,FALSE)</f>
        <v>4</v>
      </c>
      <c r="P53" s="2">
        <f ca="1">VLOOKUP(2,$X$52:$AC$55,5,FALSE)</f>
        <v>2</v>
      </c>
      <c r="Q53" s="2">
        <f ca="1">VLOOKUP(2,$X$52:$AC$55,6,FALSE)</f>
        <v>2</v>
      </c>
      <c r="S53" s="61">
        <f ca="1">IF(J53="",0,IF(K53=$B$98,IF(H53&lt;J53,3,IF(H53=J53,1,0)),0))</f>
        <v>0</v>
      </c>
      <c r="T53" s="60"/>
      <c r="U53" s="61">
        <f ca="1">IF(H58="",0,IF(K57=$B$98,IF(H58&gt;J58,3,IF(H58=J58,1,0)),0))</f>
        <v>3</v>
      </c>
      <c r="V53" s="61">
        <f ca="1">IF(J56="",0,IF(K56=$B$98,IF(J56&gt;H56,3,IF(J56=H56,1,0)),0))</f>
        <v>3</v>
      </c>
      <c r="W53" s="62"/>
      <c r="X53" s="62">
        <f ca="1">RANK(AD53,$AD$52:$AD$55)</f>
        <v>2</v>
      </c>
      <c r="Y53" s="40" t="s">
        <v>249</v>
      </c>
      <c r="Z53" s="62">
        <f ca="1">SUM(S53:V53)</f>
        <v>6</v>
      </c>
      <c r="AA53" s="62">
        <f ca="1">SUM(S57:V57)</f>
        <v>4</v>
      </c>
      <c r="AB53" s="62">
        <f ca="1">SUM(T56:T59)</f>
        <v>2</v>
      </c>
      <c r="AC53" s="62">
        <f ca="1">AA53-AB53</f>
        <v>2</v>
      </c>
      <c r="AD53" s="24">
        <f ca="1">IF(P$28="",(((((((AE53*10+Z53)*100+AC53)*100+AA53)*10+AK53)*10+AJ53)*100+AP53)*100+AU53)*10+AV53,(((((((AE53*10+Z53)*10+AK53)*10+AJ53)*100+AP53)*100+AU53)*100+AC53)*100+AA53)*10+AV53)</f>
        <v>600000002043</v>
      </c>
      <c r="AE53" s="203"/>
      <c r="AF53" s="279">
        <f ca="1">IF($Z53=$Z52,$S53-$T52,0)</f>
        <v>0</v>
      </c>
      <c r="AG53" s="279"/>
      <c r="AH53" s="279">
        <f ca="1">IF($Z53=$Z54,$U53-$T54,0)</f>
        <v>0</v>
      </c>
      <c r="AI53" s="279">
        <f ca="1">IF($Z53=$Z55,$V53-$T55,0)</f>
        <v>0</v>
      </c>
      <c r="AJ53" s="279">
        <f ca="1">SUM(AF53:AI53)</f>
        <v>0</v>
      </c>
      <c r="AK53" s="203"/>
      <c r="AL53" s="279">
        <f ca="1">IF($Z53=$Z52,$S57-$T56,0)</f>
        <v>0</v>
      </c>
      <c r="AM53" s="279"/>
      <c r="AN53" s="279">
        <f ca="1">IF($Z53=$Z54,$U57-$T58,0)</f>
        <v>0</v>
      </c>
      <c r="AO53" s="279">
        <f ca="1">IF($Z53=$Z55,$V57-$T59,0)</f>
        <v>0</v>
      </c>
      <c r="AP53" s="279">
        <f ca="1">SUM(AL53:AO53)</f>
        <v>0</v>
      </c>
      <c r="AQ53" s="279">
        <f ca="1">IF($Z53=$Z52,$S57,0)</f>
        <v>0</v>
      </c>
      <c r="AR53" s="279"/>
      <c r="AS53" s="279">
        <f ca="1">IF($Z53=$Z54,$U57,0)</f>
        <v>0</v>
      </c>
      <c r="AT53" s="279">
        <f ca="1">IF($Z53=$Z55,$V57,0)</f>
        <v>0</v>
      </c>
      <c r="AU53" s="279">
        <f ca="1">SUM(AQ53:AT53)</f>
        <v>0</v>
      </c>
      <c r="AV53" s="203">
        <v>3</v>
      </c>
      <c r="AW53" s="2"/>
      <c r="AX53" s="2"/>
      <c r="AY53" s="2"/>
      <c r="AZ53" s="2"/>
      <c r="BA53" s="2">
        <v>22</v>
      </c>
      <c r="BB53" s="6">
        <f>VLOOKUP(BA53,Spiele!$A$1:$L$116,2,FALSE)</f>
        <v>46190.625</v>
      </c>
      <c r="BC53" s="6" t="str">
        <f>VLOOKUP(BA53,Spiele!$A$1:$L$116,9,FALSE)</f>
        <v>Dallas</v>
      </c>
      <c r="BD53" s="56" t="str">
        <f>BY52</f>
        <v>England</v>
      </c>
      <c r="BE53" s="40" t="s">
        <v>24</v>
      </c>
      <c r="BF53" s="56" t="str">
        <f>BY53</f>
        <v>Kroatien</v>
      </c>
      <c r="BG53" s="53"/>
      <c r="BH53" s="107">
        <f ca="1">IF($B$102&lt;&gt;"","",IF($B$101&lt;&gt;"",IF(Ergebnisse!BH53="","",Ergebnisse!BH53),IF($B$99="",2,INT(RAND()*5)+INT(RAND()*3)*INT(RAND()*2))))</f>
        <v>2</v>
      </c>
      <c r="BI53" s="11" t="s">
        <v>25</v>
      </c>
      <c r="BJ53" s="107">
        <f ca="1">IF($B$102&lt;&gt;"","",IF($B$101&lt;&gt;"",IF(Ergebnisse!BJ53="","",Ergebnisse!BJ53),IF($B$99="",2,INT(RAND()*5)+INT(RAND()*3)*INT(RAND()*2))))</f>
        <v>4</v>
      </c>
      <c r="BK53" s="7" t="str">
        <f t="shared" ref="BK53" ca="1" si="11">IF(OR(BH53="",BJ53=""),"","ok")</f>
        <v>ok</v>
      </c>
      <c r="BL53" s="1"/>
      <c r="BM53" s="9" t="str">
        <f ca="1">VLOOKUP(2,$BX$52:$CC$55,2,FALSE)</f>
        <v>Panama</v>
      </c>
      <c r="BN53" s="2">
        <f ca="1">VLOOKUP(2,$BX$52:$CC$55,3,FALSE)</f>
        <v>4</v>
      </c>
      <c r="BO53" s="2">
        <f ca="1">VLOOKUP(2,$BX$52:$CC$55,4,FALSE)</f>
        <v>7</v>
      </c>
      <c r="BP53" s="2">
        <f ca="1">VLOOKUP(2,$BX$52:$CC$55,5,FALSE)</f>
        <v>5</v>
      </c>
      <c r="BQ53" s="2">
        <f ca="1">VLOOKUP(2,$BX$52:$CC$55,6,FALSE)</f>
        <v>2</v>
      </c>
      <c r="BS53" s="61">
        <f ca="1">IF(BJ53="",0,IF(BK53=$B$98,IF(BH53&lt;BJ53,3,IF(BH53=BJ53,1,0)),0))</f>
        <v>3</v>
      </c>
      <c r="BT53" s="60"/>
      <c r="BU53" s="61">
        <f ca="1">IF(BH58="",0,IF(BK57=$B$98,IF(BH58&gt;BJ58,3,IF(BH58=BJ58,1,0)),0))</f>
        <v>1</v>
      </c>
      <c r="BV53" s="61">
        <f ca="1">IF(BJ56="",0,IF(BK56=$B$98,IF(BJ56&gt;BH56,3,IF(BJ56=BH56,1,0)),0))</f>
        <v>0</v>
      </c>
      <c r="BW53" s="1"/>
      <c r="BX53" s="1">
        <f ca="1">RANK(CD53,$CD$52:$CD$55)</f>
        <v>3</v>
      </c>
      <c r="BY53" s="40" t="s">
        <v>188</v>
      </c>
      <c r="BZ53" s="1">
        <f ca="1">SUM(BS53:BV53)</f>
        <v>4</v>
      </c>
      <c r="CA53" s="1">
        <f ca="1">SUM(BS57:BV57)</f>
        <v>7</v>
      </c>
      <c r="CB53" s="1">
        <f ca="1">SUM(BT56:BT59)</f>
        <v>9</v>
      </c>
      <c r="CC53" s="1">
        <f ca="1">CA53-CB53</f>
        <v>-2</v>
      </c>
      <c r="CD53" s="24">
        <f ca="1">IF(BP$28="",(((((((CE53*10+BZ53)*100+CC53)*100+CA53)*10+CK53)*10+CJ53)*100+CP53)*100+CU53)*10+CV53,(((((((CE53*10+BZ53)*10+CK53)*10+CJ53)*100+CP53)*100+CU53)*100+CC53)*100+CA53)*10+CV53)</f>
        <v>396959998073</v>
      </c>
      <c r="CE53" s="207"/>
      <c r="CF53" s="280">
        <f ca="1">IF($BZ53=$BZ52,$BS53-$BT52,0)</f>
        <v>0</v>
      </c>
      <c r="CG53" s="280"/>
      <c r="CH53" s="280">
        <f ca="1">IF($BZ53=$BZ54,$BU53-$BT54,0)</f>
        <v>0</v>
      </c>
      <c r="CI53" s="280">
        <f ca="1">IF($BZ53=$BZ55,$BV53-$BT55,0)</f>
        <v>-3</v>
      </c>
      <c r="CJ53" s="280">
        <f ca="1">SUM(CF53:CI53)</f>
        <v>-3</v>
      </c>
      <c r="CK53" s="207"/>
      <c r="CL53" s="280">
        <f ca="1">IF($BZ53=$BZ52,$BS57-$BT56,0)</f>
        <v>0</v>
      </c>
      <c r="CM53" s="280"/>
      <c r="CN53" s="280">
        <f ca="1">IF($BZ53=$BZ54,$BU57-$BT58,0)</f>
        <v>0</v>
      </c>
      <c r="CO53" s="280">
        <f ca="1">IF($BZ53=$BZ55,$BV57-$BT59,0)</f>
        <v>-4</v>
      </c>
      <c r="CP53" s="280">
        <f ca="1">SUM(CL53:CO53)</f>
        <v>-4</v>
      </c>
      <c r="CQ53" s="280">
        <f ca="1">IF($BZ53=$BZ52,$BS57,0)</f>
        <v>0</v>
      </c>
      <c r="CR53" s="280"/>
      <c r="CS53" s="280">
        <f ca="1">IF($BZ53=$BZ54,$BU57,0)</f>
        <v>0</v>
      </c>
      <c r="CT53" s="280">
        <f ca="1">IF($BZ53=$BZ55,$BV57,0)</f>
        <v>0</v>
      </c>
      <c r="CU53" s="280">
        <f ca="1">SUM(CQ53:CT53)</f>
        <v>0</v>
      </c>
      <c r="CV53" s="207">
        <v>3</v>
      </c>
    </row>
    <row r="54" spans="1:104">
      <c r="A54" s="2">
        <v>18</v>
      </c>
      <c r="B54" s="6">
        <f>VLOOKUP(A54,Spiele!$A$1:$L$116,2,FALSE)</f>
        <v>46189.75</v>
      </c>
      <c r="C54" s="6" t="str">
        <f>VLOOKUP(A54,Spiele!$A$1:$L$116,9,FALSE)</f>
        <v>Boston</v>
      </c>
      <c r="D54" s="56" t="str">
        <f>Y54</f>
        <v>Irak</v>
      </c>
      <c r="E54" s="40" t="s">
        <v>24</v>
      </c>
      <c r="F54" s="56" t="str">
        <f>Y55</f>
        <v>Norwegen</v>
      </c>
      <c r="G54" s="53"/>
      <c r="H54" s="107">
        <f ca="1">IF($B$102&lt;&gt;"","",IF($B$101&lt;&gt;"",IF(Ergebnisse!H54="","",Ergebnisse!H54),IF($B$99="",2,INT(RAND()*5)+INT(RAND()*3)*INT(RAND()*2))))</f>
        <v>3</v>
      </c>
      <c r="I54" s="11" t="s">
        <v>25</v>
      </c>
      <c r="J54" s="107">
        <f ca="1">IF($B$102&lt;&gt;"","",IF($B$101&lt;&gt;"",IF(Ergebnisse!J54="","",Ergebnisse!J54),IF($B$99="",2,INT(RAND()*5)+INT(RAND()*3)*INT(RAND()*2))))</f>
        <v>1</v>
      </c>
      <c r="K54" s="7" t="str">
        <f t="shared" ca="1" si="2"/>
        <v>ok</v>
      </c>
      <c r="L54" s="1"/>
      <c r="M54" s="9" t="str">
        <f ca="1">VLOOKUP(3,$X$52:$AC$55,2,FALSE)</f>
        <v>Irak</v>
      </c>
      <c r="N54" s="2">
        <f ca="1">VLOOKUP(3,$X$52:$AC$55,3,FALSE)</f>
        <v>4</v>
      </c>
      <c r="O54" s="2">
        <f ca="1">VLOOKUP(3,$X$52:$AC$55,4,FALSE)</f>
        <v>6</v>
      </c>
      <c r="P54" s="2">
        <f ca="1">VLOOKUP(3,$X$52:$AC$55,5,FALSE)</f>
        <v>5</v>
      </c>
      <c r="Q54" s="2">
        <f ca="1">VLOOKUP(3,$X$52:$AC$55,6,FALSE)</f>
        <v>1</v>
      </c>
      <c r="S54" s="61">
        <f ca="1">IF(J55="",0,IF(K55=$B$98,IF(H55&lt;J55,3,IF(H55=J55,1,0)),0))</f>
        <v>1</v>
      </c>
      <c r="T54" s="61">
        <f ca="1">IF(J58="",0,IF(K57=$B$98,IF(H58&lt;J58,3,IF(H58=J58,1,0)),0))</f>
        <v>0</v>
      </c>
      <c r="U54" s="60"/>
      <c r="V54" s="61">
        <f ca="1">IF(H54="",0,IF(K54=$B$98,IF(H54&gt;J54,3,IF(H54=J54,1,0)),0))</f>
        <v>3</v>
      </c>
      <c r="W54" s="62"/>
      <c r="X54" s="62">
        <f ca="1">RANK(AD54,$AD$52:$AD$55)</f>
        <v>3</v>
      </c>
      <c r="Y54" s="40" t="s">
        <v>250</v>
      </c>
      <c r="Z54" s="62">
        <f ca="1">SUM(S54:V54)</f>
        <v>4</v>
      </c>
      <c r="AA54" s="62">
        <f ca="1">SUM(S58:V58)</f>
        <v>6</v>
      </c>
      <c r="AB54" s="62">
        <f ca="1">SUM(U56:U59)</f>
        <v>5</v>
      </c>
      <c r="AC54" s="62">
        <f ca="1">AA54-AB54</f>
        <v>1</v>
      </c>
      <c r="AD54" s="24">
        <f ca="1">IF(P$28="",(((((((AE54*10+Z54)*100+AC54)*100+AA54)*10+AK54)*10+AJ54)*100+AP54)*100+AU54)*10+AV54,(((((((AE54*10+Z54)*10+AK54)*10+AJ54)*100+AP54)*100+AU54)*100+AC54)*100+AA54)*10+AV54)</f>
        <v>400000001062</v>
      </c>
      <c r="AE54" s="203"/>
      <c r="AF54" s="279">
        <f ca="1">IF($Z54=$Z52,$S54-$U52,0)</f>
        <v>0</v>
      </c>
      <c r="AG54" s="279">
        <f ca="1">IF($Z54=$Z53,$T54-$U53,0)</f>
        <v>0</v>
      </c>
      <c r="AH54" s="279"/>
      <c r="AI54" s="279">
        <f ca="1">IF($Z54=$Z55,$V54-$U55,0)</f>
        <v>0</v>
      </c>
      <c r="AJ54" s="279">
        <f ca="1">SUM(AF54:AI54)</f>
        <v>0</v>
      </c>
      <c r="AK54" s="203"/>
      <c r="AL54" s="279">
        <f ca="1">IF($Z54=$Z52,$S58-$U56,0)</f>
        <v>0</v>
      </c>
      <c r="AM54" s="279">
        <f ca="1">IF($Z54=$Z53,$T58-$U57,0)</f>
        <v>0</v>
      </c>
      <c r="AN54" s="279"/>
      <c r="AO54" s="279">
        <f ca="1">IF($Z54=$Z55,$V58-$U59,0)</f>
        <v>0</v>
      </c>
      <c r="AP54" s="279">
        <f ca="1">SUM(AL54:AO54)</f>
        <v>0</v>
      </c>
      <c r="AQ54" s="279">
        <f ca="1">IF($Z54=$Z52,$S58,0)</f>
        <v>0</v>
      </c>
      <c r="AR54" s="279">
        <f ca="1">IF($Z54=$Z53,$T58,0)</f>
        <v>0</v>
      </c>
      <c r="AS54" s="279"/>
      <c r="AT54" s="279">
        <f ca="1">IF($Z54=$Z55,$V58,0)</f>
        <v>0</v>
      </c>
      <c r="AU54" s="279">
        <f ca="1">SUM(AQ54:AT54)</f>
        <v>0</v>
      </c>
      <c r="AV54" s="203">
        <v>2</v>
      </c>
      <c r="AW54" s="2"/>
      <c r="AX54" s="2"/>
      <c r="AY54" s="2"/>
      <c r="AZ54" s="2"/>
      <c r="BA54" s="2">
        <v>21</v>
      </c>
      <c r="BB54" s="6">
        <f>VLOOKUP(BA54,Spiele!$A$1:$L$116,2,FALSE)</f>
        <v>46190.791666666664</v>
      </c>
      <c r="BC54" s="6" t="str">
        <f>VLOOKUP(BA54,Spiele!$A$1:$L$116,9,FALSE)</f>
        <v>Toronto</v>
      </c>
      <c r="BD54" s="56" t="str">
        <f>BY54</f>
        <v>Ghana</v>
      </c>
      <c r="BE54" s="40" t="s">
        <v>24</v>
      </c>
      <c r="BF54" s="56" t="str">
        <f>BY55</f>
        <v>Panama</v>
      </c>
      <c r="BG54" s="53"/>
      <c r="BH54" s="107">
        <f ca="1">IF($B$102&lt;&gt;"","",IF($B$101&lt;&gt;"",IF(Ergebnisse!BH54="","",Ergebnisse!BH54),IF($B$99="",2,INT(RAND()*5)+INT(RAND()*3)*INT(RAND()*2))))</f>
        <v>2</v>
      </c>
      <c r="BI54" s="11" t="s">
        <v>25</v>
      </c>
      <c r="BJ54" s="107">
        <f ca="1">IF($B$102&lt;&gt;"","",IF($B$101&lt;&gt;"",IF(Ergebnisse!BJ54="","",Ergebnisse!BJ54),IF($B$99="",2,INT(RAND()*5)+INT(RAND()*3)*INT(RAND()*2))))</f>
        <v>0</v>
      </c>
      <c r="BK54" s="7" t="str">
        <f t="shared" ca="1" si="3"/>
        <v>ok</v>
      </c>
      <c r="BL54" s="1"/>
      <c r="BM54" s="9" t="str">
        <f ca="1">VLOOKUP(3,$BX$52:$CC$55,2,FALSE)</f>
        <v>Kroatien</v>
      </c>
      <c r="BN54" s="2">
        <f ca="1">VLOOKUP(3,$BX$52:$CC$55,3,FALSE)</f>
        <v>4</v>
      </c>
      <c r="BO54" s="2">
        <f ca="1">VLOOKUP(3,$BX$52:$CC$55,4,FALSE)</f>
        <v>7</v>
      </c>
      <c r="BP54" s="2">
        <f ca="1">VLOOKUP(3,$BX$52:$CC$55,5,FALSE)</f>
        <v>9</v>
      </c>
      <c r="BQ54" s="2">
        <f ca="1">VLOOKUP(3,$BX$52:$CC$55,6,FALSE)</f>
        <v>-2</v>
      </c>
      <c r="BS54" s="61">
        <f ca="1">IF(BJ55="",0,IF(BK55=$B$98,IF(BH55&lt;BJ55,3,IF(BH55=BJ55,1,0)),0))</f>
        <v>1</v>
      </c>
      <c r="BT54" s="61">
        <f ca="1">IF(BJ58="",0,IF(BK57=$B$98,IF(BH58&lt;BJ58,3,IF(BH58=BJ58,1,0)),0))</f>
        <v>1</v>
      </c>
      <c r="BU54" s="60"/>
      <c r="BV54" s="61">
        <f ca="1">IF(BH54="",0,IF(BK54=$B$98,IF(BH54&gt;BJ54,3,IF(BH54=BJ54,1,0)),0))</f>
        <v>3</v>
      </c>
      <c r="BW54" s="1"/>
      <c r="BX54" s="1">
        <f ca="1">RANK(CD54,$CD$52:$CD$55)</f>
        <v>1</v>
      </c>
      <c r="BY54" s="40" t="s">
        <v>251</v>
      </c>
      <c r="BZ54" s="1">
        <f ca="1">SUM(BS54:BV54)</f>
        <v>5</v>
      </c>
      <c r="CA54" s="1">
        <f ca="1">SUM(BS58:BV58)</f>
        <v>8</v>
      </c>
      <c r="CB54" s="1">
        <f ca="1">SUM(BU56:BU59)</f>
        <v>6</v>
      </c>
      <c r="CC54" s="1">
        <f ca="1">CA54-CB54</f>
        <v>2</v>
      </c>
      <c r="CD54" s="24">
        <f ca="1">IF(BP$28="",(((((((CE54*10+BZ54)*100+CC54)*100+CA54)*10+CK54)*10+CJ54)*100+CP54)*100+CU54)*10+CV54,(((((((CE54*10+BZ54)*10+CK54)*10+CJ54)*100+CP54)*100+CU54)*100+CC54)*100+CA54)*10+CV54)</f>
        <v>500000002082</v>
      </c>
      <c r="CE54" s="207"/>
      <c r="CF54" s="280">
        <f ca="1">IF($BZ54=$BZ52,$BS54-$BU52,0)</f>
        <v>0</v>
      </c>
      <c r="CG54" s="280">
        <f ca="1">IF($BZ54=$BZ53,$BT54-$BU53,0)</f>
        <v>0</v>
      </c>
      <c r="CH54" s="280"/>
      <c r="CI54" s="280">
        <f ca="1">IF($BZ54=$BZ55,$BV54-$BU55,0)</f>
        <v>0</v>
      </c>
      <c r="CJ54" s="280">
        <f ca="1">SUM(CF54:CI54)</f>
        <v>0</v>
      </c>
      <c r="CK54" s="207"/>
      <c r="CL54" s="280">
        <f ca="1">IF($BZ54=$BZ52,$BS58-$BU56,0)</f>
        <v>0</v>
      </c>
      <c r="CM54" s="280">
        <f ca="1">IF($BZ54=$BZ53,$BT58-$BU57,0)</f>
        <v>0</v>
      </c>
      <c r="CN54" s="280"/>
      <c r="CO54" s="280">
        <f ca="1">IF($BZ54=$BZ55,$BV58-$BU59,0)</f>
        <v>0</v>
      </c>
      <c r="CP54" s="280">
        <f ca="1">SUM(CL54:CO54)</f>
        <v>0</v>
      </c>
      <c r="CQ54" s="280">
        <f ca="1">IF($BZ54=$BZ52,$BS58,0)</f>
        <v>0</v>
      </c>
      <c r="CR54" s="280">
        <f ca="1">IF($BZ54=$BZ53,$BT58,0)</f>
        <v>0</v>
      </c>
      <c r="CS54" s="280"/>
      <c r="CT54" s="280">
        <f ca="1">IF($BZ54=$BZ55,$BV58,0)</f>
        <v>0</v>
      </c>
      <c r="CU54" s="280">
        <f ca="1">SUM(CQ54:CT54)</f>
        <v>0</v>
      </c>
      <c r="CV54" s="207">
        <v>2</v>
      </c>
    </row>
    <row r="55" spans="1:104">
      <c r="A55" s="2">
        <v>42</v>
      </c>
      <c r="B55" s="6">
        <f>VLOOKUP(A55,Spiele!$A$1:$L$116,2,FALSE)</f>
        <v>46195.708333333336</v>
      </c>
      <c r="C55" s="6" t="str">
        <f>VLOOKUP(A55,Spiele!$A$1:$L$116,9,FALSE)</f>
        <v>Philadelphia</v>
      </c>
      <c r="D55" s="56" t="str">
        <f>Y52</f>
        <v>Frankreich</v>
      </c>
      <c r="E55" s="40" t="s">
        <v>24</v>
      </c>
      <c r="F55" s="56" t="str">
        <f>Y54</f>
        <v>Irak</v>
      </c>
      <c r="G55" s="53"/>
      <c r="H55" s="107">
        <f ca="1">IF($B$102&lt;&gt;"","",IF($B$101&lt;&gt;"",IF(Ergebnisse!H55="","",Ergebnisse!H55),IF($B$99="",2,INT(RAND()*5)+INT(RAND()*3)*INT(RAND()*2))))</f>
        <v>3</v>
      </c>
      <c r="I55" s="11" t="s">
        <v>25</v>
      </c>
      <c r="J55" s="107">
        <f ca="1">IF($B$102&lt;&gt;"","",IF($B$101&lt;&gt;"",IF(Ergebnisse!J55="","",Ergebnisse!J55),IF($B$99="",2,INT(RAND()*5)+INT(RAND()*3)*INT(RAND()*2))))</f>
        <v>3</v>
      </c>
      <c r="K55" s="7" t="str">
        <f t="shared" ca="1" si="2"/>
        <v>ok</v>
      </c>
      <c r="L55" s="1"/>
      <c r="M55" s="9" t="str">
        <f ca="1">VLOOKUP(4,$X$52:$AC$55,2,FALSE)</f>
        <v>Norwegen</v>
      </c>
      <c r="N55" s="2">
        <f ca="1">VLOOKUP(4,$X$52:$AC$55,3,FALSE)</f>
        <v>0</v>
      </c>
      <c r="O55" s="2">
        <f ca="1">VLOOKUP(4,$X$52:$AC$55,4,FALSE)</f>
        <v>5</v>
      </c>
      <c r="P55" s="2">
        <f ca="1">VLOOKUP(4,$X$52:$AC$55,5,FALSE)</f>
        <v>12</v>
      </c>
      <c r="Q55" s="2">
        <f ca="1">VLOOKUP(4,$X$52:$AC$55,6,FALSE)</f>
        <v>-7</v>
      </c>
      <c r="S55" s="61">
        <f ca="1">IF(H57="",0,IF(K58=$B$98,IF(H57&gt;J57,3,IF(H57=J57,1,0)),0))</f>
        <v>0</v>
      </c>
      <c r="T55" s="61">
        <f ca="1">IF(H56="",0,IF(K56=$B$98,IF(J56&lt;H56,3,IF(J56=H56,1,0)),0))</f>
        <v>0</v>
      </c>
      <c r="U55" s="61">
        <f ca="1">IF(J54="",0,IF(K54=$B$98,IF(H54&lt;J54,3,IF(H54=J54,1,0)),0))</f>
        <v>0</v>
      </c>
      <c r="V55" s="60"/>
      <c r="W55" s="62"/>
      <c r="X55" s="62">
        <f ca="1">RANK(AD55,$AD$52:$AD$55)</f>
        <v>4</v>
      </c>
      <c r="Y55" s="40" t="s">
        <v>252</v>
      </c>
      <c r="Z55" s="62">
        <f ca="1">SUM(S55:V55)</f>
        <v>0</v>
      </c>
      <c r="AA55" s="62">
        <f ca="1">SUM(S59:V59)</f>
        <v>5</v>
      </c>
      <c r="AB55" s="62">
        <f ca="1">SUM(V56:V59)</f>
        <v>12</v>
      </c>
      <c r="AC55" s="62">
        <f ca="1">AA55-AB55</f>
        <v>-7</v>
      </c>
      <c r="AD55" s="24">
        <f ca="1">IF(P$28="",(((((((AE55*10+Z55)*100+AC55)*100+AA55)*10+AK55)*10+AJ55)*100+AP55)*100+AU55)*10+AV55,(((((((AE55*10+Z55)*10+AK55)*10+AJ55)*100+AP55)*100+AU55)*100+AC55)*100+AA55)*10+AV55)</f>
        <v>-6949</v>
      </c>
      <c r="AE55" s="203"/>
      <c r="AF55" s="279">
        <f ca="1">IF($Z55=$Z52,$S55-$V52,0)</f>
        <v>0</v>
      </c>
      <c r="AG55" s="279">
        <f ca="1">IF($Z55=$Z53,$T55-$V53,0)</f>
        <v>0</v>
      </c>
      <c r="AH55" s="279">
        <f ca="1">IF($Z55=$Z54,$U55-$V54,0)</f>
        <v>0</v>
      </c>
      <c r="AI55" s="279"/>
      <c r="AJ55" s="279">
        <f ca="1">SUM(AF55:AI55)</f>
        <v>0</v>
      </c>
      <c r="AK55" s="203"/>
      <c r="AL55" s="279">
        <f ca="1">IF($Z55=$Z52,$S59-$V56,0)</f>
        <v>0</v>
      </c>
      <c r="AM55" s="279">
        <f ca="1">IF($Z55=$Z53,$T59-$V57,0)</f>
        <v>0</v>
      </c>
      <c r="AN55" s="279">
        <f ca="1">IF($Z55=$Z54,$U59-$V58,0)</f>
        <v>0</v>
      </c>
      <c r="AO55" s="279"/>
      <c r="AP55" s="279">
        <f ca="1">SUM(AL55:AO55)</f>
        <v>0</v>
      </c>
      <c r="AQ55" s="279">
        <f ca="1">IF($Z55=$Z52,$S59,0)</f>
        <v>0</v>
      </c>
      <c r="AR55" s="279">
        <f ca="1">IF($Z55=$Z53,$T59,0)</f>
        <v>0</v>
      </c>
      <c r="AS55" s="279">
        <f ca="1">IF($Z55=$Z54,$U59,0)</f>
        <v>0</v>
      </c>
      <c r="AT55" s="279"/>
      <c r="AU55" s="279">
        <f ca="1">SUM(AQ55:AT55)</f>
        <v>0</v>
      </c>
      <c r="AV55" s="203">
        <v>1</v>
      </c>
      <c r="AW55" s="2"/>
      <c r="AX55" s="2"/>
      <c r="AY55" s="2"/>
      <c r="AZ55" s="2"/>
      <c r="BA55" s="2">
        <v>45</v>
      </c>
      <c r="BB55" s="6">
        <f>VLOOKUP(BA55,Spiele!$A$1:$L$116,2,FALSE)</f>
        <v>46196.666666666664</v>
      </c>
      <c r="BC55" s="6" t="str">
        <f>VLOOKUP(BA55,Spiele!$A$1:$L$116,9,FALSE)</f>
        <v>Boston</v>
      </c>
      <c r="BD55" s="56" t="str">
        <f>BY52</f>
        <v>England</v>
      </c>
      <c r="BE55" s="40" t="s">
        <v>24</v>
      </c>
      <c r="BF55" s="56" t="str">
        <f>BY54</f>
        <v>Ghana</v>
      </c>
      <c r="BG55" s="53"/>
      <c r="BH55" s="107">
        <f ca="1">IF($B$102&lt;&gt;"","",IF($B$101&lt;&gt;"",IF(Ergebnisse!BH55="","",Ergebnisse!BH55),IF($B$99="",2,INT(RAND()*5)+INT(RAND()*3)*INT(RAND()*2))))</f>
        <v>3</v>
      </c>
      <c r="BI55" s="11" t="s">
        <v>25</v>
      </c>
      <c r="BJ55" s="107">
        <f ca="1">IF($B$102&lt;&gt;"","",IF($B$101&lt;&gt;"",IF(Ergebnisse!BJ55="","",Ergebnisse!BJ55),IF($B$99="",2,INT(RAND()*5)+INT(RAND()*3)*INT(RAND()*2))))</f>
        <v>3</v>
      </c>
      <c r="BK55" s="7" t="str">
        <f t="shared" ca="1" si="3"/>
        <v>ok</v>
      </c>
      <c r="BL55" s="1"/>
      <c r="BM55" s="9" t="str">
        <f ca="1">VLOOKUP(4,$BX$52:$CC$55,2,FALSE)</f>
        <v>England</v>
      </c>
      <c r="BN55" s="2">
        <f ca="1">VLOOKUP(4,$BX$52:$CC$55,3,FALSE)</f>
        <v>2</v>
      </c>
      <c r="BO55" s="2">
        <f ca="1">VLOOKUP(4,$BX$52:$CC$55,4,FALSE)</f>
        <v>8</v>
      </c>
      <c r="BP55" s="2">
        <f ca="1">VLOOKUP(4,$BX$52:$CC$55,5,FALSE)</f>
        <v>10</v>
      </c>
      <c r="BQ55" s="2">
        <f ca="1">VLOOKUP(4,$BX$52:$CC$55,6,FALSE)</f>
        <v>-2</v>
      </c>
      <c r="BS55" s="61">
        <f ca="1">IF(BH57="",0,IF(BK58=$B$98,IF(BH57&gt;BJ57,3,IF(BH57=BJ57,1,0)),0))</f>
        <v>1</v>
      </c>
      <c r="BT55" s="61">
        <f ca="1">IF(BH56="",0,IF(BK56=$B$98,IF(BJ56&lt;BH56,3,IF(BJ56=BH56,1,0)),0))</f>
        <v>3</v>
      </c>
      <c r="BU55" s="61">
        <f ca="1">IF(BJ54="",0,IF(BK54=$B$98,IF(BH54&lt;BJ54,3,IF(BH54=BJ54,1,0)),0))</f>
        <v>0</v>
      </c>
      <c r="BV55" s="60"/>
      <c r="BW55" s="1"/>
      <c r="BX55" s="1">
        <f ca="1">RANK(CD55,$CD$52:$CD$55)</f>
        <v>2</v>
      </c>
      <c r="BY55" s="40" t="s">
        <v>253</v>
      </c>
      <c r="BZ55" s="1">
        <f ca="1">SUM(BS55:BV55)</f>
        <v>4</v>
      </c>
      <c r="CA55" s="1">
        <f ca="1">SUM(BS59:BV59)</f>
        <v>7</v>
      </c>
      <c r="CB55" s="1">
        <f ca="1">SUM(BV56:BV59)</f>
        <v>5</v>
      </c>
      <c r="CC55" s="1">
        <f ca="1">CA55-CB55</f>
        <v>2</v>
      </c>
      <c r="CD55" s="24">
        <f ca="1">IF(BP$28="",(((((((CE55*10+BZ55)*100+CC55)*100+CA55)*10+CK55)*10+CJ55)*100+CP55)*100+CU55)*10+CV55,(((((((CE55*10+BZ55)*10+CK55)*10+CJ55)*100+CP55)*100+CU55)*100+CC55)*100+CA55)*10+CV55)</f>
        <v>403040402071</v>
      </c>
      <c r="CE55" s="207"/>
      <c r="CF55" s="280">
        <f ca="1">IF($BZ55=$BZ52,$BS55-$BV52,0)</f>
        <v>0</v>
      </c>
      <c r="CG55" s="280">
        <f ca="1">IF($BZ55=$BZ53,$BT55-$BV53,0)</f>
        <v>3</v>
      </c>
      <c r="CH55" s="280">
        <f ca="1">IF($BZ55=$BZ54,$BU55-$BV54,0)</f>
        <v>0</v>
      </c>
      <c r="CI55" s="280"/>
      <c r="CJ55" s="280">
        <f ca="1">SUM(CF55:CI55)</f>
        <v>3</v>
      </c>
      <c r="CK55" s="207"/>
      <c r="CL55" s="280">
        <f ca="1">IF($BZ55=$BZ52,$BS59-$BV56,0)</f>
        <v>0</v>
      </c>
      <c r="CM55" s="280">
        <f ca="1">IF($BZ55=$BZ53,$BT59-$BV57,0)</f>
        <v>4</v>
      </c>
      <c r="CN55" s="280">
        <f ca="1">IF($BZ55=$BZ54,$BU59-$BV58,0)</f>
        <v>0</v>
      </c>
      <c r="CO55" s="280"/>
      <c r="CP55" s="280">
        <f ca="1">SUM(CL55:CO55)</f>
        <v>4</v>
      </c>
      <c r="CQ55" s="280">
        <f ca="1">IF($BZ55=$BZ52,$BS59,0)</f>
        <v>0</v>
      </c>
      <c r="CR55" s="280">
        <f ca="1">IF($BZ55=$BZ53,$BT59,0)</f>
        <v>4</v>
      </c>
      <c r="CS55" s="280">
        <f ca="1">IF($BZ55=$BZ54,$BU59,0)</f>
        <v>0</v>
      </c>
      <c r="CT55" s="280"/>
      <c r="CU55" s="280">
        <f ca="1">SUM(CQ55:CT55)</f>
        <v>4</v>
      </c>
      <c r="CV55" s="207">
        <v>1</v>
      </c>
    </row>
    <row r="56" spans="1:104">
      <c r="A56" s="2">
        <v>41</v>
      </c>
      <c r="B56" s="6">
        <f>VLOOKUP(A56,Spiele!$A$1:$L$116,2,FALSE)</f>
        <v>46195.833333333336</v>
      </c>
      <c r="C56" s="6" t="str">
        <f>VLOOKUP(A56,Spiele!$A$1:$L$116,9,FALSE)</f>
        <v>New York</v>
      </c>
      <c r="D56" s="56" t="str">
        <f>Y55</f>
        <v>Norwegen</v>
      </c>
      <c r="E56" s="40" t="s">
        <v>24</v>
      </c>
      <c r="F56" s="56" t="str">
        <f>Y53</f>
        <v>Senegal</v>
      </c>
      <c r="G56" s="53"/>
      <c r="H56" s="107">
        <f ca="1">IF($B$102&lt;&gt;"","",IF($B$101&lt;&gt;"",IF(Ergebnisse!H56="","",Ergebnisse!H56),IF($B$99="",2,INT(RAND()*5)+INT(RAND()*3)*INT(RAND()*2))))</f>
        <v>1</v>
      </c>
      <c r="I56" s="11" t="s">
        <v>25</v>
      </c>
      <c r="J56" s="107">
        <f ca="1">IF($B$102&lt;&gt;"","",IF($B$101&lt;&gt;"",IF(Ergebnisse!J56="","",Ergebnisse!J56),IF($B$99="",2,INT(RAND()*5)+INT(RAND()*3)*INT(RAND()*2))))</f>
        <v>3</v>
      </c>
      <c r="K56" s="7" t="str">
        <f t="shared" ca="1" si="2"/>
        <v>ok</v>
      </c>
      <c r="L56" s="1"/>
      <c r="N56" s="1"/>
      <c r="O56" s="1"/>
      <c r="P56" s="1"/>
      <c r="S56" s="60"/>
      <c r="T56" s="61">
        <f ca="1">IF(K53=$B$98,H53,0)</f>
        <v>1</v>
      </c>
      <c r="U56" s="61">
        <f ca="1">IF(K55=$B$98,H55,0)</f>
        <v>3</v>
      </c>
      <c r="V56" s="61">
        <f ca="1">IF(K58=$B$98,J57,0)</f>
        <v>6</v>
      </c>
      <c r="W56" s="62"/>
      <c r="X56" s="62"/>
      <c r="Y56" s="62"/>
      <c r="Z56" s="62"/>
      <c r="AA56" s="62"/>
      <c r="AB56" s="62"/>
      <c r="AC56" s="62"/>
      <c r="AD56" s="66"/>
      <c r="AE56" s="204"/>
      <c r="AF56" s="279"/>
      <c r="AG56" s="279"/>
      <c r="AH56" s="279"/>
      <c r="AI56" s="279"/>
      <c r="AJ56" s="279"/>
      <c r="AK56" s="279"/>
      <c r="AL56" s="279"/>
      <c r="AM56" s="279"/>
      <c r="AN56" s="279"/>
      <c r="AO56" s="279"/>
      <c r="AP56" s="279"/>
      <c r="AQ56" s="279"/>
      <c r="AR56" s="279"/>
      <c r="AS56" s="279"/>
      <c r="AT56" s="279"/>
      <c r="AV56" s="279"/>
      <c r="AW56" s="2"/>
      <c r="AX56" s="2"/>
      <c r="AY56" s="2"/>
      <c r="AZ56" s="2"/>
      <c r="BA56" s="2">
        <v>46</v>
      </c>
      <c r="BB56" s="6">
        <f>VLOOKUP(BA56,Spiele!$A$1:$L$116,2,FALSE)</f>
        <v>46196.791666666664</v>
      </c>
      <c r="BC56" s="6" t="str">
        <f>VLOOKUP(BA56,Spiele!$A$1:$L$116,9,FALSE)</f>
        <v>Toronto</v>
      </c>
      <c r="BD56" s="56" t="str">
        <f>BY55</f>
        <v>Panama</v>
      </c>
      <c r="BE56" s="40" t="s">
        <v>24</v>
      </c>
      <c r="BF56" s="56" t="str">
        <f>BY53</f>
        <v>Kroatien</v>
      </c>
      <c r="BG56" s="53"/>
      <c r="BH56" s="107">
        <f ca="1">IF($B$102&lt;&gt;"","",IF($B$101&lt;&gt;"",IF(Ergebnisse!BH56="","",Ergebnisse!BH56),IF($B$99="",2,INT(RAND()*5)+INT(RAND()*3)*INT(RAND()*2))))</f>
        <v>4</v>
      </c>
      <c r="BI56" s="11" t="s">
        <v>25</v>
      </c>
      <c r="BJ56" s="107">
        <f ca="1">IF($B$102&lt;&gt;"","",IF($B$101&lt;&gt;"",IF(Ergebnisse!BJ56="","",Ergebnisse!BJ56),IF($B$99="",2,INT(RAND()*5)+INT(RAND()*3)*INT(RAND()*2))))</f>
        <v>0</v>
      </c>
      <c r="BK56" s="7" t="str">
        <f t="shared" ca="1" si="3"/>
        <v>ok</v>
      </c>
      <c r="BL56" s="1"/>
      <c r="BN56" s="1"/>
      <c r="BO56" s="1"/>
      <c r="BP56" s="1"/>
      <c r="BS56" s="60"/>
      <c r="BT56" s="61">
        <f ca="1">IF(BK53=$B$98,BH53,0)</f>
        <v>2</v>
      </c>
      <c r="BU56" s="61">
        <f ca="1">IF(BK55=$B$98,BH55,0)</f>
        <v>3</v>
      </c>
      <c r="BV56" s="61">
        <f ca="1">IF(BK58=$B$98,BJ57,0)</f>
        <v>3</v>
      </c>
      <c r="BW56" s="1"/>
      <c r="BX56" s="1"/>
      <c r="BY56" s="62"/>
      <c r="BZ56" s="1"/>
      <c r="CA56" s="1"/>
      <c r="CB56" s="1"/>
      <c r="CC56" s="1"/>
      <c r="CD56" s="5"/>
      <c r="CE56" s="7"/>
      <c r="CF56" s="280"/>
      <c r="CG56" s="280"/>
      <c r="CH56" s="280"/>
      <c r="CI56" s="280"/>
      <c r="CJ56" s="280"/>
      <c r="CK56" s="280"/>
      <c r="CL56" s="280"/>
      <c r="CM56" s="280"/>
      <c r="CN56" s="280"/>
      <c r="CO56" s="280"/>
      <c r="CP56" s="280"/>
      <c r="CQ56" s="280"/>
      <c r="CR56" s="280"/>
      <c r="CS56" s="280"/>
      <c r="CT56" s="280"/>
      <c r="CV56" s="280"/>
    </row>
    <row r="57" spans="1:104">
      <c r="A57" s="2">
        <v>61</v>
      </c>
      <c r="B57" s="6">
        <f>VLOOKUP(A57,Spiele!$A$1:$L$116,2,FALSE)</f>
        <v>46199.625</v>
      </c>
      <c r="C57" s="6" t="str">
        <f>VLOOKUP(A57,Spiele!$A$1:$L$116,9,FALSE)</f>
        <v>Boston</v>
      </c>
      <c r="D57" s="56" t="str">
        <f>Y55</f>
        <v>Norwegen</v>
      </c>
      <c r="E57" s="40" t="s">
        <v>24</v>
      </c>
      <c r="F57" s="56" t="str">
        <f>Y52</f>
        <v>Frankreich</v>
      </c>
      <c r="G57" s="55"/>
      <c r="H57" s="107">
        <f ca="1">IF($B$102&lt;&gt;"","",IF($B$101&lt;&gt;"",IF(Ergebnisse!H57="","",Ergebnisse!H57),IF($B$99="",2,INT(RAND()*5)+INT(RAND()*3)*INT(RAND()*2))))</f>
        <v>3</v>
      </c>
      <c r="I57" s="11" t="s">
        <v>25</v>
      </c>
      <c r="J57" s="107">
        <f ca="1">IF($B$102&lt;&gt;"","",IF($B$101&lt;&gt;"",IF(Ergebnisse!J57="","",Ergebnisse!J57),IF($B$99="",2,INT(RAND()*5)+INT(RAND()*3)*INT(RAND()*2))))</f>
        <v>6</v>
      </c>
      <c r="K57" s="7" t="str">
        <f t="shared" ca="1" si="2"/>
        <v>ok</v>
      </c>
      <c r="M57" s="238" t="str">
        <f ca="1">IF(N52&gt;0,M52,"")</f>
        <v>Frankreich</v>
      </c>
      <c r="N57" s="2" t="s">
        <v>254</v>
      </c>
      <c r="P57" s="29"/>
      <c r="S57" s="61">
        <f ca="1">IF(K53=$B$98,J53,0)</f>
        <v>0</v>
      </c>
      <c r="T57" s="60"/>
      <c r="U57" s="61">
        <f ca="1">IF(K57=$B$98,H58,0)</f>
        <v>1</v>
      </c>
      <c r="V57" s="61">
        <f ca="1">IF(K56=$B$98,J56,0)</f>
        <v>3</v>
      </c>
      <c r="AD57" s="55" t="s">
        <v>140</v>
      </c>
      <c r="AE57" s="108"/>
      <c r="AF57" s="281"/>
      <c r="AG57" s="281"/>
      <c r="AH57" s="281"/>
      <c r="AI57" s="281"/>
      <c r="AJ57" s="281"/>
      <c r="AK57" s="281"/>
      <c r="AL57" s="281"/>
      <c r="AM57" s="281"/>
      <c r="AN57" s="281"/>
      <c r="AO57" s="281"/>
      <c r="AP57" s="281"/>
      <c r="AQ57" s="281"/>
      <c r="AR57" s="281"/>
      <c r="AS57" s="281"/>
      <c r="AT57" s="281"/>
      <c r="AV57" s="281"/>
      <c r="AW57" s="2"/>
      <c r="AX57" s="2"/>
      <c r="AY57" s="2"/>
      <c r="AZ57" s="2"/>
      <c r="BA57" s="2">
        <v>68</v>
      </c>
      <c r="BB57" s="6">
        <f>VLOOKUP(BA57,Spiele!$A$1:$L$116,2,FALSE)</f>
        <v>46200.708333333336</v>
      </c>
      <c r="BC57" s="6" t="str">
        <f>VLOOKUP(BA57,Spiele!$A$1:$L$116,9,FALSE)</f>
        <v>Philadelphia</v>
      </c>
      <c r="BD57" s="56" t="str">
        <f>BY55</f>
        <v>Panama</v>
      </c>
      <c r="BE57" s="40" t="s">
        <v>24</v>
      </c>
      <c r="BF57" s="56" t="str">
        <f>BY52</f>
        <v>England</v>
      </c>
      <c r="BG57" s="55"/>
      <c r="BH57" s="107">
        <f ca="1">IF($B$102&lt;&gt;"","",IF($B$101&lt;&gt;"",IF(Ergebnisse!BH57="","",Ergebnisse!BH57),IF($B$99="",2,INT(RAND()*5)+INT(RAND()*3)*INT(RAND()*2))))</f>
        <v>3</v>
      </c>
      <c r="BI57" s="11" t="s">
        <v>25</v>
      </c>
      <c r="BJ57" s="107">
        <f ca="1">IF($B$102&lt;&gt;"","",IF($B$101&lt;&gt;"",IF(Ergebnisse!BJ57="","",Ergebnisse!BJ57),IF($B$99="",2,INT(RAND()*5)+INT(RAND()*3)*INT(RAND()*2))))</f>
        <v>3</v>
      </c>
      <c r="BK57" s="7" t="str">
        <f t="shared" ca="1" si="3"/>
        <v>ok</v>
      </c>
      <c r="BM57" s="237" t="str">
        <f ca="1">IF(BN52&gt;0,BM52,"")</f>
        <v>Ghana</v>
      </c>
      <c r="BN57" s="2" t="s">
        <v>255</v>
      </c>
      <c r="BP57" s="29"/>
      <c r="BS57" s="61">
        <f ca="1">IF(BK53=$B$98,BJ53,0)</f>
        <v>4</v>
      </c>
      <c r="BT57" s="60"/>
      <c r="BU57" s="61">
        <f ca="1">IF(BK57=$B$98,BH58,0)</f>
        <v>3</v>
      </c>
      <c r="BV57" s="61">
        <f ca="1">IF(BK56=$B$98,BJ56,0)</f>
        <v>0</v>
      </c>
      <c r="CD57" s="2" t="s">
        <v>140</v>
      </c>
      <c r="CE57" s="8"/>
      <c r="CF57" s="282"/>
      <c r="CG57" s="282"/>
      <c r="CH57" s="282"/>
      <c r="CI57" s="282"/>
      <c r="CJ57" s="282"/>
      <c r="CK57" s="282"/>
      <c r="CL57" s="282"/>
      <c r="CM57" s="282"/>
      <c r="CN57" s="282"/>
      <c r="CO57" s="282"/>
      <c r="CP57" s="282"/>
      <c r="CQ57" s="282"/>
      <c r="CR57" s="282"/>
      <c r="CS57" s="282"/>
      <c r="CT57" s="282"/>
      <c r="CV57" s="282"/>
    </row>
    <row r="58" spans="1:104">
      <c r="A58" s="2">
        <v>62</v>
      </c>
      <c r="B58" s="6">
        <f>VLOOKUP(A58,Spiele!$A$1:$L$116,2,FALSE)</f>
        <v>46199.625</v>
      </c>
      <c r="C58" s="6" t="str">
        <f>VLOOKUP(A58,Spiele!$A$1:$L$116,9,FALSE)</f>
        <v>Toronto</v>
      </c>
      <c r="D58" s="56" t="str">
        <f>Y53</f>
        <v>Senegal</v>
      </c>
      <c r="E58" s="40" t="s">
        <v>24</v>
      </c>
      <c r="F58" s="56" t="str">
        <f>Y54</f>
        <v>Irak</v>
      </c>
      <c r="G58" s="55"/>
      <c r="H58" s="107">
        <f ca="1">IF($B$102&lt;&gt;"","",IF($B$101&lt;&gt;"",IF(Ergebnisse!H58="","",Ergebnisse!H58),IF($B$99="",2,INT(RAND()*5)+INT(RAND()*3)*INT(RAND()*2))))</f>
        <v>1</v>
      </c>
      <c r="I58" s="11" t="s">
        <v>25</v>
      </c>
      <c r="J58" s="107">
        <f ca="1">IF($B$102&lt;&gt;"","",IF($B$101&lt;&gt;"",IF(Ergebnisse!J58="","",Ergebnisse!J58),IF($B$99="",2,INT(RAND()*5)+INT(RAND()*3)*INT(RAND()*2))))</f>
        <v>0</v>
      </c>
      <c r="K58" s="7" t="str">
        <f t="shared" ca="1" si="2"/>
        <v>ok</v>
      </c>
      <c r="M58" s="238" t="str">
        <f ca="1">IF(N53&gt;0,M53,"")</f>
        <v>Senegal</v>
      </c>
      <c r="N58" s="2" t="s">
        <v>256</v>
      </c>
      <c r="O58" s="30"/>
      <c r="P58" s="205" t="s">
        <v>11</v>
      </c>
      <c r="S58" s="61">
        <f ca="1">IF(K55=$B$98,J55,0)</f>
        <v>3</v>
      </c>
      <c r="T58" s="61">
        <f ca="1">IF(K57=$B$98,J58,0)</f>
        <v>0</v>
      </c>
      <c r="U58" s="60"/>
      <c r="V58" s="61">
        <f ca="1">IF(K54=$B$98,H54,0)</f>
        <v>3</v>
      </c>
      <c r="AD58" s="55" t="s">
        <v>141</v>
      </c>
      <c r="AE58" s="108"/>
      <c r="AF58" s="281"/>
      <c r="AG58" s="281"/>
      <c r="AH58" s="281"/>
      <c r="AI58" s="281"/>
      <c r="AJ58" s="281"/>
      <c r="AK58" s="281"/>
      <c r="AL58" s="281"/>
      <c r="AM58" s="281"/>
      <c r="AN58" s="281"/>
      <c r="AO58" s="281"/>
      <c r="AP58" s="281"/>
      <c r="AQ58" s="281"/>
      <c r="AR58" s="281"/>
      <c r="AS58" s="281"/>
      <c r="AT58" s="281"/>
      <c r="AV58" s="281"/>
      <c r="AW58" s="2"/>
      <c r="AX58" s="2"/>
      <c r="AY58" s="2"/>
      <c r="AZ58" s="2"/>
      <c r="BA58" s="2">
        <v>67</v>
      </c>
      <c r="BB58" s="6">
        <f>VLOOKUP(BA58,Spiele!$A$1:$L$116,2,FALSE)</f>
        <v>46200.708333333336</v>
      </c>
      <c r="BC58" s="6" t="str">
        <f>VLOOKUP(BA58,Spiele!$A$1:$L$116,9,FALSE)</f>
        <v>New York</v>
      </c>
      <c r="BD58" s="56" t="str">
        <f>BY53</f>
        <v>Kroatien</v>
      </c>
      <c r="BE58" s="40" t="s">
        <v>24</v>
      </c>
      <c r="BF58" s="56" t="str">
        <f>BY54</f>
        <v>Ghana</v>
      </c>
      <c r="BG58" s="55"/>
      <c r="BH58" s="107">
        <f ca="1">IF($B$102&lt;&gt;"","",IF($B$101&lt;&gt;"",IF(Ergebnisse!BH58="","",Ergebnisse!BH58),IF($B$99="",2,INT(RAND()*5)+INT(RAND()*3)*INT(RAND()*2))))</f>
        <v>3</v>
      </c>
      <c r="BI58" s="11" t="s">
        <v>25</v>
      </c>
      <c r="BJ58" s="107">
        <f ca="1">IF($B$102&lt;&gt;"","",IF($B$101&lt;&gt;"",IF(Ergebnisse!BJ58="","",Ergebnisse!BJ58),IF($B$99="",2,INT(RAND()*5)+INT(RAND()*3)*INT(RAND()*2))))</f>
        <v>3</v>
      </c>
      <c r="BK58" s="7" t="str">
        <f t="shared" ca="1" si="3"/>
        <v>ok</v>
      </c>
      <c r="BM58" s="237" t="str">
        <f ca="1">IF(BN53&gt;0,BM53,"")</f>
        <v>Panama</v>
      </c>
      <c r="BN58" s="2" t="s">
        <v>257</v>
      </c>
      <c r="BO58" s="30"/>
      <c r="BP58" s="205" t="s">
        <v>11</v>
      </c>
      <c r="BS58" s="61">
        <f ca="1">IF(BK55=$B$98,BJ55,0)</f>
        <v>3</v>
      </c>
      <c r="BT58" s="61">
        <f ca="1">IF(BK57=$B$98,BJ58,0)</f>
        <v>3</v>
      </c>
      <c r="BU58" s="60"/>
      <c r="BV58" s="61">
        <f ca="1">IF(BK54=$B$98,BH54,0)</f>
        <v>2</v>
      </c>
      <c r="CD58" s="2" t="s">
        <v>141</v>
      </c>
      <c r="CE58" s="8"/>
      <c r="CF58" s="282"/>
      <c r="CG58" s="282"/>
      <c r="CH58" s="282"/>
      <c r="CI58" s="282"/>
      <c r="CJ58" s="282"/>
      <c r="CK58" s="282"/>
      <c r="CL58" s="282"/>
      <c r="CM58" s="282"/>
      <c r="CN58" s="282"/>
      <c r="CO58" s="282"/>
      <c r="CP58" s="282"/>
      <c r="CQ58" s="282"/>
      <c r="CR58" s="282"/>
      <c r="CS58" s="282"/>
      <c r="CT58" s="282"/>
      <c r="CV58" s="282"/>
    </row>
    <row r="59" spans="1:104">
      <c r="E59" s="55"/>
      <c r="F59" s="55"/>
      <c r="G59" s="55"/>
      <c r="M59" s="238" t="str">
        <f ca="1">IF(N54&gt;0,M54,"")</f>
        <v>Irak</v>
      </c>
      <c r="N59" s="2" t="s">
        <v>258</v>
      </c>
      <c r="S59" s="61">
        <f ca="1">IF(K58=$B$98,H57,0)</f>
        <v>3</v>
      </c>
      <c r="T59" s="61">
        <f ca="1">IF(K56=$B$98,H56,0)</f>
        <v>1</v>
      </c>
      <c r="U59" s="61">
        <f ca="1">IF(K54=$B$98,J54,0)</f>
        <v>1</v>
      </c>
      <c r="V59" s="60"/>
      <c r="AD59" s="55" t="s">
        <v>143</v>
      </c>
      <c r="AE59" s="108"/>
      <c r="AF59" s="281"/>
      <c r="AG59" s="281"/>
      <c r="AH59" s="281"/>
      <c r="AI59" s="281"/>
      <c r="AJ59" s="281"/>
      <c r="AK59" s="281"/>
      <c r="AL59" s="281"/>
      <c r="AM59" s="281"/>
      <c r="AN59" s="281"/>
      <c r="AO59" s="281"/>
      <c r="AP59" s="281"/>
      <c r="AQ59" s="281"/>
      <c r="AR59" s="281"/>
      <c r="AS59" s="281"/>
      <c r="AT59" s="281"/>
      <c r="AV59" s="281"/>
      <c r="AW59" s="2"/>
      <c r="AX59" s="2"/>
      <c r="AY59" s="2"/>
      <c r="AZ59" s="2"/>
      <c r="BE59" s="55"/>
      <c r="BF59" s="55"/>
      <c r="BG59" s="55"/>
      <c r="BM59" s="237" t="str">
        <f ca="1">IF(BN54&gt;0,BM54,"")</f>
        <v>Kroatien</v>
      </c>
      <c r="BN59" s="2" t="s">
        <v>259</v>
      </c>
      <c r="BS59" s="61">
        <f ca="1">IF(BK58=$B$98,BH57,0)</f>
        <v>3</v>
      </c>
      <c r="BT59" s="61">
        <f ca="1">IF(BK56=$B$98,BH56,0)</f>
        <v>4</v>
      </c>
      <c r="BU59" s="61">
        <f ca="1">IF(BK54=$B$98,BJ54,0)</f>
        <v>0</v>
      </c>
      <c r="BV59" s="60"/>
      <c r="CD59" s="2" t="s">
        <v>143</v>
      </c>
      <c r="CE59" s="8"/>
      <c r="CF59" s="282"/>
      <c r="CG59" s="282"/>
      <c r="CH59" s="282"/>
      <c r="CI59" s="282"/>
      <c r="CJ59" s="282"/>
      <c r="CK59" s="282"/>
      <c r="CL59" s="282"/>
      <c r="CM59" s="282"/>
      <c r="CN59" s="282"/>
      <c r="CO59" s="282"/>
      <c r="CP59" s="282"/>
      <c r="CQ59" s="282"/>
      <c r="CR59" s="282"/>
      <c r="CS59" s="282"/>
      <c r="CT59" s="282"/>
      <c r="CV59" s="282"/>
    </row>
    <row r="60" spans="1:104">
      <c r="D60" s="55"/>
      <c r="E60" s="58"/>
      <c r="F60" s="59"/>
      <c r="G60" s="59"/>
      <c r="H60" s="55"/>
      <c r="I60" s="55"/>
      <c r="J60" s="55"/>
      <c r="AE60" s="108"/>
      <c r="AF60" s="281"/>
      <c r="AG60" s="281"/>
      <c r="AH60" s="281"/>
      <c r="AI60" s="281"/>
      <c r="AJ60" s="281"/>
      <c r="AK60" s="281"/>
      <c r="AL60" s="281"/>
      <c r="AM60" s="281"/>
      <c r="AN60" s="281"/>
      <c r="AO60" s="281"/>
      <c r="AP60" s="281"/>
      <c r="AQ60" s="281"/>
      <c r="AR60" s="281"/>
      <c r="AS60" s="281"/>
      <c r="AT60" s="281"/>
      <c r="AV60" s="281"/>
      <c r="AW60" s="2"/>
      <c r="AX60" s="2"/>
      <c r="AY60" s="2"/>
      <c r="AZ60" s="2"/>
      <c r="BD60" s="55"/>
      <c r="BE60" s="58"/>
      <c r="BF60" s="59"/>
      <c r="BG60" s="59"/>
      <c r="BH60" s="55"/>
      <c r="BI60" s="55"/>
      <c r="BJ60" s="55"/>
      <c r="BS60" s="55"/>
      <c r="BT60" s="55"/>
      <c r="BU60" s="55"/>
      <c r="BV60" s="55"/>
      <c r="CE60" s="8"/>
      <c r="CF60" s="282"/>
      <c r="CG60" s="282"/>
      <c r="CH60" s="282"/>
      <c r="CI60" s="282"/>
      <c r="CJ60" s="282"/>
      <c r="CK60" s="282"/>
      <c r="CL60" s="282"/>
      <c r="CM60" s="282"/>
      <c r="CN60" s="282"/>
      <c r="CO60" s="282"/>
      <c r="CP60" s="282"/>
      <c r="CQ60" s="282"/>
      <c r="CR60" s="282"/>
      <c r="CS60" s="282"/>
      <c r="CT60" s="282"/>
      <c r="CV60" s="282"/>
    </row>
    <row r="61" spans="1:104">
      <c r="A61" s="10"/>
      <c r="B61" s="21" t="s">
        <v>260</v>
      </c>
      <c r="C61" s="21"/>
      <c r="D61" s="17"/>
      <c r="E61" s="14"/>
      <c r="F61" s="17"/>
      <c r="G61" s="17"/>
      <c r="H61" s="20"/>
      <c r="I61" s="19"/>
      <c r="J61" s="20"/>
      <c r="L61" s="17"/>
      <c r="M61" s="21"/>
      <c r="N61" s="17"/>
      <c r="O61" s="17"/>
      <c r="P61" s="17"/>
      <c r="Q61" s="17"/>
      <c r="R61" s="17"/>
      <c r="S61" s="53"/>
      <c r="T61" s="53"/>
      <c r="U61" s="53"/>
      <c r="V61" s="53"/>
      <c r="W61" s="53"/>
      <c r="X61" s="53"/>
      <c r="Y61" s="56"/>
      <c r="Z61" s="53"/>
      <c r="AA61" s="53"/>
      <c r="AB61" s="53"/>
      <c r="AC61" s="53"/>
      <c r="AD61" s="176"/>
      <c r="AE61" s="19"/>
      <c r="AF61" s="53"/>
      <c r="AG61" s="53"/>
      <c r="AH61" s="53"/>
      <c r="AI61" s="59"/>
      <c r="AJ61" s="59"/>
      <c r="AK61" s="59"/>
      <c r="AL61" s="59"/>
      <c r="AM61" s="59"/>
      <c r="AN61" s="59"/>
      <c r="AO61" s="59"/>
      <c r="AP61" s="59"/>
      <c r="AQ61" s="59"/>
      <c r="AR61" s="59"/>
      <c r="AS61" s="59"/>
      <c r="AT61" s="59"/>
      <c r="AU61" s="59"/>
      <c r="AV61" s="59"/>
      <c r="AX61" s="206"/>
      <c r="AY61" s="206"/>
      <c r="AZ61" s="206"/>
      <c r="BA61" s="10"/>
      <c r="BB61" s="10"/>
      <c r="BC61" s="10"/>
      <c r="BD61" s="10"/>
      <c r="BE61" s="10"/>
      <c r="BF61" s="10"/>
      <c r="BG61" s="10"/>
      <c r="BH61" s="10"/>
      <c r="BI61" s="10"/>
      <c r="BJ61" s="10"/>
      <c r="BK61" s="10"/>
      <c r="BL61" s="10"/>
      <c r="BM61" s="10"/>
      <c r="BN61" s="10"/>
      <c r="BO61" s="10"/>
      <c r="BP61" s="10"/>
      <c r="BQ61" s="1"/>
      <c r="BR61" s="1"/>
      <c r="BS61" s="62"/>
      <c r="BT61" s="62"/>
      <c r="BU61" s="62"/>
      <c r="BV61" s="62"/>
      <c r="BW61" s="62"/>
      <c r="BX61" s="62"/>
      <c r="BY61" s="63"/>
      <c r="BZ61" s="62"/>
      <c r="CA61" s="62"/>
      <c r="CB61" s="62"/>
      <c r="CC61" s="62"/>
      <c r="CD61" s="62"/>
      <c r="CE61" s="66"/>
      <c r="CF61" s="204"/>
      <c r="CG61" s="62"/>
      <c r="CH61" s="62"/>
      <c r="CI61" s="55"/>
      <c r="CJ61" s="55"/>
      <c r="CK61" s="55"/>
      <c r="CL61" s="55"/>
      <c r="CM61" s="55"/>
      <c r="CN61" s="55"/>
      <c r="CO61" s="62"/>
      <c r="CP61" s="55"/>
      <c r="CQ61" s="55"/>
      <c r="CR61" s="55"/>
      <c r="CS61" s="55"/>
      <c r="CT61" s="55"/>
      <c r="CU61" s="55"/>
      <c r="CV61" s="55"/>
      <c r="CW61" s="55"/>
      <c r="CX61" s="206"/>
      <c r="CY61" s="206"/>
      <c r="CZ61" s="206"/>
    </row>
    <row r="62" spans="1:104">
      <c r="B62" s="3" t="s">
        <v>22</v>
      </c>
      <c r="C62" s="3" t="s">
        <v>23</v>
      </c>
      <c r="D62" s="17"/>
      <c r="E62" s="14"/>
      <c r="F62" s="17"/>
      <c r="G62" s="17"/>
      <c r="H62" s="20"/>
      <c r="I62" s="11"/>
      <c r="J62" s="20"/>
      <c r="L62" s="1"/>
      <c r="M62" s="3"/>
      <c r="N62" s="1"/>
      <c r="O62" s="1"/>
      <c r="P62" s="1"/>
      <c r="Q62" s="1"/>
      <c r="V62" s="62"/>
      <c r="W62" s="62"/>
      <c r="Z62" s="62"/>
      <c r="AA62" s="58"/>
      <c r="AB62" s="62"/>
      <c r="AC62" s="58"/>
      <c r="AE62" s="19"/>
      <c r="AF62" s="62"/>
      <c r="AG62" s="62"/>
      <c r="AH62" s="62"/>
      <c r="AX62" s="206"/>
      <c r="AY62" s="206"/>
      <c r="AZ62" s="206"/>
      <c r="BB62" s="74" t="s">
        <v>146</v>
      </c>
      <c r="BC62" s="239" t="str">
        <f ca="1">CONCATENATE(BH66,BH67,BH68,BH69,BH70,BH71,BH72,BH73)</f>
        <v>ACEFGIKL</v>
      </c>
      <c r="BS62" s="55"/>
      <c r="BT62" s="55"/>
      <c r="BU62" s="55"/>
      <c r="BV62" s="55"/>
      <c r="BW62" s="55"/>
      <c r="BX62" s="55"/>
      <c r="BZ62" s="55"/>
      <c r="CA62" s="55"/>
      <c r="CB62" s="55"/>
      <c r="CC62" s="55"/>
      <c r="CD62" s="55"/>
      <c r="CE62" s="108"/>
      <c r="CF62" s="55"/>
      <c r="CG62" s="55"/>
      <c r="CH62" s="55"/>
      <c r="CI62" s="55"/>
      <c r="CJ62" s="55"/>
      <c r="CK62" s="55"/>
      <c r="CL62" s="55"/>
      <c r="CM62" s="55"/>
      <c r="CN62" s="55"/>
      <c r="CO62" s="55"/>
      <c r="CP62" s="55"/>
      <c r="CQ62" s="55"/>
      <c r="CR62" s="55"/>
      <c r="CS62" s="55"/>
      <c r="CT62" s="55"/>
      <c r="CU62" s="55"/>
      <c r="CV62" s="55"/>
      <c r="CW62" s="55"/>
      <c r="CX62" s="206"/>
      <c r="CY62" s="206"/>
      <c r="CZ62" s="206"/>
    </row>
    <row r="63" spans="1:104">
      <c r="A63" s="2">
        <v>73</v>
      </c>
      <c r="B63" s="6">
        <f>VLOOKUP(A63,Spiele!$A$1:$L$116,2,FALSE)</f>
        <v>46201.5</v>
      </c>
      <c r="C63" s="6" t="str">
        <f>VLOOKUP(A63,Spiele!$A$1:$L$116,9,FALSE)</f>
        <v>Los Angeles</v>
      </c>
      <c r="D63" s="26" t="str">
        <f ca="1">M8</f>
        <v>Tschechien</v>
      </c>
      <c r="E63" s="15" t="s">
        <v>24</v>
      </c>
      <c r="F63" s="37" t="str">
        <f ca="1">M18</f>
        <v>Schweiz</v>
      </c>
      <c r="G63" s="17"/>
      <c r="H63" s="107">
        <f ca="1">IF($B$102&lt;&gt;"","",IF($B$101&lt;&gt;"",IF(Ergebnisse!H63="","",Ergebnisse!H63),IF($B$99="",2,INT(RAND()*5)+INT(RAND()*3)*INT(RAND()*2))))</f>
        <v>6</v>
      </c>
      <c r="I63" s="11" t="s">
        <v>25</v>
      </c>
      <c r="J63" s="107">
        <f ca="1">IF($B$102&lt;&gt;"","",IF($B$101&lt;&gt;"",IF(Ergebnisse!J63="","",Ergebnisse!J63),IF($B$99="",1,H63+IF(H63=0,1,IF(H63=9,-1,CHOOSE(INT(RAND()*2)+1,1,-1))))))</f>
        <v>7</v>
      </c>
      <c r="K63" s="7" t="str">
        <f t="shared" ref="K63:K94" ca="1" si="12">IF(OR(H63="",J63=""),"","ok")</f>
        <v>ok</v>
      </c>
      <c r="L63" s="1"/>
      <c r="M63" s="240" t="str">
        <f t="shared" ref="M63:M78" ca="1" si="13">IF(J63="","",IF(J63=H63,"falsch!!! K.Remis",IF(H63&gt;J63,D63,F63)))</f>
        <v>Schweiz</v>
      </c>
      <c r="N63" s="241" t="str">
        <f>N8</f>
        <v>2A</v>
      </c>
      <c r="O63" s="241" t="str">
        <f>N18</f>
        <v>2B</v>
      </c>
      <c r="P63" s="241" t="s">
        <v>261</v>
      </c>
      <c r="Q63" s="17"/>
      <c r="R63" s="16"/>
      <c r="V63" s="62"/>
      <c r="W63" s="62"/>
      <c r="Z63" s="62"/>
      <c r="AB63" s="62"/>
      <c r="AE63" s="2"/>
      <c r="AF63" s="206"/>
      <c r="AG63" s="206"/>
      <c r="AH63" s="206"/>
      <c r="AI63" s="206"/>
      <c r="AJ63" s="206"/>
      <c r="AK63" s="206"/>
      <c r="AL63" s="206"/>
      <c r="AM63" s="206"/>
      <c r="AN63" s="206"/>
      <c r="AO63" s="206"/>
      <c r="AP63" s="206"/>
      <c r="AX63" s="206"/>
      <c r="AY63" s="206"/>
      <c r="AZ63" s="206"/>
      <c r="BS63" s="55"/>
      <c r="BT63" s="55"/>
      <c r="BU63" s="55"/>
      <c r="BV63" s="55"/>
      <c r="BW63" s="55"/>
      <c r="BX63" s="55"/>
      <c r="BZ63" s="55"/>
      <c r="CA63" s="55"/>
      <c r="CB63" s="55"/>
      <c r="CC63" s="55"/>
      <c r="CD63" s="55"/>
      <c r="CE63" s="108"/>
      <c r="CF63" s="55"/>
      <c r="CG63" s="55"/>
      <c r="CH63" s="55"/>
      <c r="CI63" s="55"/>
      <c r="CJ63" s="55"/>
      <c r="CK63" s="55"/>
      <c r="CL63" s="55"/>
      <c r="CM63" s="55"/>
      <c r="CN63" s="55"/>
      <c r="CO63" s="55"/>
      <c r="CP63" s="55"/>
      <c r="CQ63" s="55"/>
      <c r="CR63" s="55"/>
      <c r="CS63" s="55"/>
      <c r="CT63" s="55"/>
      <c r="CU63" s="55"/>
      <c r="CV63" s="55"/>
      <c r="CW63" s="55"/>
      <c r="CX63" s="206"/>
      <c r="CY63" s="206"/>
      <c r="CZ63" s="206"/>
    </row>
    <row r="64" spans="1:104">
      <c r="A64" s="2">
        <v>76</v>
      </c>
      <c r="B64" s="6">
        <f>VLOOKUP(A64,Spiele!$A$1:$L$116,2,FALSE)</f>
        <v>46202.5</v>
      </c>
      <c r="C64" s="6" t="str">
        <f>VLOOKUP(A64,Spiele!$A$1:$L$116,9,FALSE)</f>
        <v>Houston</v>
      </c>
      <c r="D64" s="38" t="str">
        <f ca="1">M27</f>
        <v>Schottland</v>
      </c>
      <c r="E64" s="15" t="s">
        <v>24</v>
      </c>
      <c r="F64" s="223" t="str">
        <f ca="1">BM28</f>
        <v>Schweden</v>
      </c>
      <c r="G64" s="17"/>
      <c r="H64" s="107">
        <f ca="1">IF($B$102&lt;&gt;"","",IF($B$101&lt;&gt;"",IF(Ergebnisse!H64="","",Ergebnisse!H64),IF($B$99="",2,INT(RAND()*5)+INT(RAND()*3)*INT(RAND()*2))))</f>
        <v>3</v>
      </c>
      <c r="I64" s="11" t="s">
        <v>25</v>
      </c>
      <c r="J64" s="107">
        <f ca="1">IF($B$102&lt;&gt;"","",IF($B$101&lt;&gt;"",IF(Ergebnisse!J64="","",Ergebnisse!J64),IF($B$99="",1,H64+IF(H64=0,1,IF(H64=9,-1,CHOOSE(INT(RAND()*2)+1,1,-1))))))</f>
        <v>4</v>
      </c>
      <c r="K64" s="7" t="str">
        <f t="shared" ca="1" si="12"/>
        <v>ok</v>
      </c>
      <c r="L64" s="1"/>
      <c r="M64" s="240" t="str">
        <f t="shared" ca="1" si="13"/>
        <v>Schweden</v>
      </c>
      <c r="N64" s="241" t="str">
        <f>N27</f>
        <v>1C</v>
      </c>
      <c r="O64" s="241" t="str">
        <f>BN28</f>
        <v>2F</v>
      </c>
      <c r="P64" s="241" t="s">
        <v>262</v>
      </c>
      <c r="Q64" s="184"/>
      <c r="V64" s="62"/>
      <c r="W64" s="62"/>
      <c r="AA64" s="201"/>
      <c r="AC64" s="58"/>
      <c r="AE64" s="2"/>
      <c r="AF64" s="206"/>
      <c r="AG64" s="206"/>
      <c r="AH64" s="206"/>
      <c r="AI64" s="206"/>
      <c r="AJ64" s="206"/>
      <c r="AK64" s="206"/>
      <c r="AL64" s="206"/>
      <c r="AM64" s="206"/>
      <c r="AN64" s="206"/>
      <c r="AO64" s="206"/>
      <c r="AP64" s="206"/>
      <c r="AX64" s="206"/>
      <c r="AY64" s="206"/>
      <c r="AZ64" s="206"/>
      <c r="BB64" s="55"/>
      <c r="BC64" s="55"/>
      <c r="BD64" s="23"/>
      <c r="BE64" s="55"/>
      <c r="BF64" s="23"/>
      <c r="BG64" s="55"/>
      <c r="BM64" s="35" t="s">
        <v>263</v>
      </c>
      <c r="BS64" s="55"/>
      <c r="BT64" s="55"/>
      <c r="BU64" s="55"/>
      <c r="BV64" s="55"/>
      <c r="BW64" s="55"/>
      <c r="BX64" s="55"/>
      <c r="BZ64" s="55"/>
      <c r="CA64" s="55"/>
      <c r="CB64" s="55"/>
      <c r="CC64" s="55"/>
      <c r="CD64" s="55"/>
      <c r="CE64" s="108"/>
      <c r="CF64" s="55"/>
      <c r="CG64" s="55"/>
      <c r="CH64" s="55"/>
      <c r="CI64" s="55"/>
      <c r="CJ64" s="55"/>
      <c r="CK64" s="55"/>
      <c r="CL64" s="55"/>
      <c r="CM64" s="55"/>
      <c r="CN64" s="55"/>
      <c r="CO64" s="55"/>
      <c r="CP64" s="55"/>
      <c r="CQ64" s="55"/>
      <c r="CR64" s="55"/>
      <c r="CS64" s="55"/>
      <c r="CT64" s="55"/>
      <c r="CU64" s="55"/>
      <c r="CV64" s="55"/>
      <c r="CW64" s="55"/>
      <c r="CX64" s="206"/>
      <c r="CY64" s="206"/>
      <c r="CZ64" s="206"/>
    </row>
    <row r="65" spans="1:104">
      <c r="A65" s="2">
        <v>74</v>
      </c>
      <c r="B65" s="6">
        <f>VLOOKUP(A65,Spiele!$A$1:$L$116,2,FALSE)</f>
        <v>46202.6875</v>
      </c>
      <c r="C65" s="6" t="str">
        <f>VLOOKUP(A65,Spiele!$A$1:$L$116,9,FALSE)</f>
        <v>Boston</v>
      </c>
      <c r="D65" s="73" t="str">
        <f ca="1">BM17</f>
        <v>Ecuador</v>
      </c>
      <c r="E65" s="15" t="s">
        <v>24</v>
      </c>
      <c r="F65" s="34" t="str">
        <f ca="1">VLOOKUP(R65,$BC$66:$BF$73,4,FALSE)</f>
        <v>Brasilien</v>
      </c>
      <c r="G65" s="17"/>
      <c r="H65" s="107">
        <f ca="1">IF($B$102&lt;&gt;"","",IF($B$101&lt;&gt;"",IF(Ergebnisse!H65="","",Ergebnisse!H65),IF($B$99="",2,INT(RAND()*5)+INT(RAND()*3)*INT(RAND()*2))))</f>
        <v>2</v>
      </c>
      <c r="I65" s="11" t="s">
        <v>25</v>
      </c>
      <c r="J65" s="107">
        <f ca="1">IF($B$102&lt;&gt;"","",IF($B$101&lt;&gt;"",IF(Ergebnisse!J65="","",Ergebnisse!J65),IF($B$99="",1,H65+IF(H65=0,1,IF(H65=9,-1,CHOOSE(INT(RAND()*2)+1,1,-1))))))</f>
        <v>1</v>
      </c>
      <c r="K65" s="7" t="str">
        <f t="shared" ca="1" si="12"/>
        <v>ok</v>
      </c>
      <c r="L65" s="1"/>
      <c r="M65" s="242" t="str">
        <f t="shared" ca="1" si="13"/>
        <v>Ecuador</v>
      </c>
      <c r="N65" s="241" t="str">
        <f>BN17</f>
        <v>1E</v>
      </c>
      <c r="O65" s="241" t="str">
        <f ca="1">R65</f>
        <v>3C</v>
      </c>
      <c r="P65" s="241" t="s">
        <v>264</v>
      </c>
      <c r="Q65" s="184"/>
      <c r="R65" s="243" t="str">
        <f ca="1">VLOOKUP(N65,BB$66:BC$73,2,FALSE)</f>
        <v>3C</v>
      </c>
      <c r="V65" s="62"/>
      <c r="W65" s="62"/>
      <c r="Z65" s="62"/>
      <c r="AC65" s="58"/>
      <c r="AE65" s="2"/>
      <c r="AF65" s="206"/>
      <c r="AG65" s="206"/>
      <c r="AH65" s="206"/>
      <c r="AI65" s="206"/>
      <c r="AJ65" s="206"/>
      <c r="AK65" s="206"/>
      <c r="AL65" s="206"/>
      <c r="AM65" s="206"/>
      <c r="AN65" s="206"/>
      <c r="AO65" s="206"/>
      <c r="AP65" s="206"/>
      <c r="AX65" s="206"/>
      <c r="AY65" s="206"/>
      <c r="AZ65" s="206"/>
      <c r="BB65" s="53" t="s">
        <v>265</v>
      </c>
      <c r="BC65" s="53" t="s">
        <v>266</v>
      </c>
      <c r="BD65" s="54" t="s">
        <v>267</v>
      </c>
      <c r="BE65" s="59"/>
      <c r="BF65" s="53" t="s">
        <v>268</v>
      </c>
      <c r="BG65" s="59"/>
      <c r="BH65" s="10"/>
      <c r="BI65" s="10"/>
      <c r="BK65" s="10"/>
      <c r="BL65" s="17"/>
      <c r="BM65" s="35" t="s">
        <v>3</v>
      </c>
      <c r="BN65" s="17" t="s">
        <v>4</v>
      </c>
      <c r="BO65" s="17" t="s">
        <v>5</v>
      </c>
      <c r="BP65" s="17" t="s">
        <v>6</v>
      </c>
      <c r="BQ65" s="17" t="s">
        <v>7</v>
      </c>
      <c r="BR65" s="53" t="s">
        <v>148</v>
      </c>
      <c r="BS65" s="17" t="s">
        <v>8</v>
      </c>
      <c r="BT65" s="10"/>
      <c r="BU65" s="59"/>
      <c r="BV65" s="59"/>
      <c r="BW65" s="59"/>
      <c r="BX65" s="53" t="s">
        <v>118</v>
      </c>
      <c r="BY65" s="59" t="s">
        <v>146</v>
      </c>
      <c r="BZ65" s="59"/>
      <c r="CA65" s="59"/>
      <c r="CB65" s="59"/>
      <c r="CC65" s="59"/>
      <c r="CD65" s="59"/>
      <c r="CE65" s="19" t="s">
        <v>10</v>
      </c>
      <c r="CF65" s="53" t="s">
        <v>8</v>
      </c>
      <c r="CG65" s="53"/>
      <c r="CH65" s="53" t="s">
        <v>149</v>
      </c>
      <c r="CI65" s="53"/>
      <c r="CJ65" s="19" t="s">
        <v>269</v>
      </c>
      <c r="CK65" s="59"/>
      <c r="CL65" s="59"/>
      <c r="CM65" s="59"/>
      <c r="CN65" s="59"/>
      <c r="CO65" s="59"/>
      <c r="CP65" s="59"/>
      <c r="CQ65" s="59"/>
      <c r="CR65" s="59"/>
      <c r="CS65" s="59"/>
      <c r="CT65" s="59"/>
      <c r="CU65" s="59"/>
      <c r="CW65" s="55"/>
      <c r="CX65" s="206"/>
      <c r="CY65" s="206"/>
      <c r="CZ65" s="206"/>
    </row>
    <row r="66" spans="1:104">
      <c r="A66" s="2">
        <v>75</v>
      </c>
      <c r="B66" s="6">
        <f>VLOOKUP(A66,Spiele!$A$1:$L$116,2,FALSE)</f>
        <v>46202.833333333336</v>
      </c>
      <c r="C66" s="6" t="str">
        <f>VLOOKUP(A66,Spiele!$A$1:$L$116,9,FALSE)</f>
        <v>Monterrey</v>
      </c>
      <c r="D66" s="223" t="str">
        <f ca="1">BM27</f>
        <v>Niederlande</v>
      </c>
      <c r="E66" s="15" t="s">
        <v>24</v>
      </c>
      <c r="F66" s="38" t="str">
        <f ca="1">M28</f>
        <v>Haiti</v>
      </c>
      <c r="G66" s="17"/>
      <c r="H66" s="107">
        <f ca="1">IF($B$102&lt;&gt;"","",IF($B$101&lt;&gt;"",IF(Ergebnisse!H66="","",Ergebnisse!H66),IF($B$99="",2,INT(RAND()*5)+INT(RAND()*3)*INT(RAND()*2))))</f>
        <v>6</v>
      </c>
      <c r="I66" s="11" t="s">
        <v>25</v>
      </c>
      <c r="J66" s="107">
        <f ca="1">IF($B$102&lt;&gt;"","",IF($B$101&lt;&gt;"",IF(Ergebnisse!J66="","",Ergebnisse!J66),IF($B$99="",1,H66+IF(H66=0,1,IF(H66=9,-1,CHOOSE(INT(RAND()*2)+1,1,-1))))))</f>
        <v>7</v>
      </c>
      <c r="K66" s="7" t="str">
        <f t="shared" ca="1" si="12"/>
        <v>ok</v>
      </c>
      <c r="L66" s="1"/>
      <c r="M66" s="242" t="str">
        <f t="shared" ca="1" si="13"/>
        <v>Haiti</v>
      </c>
      <c r="N66" s="241" t="str">
        <f>BN27</f>
        <v>1F</v>
      </c>
      <c r="O66" s="241" t="str">
        <f>N28</f>
        <v>2C</v>
      </c>
      <c r="P66" s="241" t="s">
        <v>270</v>
      </c>
      <c r="Q66" s="184"/>
      <c r="R66" s="201"/>
      <c r="V66" s="62"/>
      <c r="W66" s="62"/>
      <c r="Z66" s="62"/>
      <c r="AC66" s="58"/>
      <c r="AE66" s="2"/>
      <c r="AF66" s="206"/>
      <c r="AG66" s="206"/>
      <c r="AH66" s="206"/>
      <c r="AI66" s="206"/>
      <c r="AJ66" s="206"/>
      <c r="AK66" s="206"/>
      <c r="AL66" s="206"/>
      <c r="AM66" s="206"/>
      <c r="AN66" s="206"/>
      <c r="AO66" s="206"/>
      <c r="AP66" s="206"/>
      <c r="AX66" s="206"/>
      <c r="AY66" s="206"/>
      <c r="AZ66" s="206"/>
      <c r="BB66" s="104" t="str">
        <f>FIFA!C1</f>
        <v>1A</v>
      </c>
      <c r="BC66" s="243" t="str">
        <f ca="1">IF(CJ66="",INDEX(FIFA!C:C, MATCH($BC$62, FIFA!B:B, 0)),CJ66)</f>
        <v>3E</v>
      </c>
      <c r="BD66" s="17" t="s">
        <v>271</v>
      </c>
      <c r="BF66" s="244" t="str">
        <f ca="1">IF(BN66&lt;1,"",VLOOKUP(CODE(MID(BC66,2,1))-64,$BL$66:$BM$77,2,FALSE))</f>
        <v>Curaçao</v>
      </c>
      <c r="BG66" s="55"/>
      <c r="BH66" s="245" t="str">
        <f t="shared" ref="BH66:BH73" ca="1" si="14">CHAR(BJ66+64)</f>
        <v>A</v>
      </c>
      <c r="BI66" s="241"/>
      <c r="BJ66" s="246">
        <f ca="1">SMALL(BR$66:BR$73,1)</f>
        <v>1</v>
      </c>
      <c r="BK66" s="1" t="str">
        <f t="shared" ref="BK66:BK77" ca="1" si="15">BS66</f>
        <v>F</v>
      </c>
      <c r="BL66" s="1">
        <f t="shared" ref="BL66:BL77" ca="1" si="16">CODE(BK66)-64</f>
        <v>6</v>
      </c>
      <c r="BM66" s="175" t="str">
        <f ca="1">VLOOKUP(1,$BX$66:$CC$77,2,FALSE)</f>
        <v>Tunesien</v>
      </c>
      <c r="BN66" s="2">
        <f ca="1">VLOOKUP(1,$BX$66:$CC$77,3,FALSE)</f>
        <v>6</v>
      </c>
      <c r="BO66" s="2">
        <f ca="1">VLOOKUP(1,$BX$66:$CC$77,4,FALSE)</f>
        <v>9</v>
      </c>
      <c r="BP66" s="2">
        <f ca="1">VLOOKUP(1,$BX$66:$CC$77,5,FALSE)</f>
        <v>9</v>
      </c>
      <c r="BQ66" s="2">
        <f ca="1">VLOOKUP(1,$BX$66:$CC$77,6,FALSE)</f>
        <v>0</v>
      </c>
      <c r="BR66" s="1">
        <f t="shared" ref="BR66:BR77" ca="1" si="17">CODE(BS66)-64</f>
        <v>6</v>
      </c>
      <c r="BS66" s="247" t="str">
        <f ca="1">MID(VLOOKUP(1,$BX$66:$CF$77,9,FALSE),2,1)</f>
        <v>F</v>
      </c>
      <c r="BT66" s="55"/>
      <c r="BU66" s="55"/>
      <c r="BV66" s="55"/>
      <c r="BW66" s="55"/>
      <c r="BX66" s="62">
        <f t="shared" ref="BX66:BX77" ca="1" si="18">RANK(CD66,$CD$66:$CD$77)</f>
        <v>6</v>
      </c>
      <c r="BY66" s="153" t="str">
        <f ca="1">M4</f>
        <v>Südkorea</v>
      </c>
      <c r="BZ66" s="55">
        <f ca="1">N4</f>
        <v>3</v>
      </c>
      <c r="CA66" s="55">
        <f ca="1">O4</f>
        <v>9</v>
      </c>
      <c r="CB66" s="55">
        <f ca="1">P4</f>
        <v>7</v>
      </c>
      <c r="CC66" s="55">
        <f ca="1">Q4</f>
        <v>2</v>
      </c>
      <c r="CD66" s="174">
        <f t="shared" ref="CD66:CD77" ca="1" si="19">CE66*10000000000000000+BZ66*100000000000000+CC66*1000000000000+CA66*10000000000+CH66</f>
        <v>302090000000012</v>
      </c>
      <c r="CE66" s="203"/>
      <c r="CF66" s="248" t="str">
        <f>N9</f>
        <v>3A</v>
      </c>
      <c r="CG66" s="55"/>
      <c r="CH66" s="203">
        <v>12</v>
      </c>
      <c r="CI66" s="55"/>
      <c r="CJ66" s="203"/>
      <c r="CK66" s="55"/>
      <c r="CL66" s="55"/>
      <c r="CM66" s="55"/>
      <c r="CN66" s="55"/>
      <c r="CO66" s="55"/>
      <c r="CP66" s="55"/>
      <c r="CQ66" s="55"/>
      <c r="CR66" s="55"/>
      <c r="CS66" s="55"/>
      <c r="CT66" s="55"/>
      <c r="CU66" s="55"/>
      <c r="CW66" s="55"/>
      <c r="CX66" s="206"/>
      <c r="CY66" s="206"/>
      <c r="CZ66" s="206"/>
    </row>
    <row r="67" spans="1:104">
      <c r="A67" s="2">
        <v>78</v>
      </c>
      <c r="B67" s="6">
        <f>VLOOKUP(A67,Spiele!$A$1:$L$116,2,FALSE)</f>
        <v>46203.5</v>
      </c>
      <c r="C67" s="6" t="str">
        <f>VLOOKUP(A67,Spiele!$A$1:$L$116,9,FALSE)</f>
        <v>Dallas</v>
      </c>
      <c r="D67" s="73" t="str">
        <f ca="1">BM18</f>
        <v>Elfenbeinküste</v>
      </c>
      <c r="E67" s="15" t="s">
        <v>24</v>
      </c>
      <c r="F67" s="238" t="str">
        <f ca="1">M58</f>
        <v>Senegal</v>
      </c>
      <c r="G67" s="17"/>
      <c r="H67" s="107">
        <f ca="1">IF($B$102&lt;&gt;"","",IF($B$101&lt;&gt;"",IF(Ergebnisse!H67="","",Ergebnisse!H67),IF($B$99="",2,INT(RAND()*5)+INT(RAND()*3)*INT(RAND()*2))))</f>
        <v>1</v>
      </c>
      <c r="I67" s="11" t="s">
        <v>25</v>
      </c>
      <c r="J67" s="107">
        <f ca="1">IF($B$102&lt;&gt;"","",IF($B$101&lt;&gt;"",IF(Ergebnisse!J67="","",Ergebnisse!J67),IF($B$99="",1,H67+IF(H67=0,1,IF(H67=9,-1,CHOOSE(INT(RAND()*2)+1,1,-1))))))</f>
        <v>0</v>
      </c>
      <c r="K67" s="7" t="str">
        <f t="shared" ca="1" si="12"/>
        <v>ok</v>
      </c>
      <c r="L67" s="1"/>
      <c r="M67" s="249" t="str">
        <f t="shared" ca="1" si="13"/>
        <v>Elfenbeinküste</v>
      </c>
      <c r="N67" s="241" t="str">
        <f>BN18</f>
        <v>2E</v>
      </c>
      <c r="O67" s="241" t="str">
        <f>N58</f>
        <v>2I</v>
      </c>
      <c r="P67" s="241" t="s">
        <v>272</v>
      </c>
      <c r="Q67" s="184"/>
      <c r="R67" s="201"/>
      <c r="V67" s="62"/>
      <c r="W67" s="62"/>
      <c r="Z67" s="62"/>
      <c r="AC67" s="58"/>
      <c r="AE67" s="2"/>
      <c r="AF67" s="206"/>
      <c r="AG67" s="206"/>
      <c r="AH67" s="206"/>
      <c r="AI67" s="206"/>
      <c r="AJ67" s="206"/>
      <c r="AK67" s="206"/>
      <c r="AL67" s="206"/>
      <c r="AM67" s="206"/>
      <c r="AN67" s="206"/>
      <c r="AO67" s="206"/>
      <c r="AP67" s="206"/>
      <c r="AX67" s="206"/>
      <c r="AY67" s="206"/>
      <c r="AZ67" s="206"/>
      <c r="BB67" s="104" t="str">
        <f>FIFA!D1</f>
        <v>1B</v>
      </c>
      <c r="BC67" s="243" t="str">
        <f ca="1">IF(CJ67="",INDEX(FIFA!D:D, MATCH($BC$62, FIFA!B:B, 0)),CJ67)</f>
        <v>3G</v>
      </c>
      <c r="BD67" s="17" t="s">
        <v>273</v>
      </c>
      <c r="BF67" s="244" t="str">
        <f t="shared" ref="BF67:BF73" ca="1" si="20">IF(BN67&lt;1,"",VLOOKUP(CODE(MID(BC67,2,1))-64,$BL$66:$BM$77,2,FALSE))</f>
        <v>Belgien</v>
      </c>
      <c r="BG67" s="55"/>
      <c r="BH67" s="245" t="str">
        <f t="shared" ca="1" si="14"/>
        <v>C</v>
      </c>
      <c r="BI67" s="241"/>
      <c r="BJ67" s="246">
        <f ca="1">SMALL(BR$66:BR$73,2)</f>
        <v>3</v>
      </c>
      <c r="BK67" s="1" t="str">
        <f t="shared" ca="1" si="15"/>
        <v>K</v>
      </c>
      <c r="BL67" s="1">
        <f t="shared" ca="1" si="16"/>
        <v>11</v>
      </c>
      <c r="BM67" s="175" t="str">
        <f ca="1">VLOOKUP(2,$BX$66:$CC$77,2,FALSE)</f>
        <v>DR Kongo</v>
      </c>
      <c r="BN67" s="2">
        <f ca="1">VLOOKUP(2,$BX$66:$CC$77,3,FALSE)</f>
        <v>6</v>
      </c>
      <c r="BO67" s="2">
        <f ca="1">VLOOKUP(2,$BX$66:$CC$77,4,FALSE)</f>
        <v>8</v>
      </c>
      <c r="BP67" s="2">
        <f ca="1">VLOOKUP(2,$BX$66:$CC$77,5,FALSE)</f>
        <v>9</v>
      </c>
      <c r="BQ67" s="2">
        <f ca="1">VLOOKUP(2,$BX$66:$CC$77,6,FALSE)</f>
        <v>-1</v>
      </c>
      <c r="BR67" s="1">
        <f t="shared" ca="1" si="17"/>
        <v>11</v>
      </c>
      <c r="BS67" s="247" t="str">
        <f ca="1">MID(VLOOKUP(2,$BX$66:$CF$77,9,FALSE),2,1)</f>
        <v>K</v>
      </c>
      <c r="BT67" s="55"/>
      <c r="BU67" s="55"/>
      <c r="BV67" s="55"/>
      <c r="BW67" s="55"/>
      <c r="BX67" s="62">
        <f t="shared" ca="1" si="18"/>
        <v>11</v>
      </c>
      <c r="BY67" s="153" t="str">
        <f ca="1">M14</f>
        <v>Katar</v>
      </c>
      <c r="BZ67" s="55">
        <f ca="1">N14</f>
        <v>3</v>
      </c>
      <c r="CA67" s="55">
        <f ca="1">O14</f>
        <v>5</v>
      </c>
      <c r="CB67" s="55">
        <f ca="1">P14</f>
        <v>12</v>
      </c>
      <c r="CC67" s="55">
        <f ca="1">Q14</f>
        <v>-7</v>
      </c>
      <c r="CD67" s="174">
        <f t="shared" ca="1" si="19"/>
        <v>293050000000011</v>
      </c>
      <c r="CE67" s="203"/>
      <c r="CF67" s="31" t="str">
        <f>N19</f>
        <v>3B</v>
      </c>
      <c r="CG67" s="55"/>
      <c r="CH67" s="203">
        <f>CH66-1</f>
        <v>11</v>
      </c>
      <c r="CI67" s="55"/>
      <c r="CJ67" s="203"/>
      <c r="CK67" s="55"/>
      <c r="CL67" s="55"/>
      <c r="CM67" s="55"/>
      <c r="CN67" s="55"/>
      <c r="CO67" s="55"/>
      <c r="CP67" s="55"/>
      <c r="CQ67" s="55"/>
      <c r="CR67" s="55"/>
      <c r="CS67" s="55"/>
      <c r="CT67" s="55"/>
      <c r="CU67" s="55"/>
      <c r="CW67" s="55"/>
      <c r="CX67" s="206"/>
      <c r="CY67" s="206"/>
      <c r="CZ67" s="206"/>
    </row>
    <row r="68" spans="1:104">
      <c r="A68" s="2">
        <v>77</v>
      </c>
      <c r="B68" s="6">
        <f>VLOOKUP(A68,Spiele!$A$1:$L$116,2,FALSE)</f>
        <v>46203.708333333336</v>
      </c>
      <c r="C68" s="6" t="str">
        <f>VLOOKUP(A68,Spiele!$A$1:$L$116,9,FALSE)</f>
        <v>New York</v>
      </c>
      <c r="D68" s="238" t="str">
        <f ca="1">M57</f>
        <v>Frankreich</v>
      </c>
      <c r="E68" s="15" t="s">
        <v>24</v>
      </c>
      <c r="F68" s="34" t="str">
        <f ca="1">VLOOKUP(R68,$BC$66:$BF$73,4,FALSE)</f>
        <v>Tunesien</v>
      </c>
      <c r="G68" s="17"/>
      <c r="H68" s="107">
        <f ca="1">IF($B$102&lt;&gt;"","",IF($B$101&lt;&gt;"",IF(Ergebnisse!H68="","",Ergebnisse!H68),IF($B$99="",2,INT(RAND()*5)+INT(RAND()*3)*INT(RAND()*2))))</f>
        <v>2</v>
      </c>
      <c r="I68" s="11" t="s">
        <v>25</v>
      </c>
      <c r="J68" s="107">
        <f ca="1">IF($B$102&lt;&gt;"","",IF($B$101&lt;&gt;"",IF(Ergebnisse!J68="","",Ergebnisse!J68),IF($B$99="",1,H68+IF(H68=0,1,IF(H68=9,-1,CHOOSE(INT(RAND()*2)+1,1,-1))))))</f>
        <v>1</v>
      </c>
      <c r="K68" s="7" t="str">
        <f t="shared" ca="1" si="12"/>
        <v>ok</v>
      </c>
      <c r="L68" s="1"/>
      <c r="M68" s="249" t="str">
        <f t="shared" ca="1" si="13"/>
        <v>Frankreich</v>
      </c>
      <c r="N68" s="250" t="str">
        <f>N57</f>
        <v>1I</v>
      </c>
      <c r="O68" s="241" t="str">
        <f ca="1">R68</f>
        <v>3F</v>
      </c>
      <c r="P68" s="241" t="s">
        <v>274</v>
      </c>
      <c r="Q68" s="184"/>
      <c r="R68" s="243" t="str">
        <f ca="1">VLOOKUP(N68,BB$66:BC$73,2,FALSE)</f>
        <v>3F</v>
      </c>
      <c r="V68" s="62"/>
      <c r="W68" s="62"/>
      <c r="Z68" s="62"/>
      <c r="AC68" s="58"/>
      <c r="AE68" s="2"/>
      <c r="AF68" s="206"/>
      <c r="AG68" s="206"/>
      <c r="AH68" s="206"/>
      <c r="AI68" s="206"/>
      <c r="AJ68" s="206"/>
      <c r="AK68" s="206"/>
      <c r="AL68" s="206"/>
      <c r="AM68" s="206"/>
      <c r="AN68" s="206"/>
      <c r="AO68" s="206"/>
      <c r="AP68" s="206"/>
      <c r="AX68" s="206"/>
      <c r="AY68" s="206"/>
      <c r="AZ68" s="206"/>
      <c r="BB68" s="104" t="str">
        <f>FIFA!E1</f>
        <v>1D</v>
      </c>
      <c r="BC68" s="243" t="str">
        <f ca="1">IF(CJ68="",INDEX(FIFA!E:E, MATCH($BC$62, FIFA!B:B, 0)),CJ68)</f>
        <v>3I</v>
      </c>
      <c r="BD68" s="17" t="s">
        <v>275</v>
      </c>
      <c r="BF68" s="244" t="str">
        <f t="shared" ca="1" si="20"/>
        <v>Irak</v>
      </c>
      <c r="BG68" s="55"/>
      <c r="BH68" s="245" t="str">
        <f t="shared" ca="1" si="14"/>
        <v>E</v>
      </c>
      <c r="BI68" s="241"/>
      <c r="BJ68" s="246">
        <f ca="1">SMALL(BR$66:BR$73,3)</f>
        <v>5</v>
      </c>
      <c r="BK68" s="1" t="str">
        <f t="shared" ca="1" si="15"/>
        <v>I</v>
      </c>
      <c r="BL68" s="1">
        <f t="shared" ca="1" si="16"/>
        <v>9</v>
      </c>
      <c r="BM68" s="175" t="str">
        <f ca="1">VLOOKUP(3,$BX$66:$CC$77,2,FALSE)</f>
        <v>Irak</v>
      </c>
      <c r="BN68" s="2">
        <f ca="1">VLOOKUP(3,$BX$66:$CC$77,3,FALSE)</f>
        <v>4</v>
      </c>
      <c r="BO68" s="2">
        <f ca="1">VLOOKUP(3,$BX$66:$CC$77,4,FALSE)</f>
        <v>6</v>
      </c>
      <c r="BP68" s="2">
        <f ca="1">VLOOKUP(3,$BX$66:$CC$77,5,FALSE)</f>
        <v>5</v>
      </c>
      <c r="BQ68" s="2">
        <f ca="1">VLOOKUP(3,$BX$66:$CC$77,6,FALSE)</f>
        <v>1</v>
      </c>
      <c r="BR68" s="1">
        <f t="shared" ca="1" si="17"/>
        <v>9</v>
      </c>
      <c r="BS68" s="247" t="str">
        <f ca="1">MID(VLOOKUP(3,$BX$66:$CF$77,9,FALSE),2,1)</f>
        <v>I</v>
      </c>
      <c r="BT68" s="55"/>
      <c r="BU68" s="55"/>
      <c r="BV68" s="55"/>
      <c r="BW68" s="55"/>
      <c r="BX68" s="62">
        <f t="shared" ca="1" si="18"/>
        <v>8</v>
      </c>
      <c r="BY68" s="153" t="str">
        <f ca="1">M24</f>
        <v>Brasilien</v>
      </c>
      <c r="BZ68" s="55">
        <f ca="1">N24</f>
        <v>3</v>
      </c>
      <c r="CA68" s="55">
        <f ca="1">O24</f>
        <v>7</v>
      </c>
      <c r="CB68" s="55">
        <f ca="1">P24</f>
        <v>7</v>
      </c>
      <c r="CC68" s="55">
        <f ca="1">Q24</f>
        <v>0</v>
      </c>
      <c r="CD68" s="174">
        <f t="shared" ca="1" si="19"/>
        <v>300070000000010</v>
      </c>
      <c r="CE68" s="203"/>
      <c r="CF68" s="27" t="str">
        <f>N29</f>
        <v>3C</v>
      </c>
      <c r="CG68" s="55"/>
      <c r="CH68" s="203">
        <f t="shared" ref="CH68:CH77" si="21">CH67-1</f>
        <v>10</v>
      </c>
      <c r="CI68" s="55"/>
      <c r="CJ68" s="203"/>
      <c r="CK68" s="55"/>
      <c r="CL68" s="55"/>
      <c r="CM68" s="55"/>
      <c r="CN68" s="55"/>
      <c r="CO68" s="55"/>
      <c r="CP68" s="55"/>
      <c r="CQ68" s="55"/>
      <c r="CR68" s="55"/>
      <c r="CS68" s="55"/>
      <c r="CT68" s="55"/>
      <c r="CU68" s="55"/>
      <c r="CW68" s="55"/>
      <c r="CX68" s="206"/>
      <c r="CY68" s="206"/>
      <c r="CZ68" s="206"/>
    </row>
    <row r="69" spans="1:104">
      <c r="A69" s="2">
        <v>79</v>
      </c>
      <c r="B69" s="6">
        <f>VLOOKUP(A69,Spiele!$A$1:$L$116,2,FALSE)</f>
        <v>46203.833333333336</v>
      </c>
      <c r="C69" s="6" t="str">
        <f>VLOOKUP(A69,Spiele!$A$1:$L$116,9,FALSE)</f>
        <v>Mexico City</v>
      </c>
      <c r="D69" s="251" t="str">
        <f ca="1">M7</f>
        <v>Südafrika</v>
      </c>
      <c r="E69" s="15" t="s">
        <v>24</v>
      </c>
      <c r="F69" s="34" t="str">
        <f ca="1">VLOOKUP(R69,$BC$66:$BF$73,4,FALSE)</f>
        <v>Curaçao</v>
      </c>
      <c r="G69" s="17"/>
      <c r="H69" s="107">
        <f ca="1">IF($B$102&lt;&gt;"","",IF($B$101&lt;&gt;"",IF(Ergebnisse!H69="","",Ergebnisse!H69),IF($B$99="",2,INT(RAND()*5)+INT(RAND()*3)*INT(RAND()*2))))</f>
        <v>3</v>
      </c>
      <c r="I69" s="11" t="s">
        <v>25</v>
      </c>
      <c r="J69" s="107">
        <f ca="1">IF($B$102&lt;&gt;"","",IF($B$101&lt;&gt;"",IF(Ergebnisse!J69="","",Ergebnisse!J69),IF($B$99="",1,H69+IF(H69=0,1,IF(H69=9,-1,CHOOSE(INT(RAND()*2)+1,1,-1))))))</f>
        <v>2</v>
      </c>
      <c r="K69" s="7" t="str">
        <f t="shared" ca="1" si="12"/>
        <v>ok</v>
      </c>
      <c r="L69" s="1"/>
      <c r="M69" s="252" t="str">
        <f t="shared" ca="1" si="13"/>
        <v>Südafrika</v>
      </c>
      <c r="N69" s="241" t="str">
        <f>N7</f>
        <v>1A</v>
      </c>
      <c r="O69" s="241" t="str">
        <f ca="1">R69</f>
        <v>3E</v>
      </c>
      <c r="P69" s="241" t="s">
        <v>276</v>
      </c>
      <c r="Q69" s="184"/>
      <c r="R69" s="243" t="str">
        <f ca="1">VLOOKUP(N69,BB$66:BC$73,2,FALSE)</f>
        <v>3E</v>
      </c>
      <c r="V69" s="62"/>
      <c r="W69" s="62"/>
      <c r="Z69" s="62"/>
      <c r="AC69" s="58"/>
      <c r="AE69" s="2"/>
      <c r="AF69" s="206"/>
      <c r="AG69" s="206"/>
      <c r="AH69" s="206"/>
      <c r="AI69" s="206"/>
      <c r="AJ69" s="206"/>
      <c r="AK69" s="206"/>
      <c r="AL69" s="206"/>
      <c r="AM69" s="206"/>
      <c r="AN69" s="206"/>
      <c r="AO69" s="206"/>
      <c r="AP69" s="206"/>
      <c r="AX69" s="206"/>
      <c r="AY69" s="206"/>
      <c r="AZ69" s="206"/>
      <c r="BB69" s="104" t="str">
        <f>FIFA!F1</f>
        <v>1E</v>
      </c>
      <c r="BC69" s="243" t="str">
        <f ca="1">IF(CJ69="",INDEX(FIFA!F:F,MATCH($BC$62,FIFA!B:B,0)),CJ69)</f>
        <v>3C</v>
      </c>
      <c r="BD69" s="17" t="s">
        <v>277</v>
      </c>
      <c r="BF69" s="244" t="str">
        <f t="shared" ca="1" si="20"/>
        <v>Brasilien</v>
      </c>
      <c r="BG69" s="55"/>
      <c r="BH69" s="245" t="str">
        <f t="shared" ca="1" si="14"/>
        <v>F</v>
      </c>
      <c r="BI69" s="241"/>
      <c r="BJ69" s="246">
        <f ca="1">SMALL(BR$66:BR$73,4)</f>
        <v>6</v>
      </c>
      <c r="BK69" s="1" t="str">
        <f t="shared" ca="1" si="15"/>
        <v>G</v>
      </c>
      <c r="BL69" s="1">
        <f t="shared" ca="1" si="16"/>
        <v>7</v>
      </c>
      <c r="BM69" s="175" t="str">
        <f ca="1">VLOOKUP(4,$BX$66:$CC$77,2,FALSE)</f>
        <v>Belgien</v>
      </c>
      <c r="BN69" s="2">
        <f ca="1">VLOOKUP(4,$BX$66:$CC$77,3,FALSE)</f>
        <v>4</v>
      </c>
      <c r="BO69" s="2">
        <f ca="1">VLOOKUP(4,$BX$66:$CC$77,4,FALSE)</f>
        <v>7</v>
      </c>
      <c r="BP69" s="2">
        <f ca="1">VLOOKUP(4,$BX$66:$CC$77,5,FALSE)</f>
        <v>8</v>
      </c>
      <c r="BQ69" s="2">
        <f ca="1">VLOOKUP(4,$BX$66:$CC$77,6,FALSE)</f>
        <v>-1</v>
      </c>
      <c r="BR69" s="1">
        <f t="shared" ca="1" si="17"/>
        <v>7</v>
      </c>
      <c r="BS69" s="247" t="str">
        <f ca="1">MID(VLOOKUP(4,$BX$66:$CF$77,9,FALSE),2,1)</f>
        <v>G</v>
      </c>
      <c r="BT69" s="55"/>
      <c r="BU69" s="55"/>
      <c r="BV69" s="55"/>
      <c r="BW69" s="55"/>
      <c r="BX69" s="62">
        <f t="shared" ca="1" si="18"/>
        <v>12</v>
      </c>
      <c r="BY69" s="153" t="str">
        <f ca="1">BM4</f>
        <v>USA</v>
      </c>
      <c r="BZ69" s="55">
        <f ca="1">BN4</f>
        <v>2</v>
      </c>
      <c r="CA69" s="55">
        <f ca="1">BO4</f>
        <v>3</v>
      </c>
      <c r="CB69" s="55">
        <f ca="1">BP4</f>
        <v>4</v>
      </c>
      <c r="CC69" s="55">
        <f ca="1">BQ4</f>
        <v>-1</v>
      </c>
      <c r="CD69" s="174">
        <f t="shared" ca="1" si="19"/>
        <v>199030000000009</v>
      </c>
      <c r="CE69" s="203"/>
      <c r="CF69" s="76" t="str">
        <f>BN9</f>
        <v>3D</v>
      </c>
      <c r="CG69" s="55"/>
      <c r="CH69" s="203">
        <f t="shared" si="21"/>
        <v>9</v>
      </c>
      <c r="CI69" s="55"/>
      <c r="CJ69" s="203"/>
      <c r="CK69" s="55"/>
      <c r="CL69" s="55"/>
      <c r="CM69" s="55"/>
      <c r="CN69" s="55"/>
      <c r="CO69" s="55"/>
      <c r="CP69" s="55"/>
      <c r="CQ69" s="55"/>
      <c r="CR69" s="55"/>
      <c r="CS69" s="55"/>
      <c r="CT69" s="55"/>
      <c r="CU69" s="55"/>
      <c r="CW69" s="55"/>
      <c r="CX69" s="206"/>
      <c r="CY69" s="206"/>
      <c r="CZ69" s="206"/>
    </row>
    <row r="70" spans="1:104">
      <c r="A70" s="2">
        <v>80</v>
      </c>
      <c r="B70" s="6">
        <f>VLOOKUP(A70,Spiele!$A$1:$L$116,2,FALSE)</f>
        <v>46204.5</v>
      </c>
      <c r="C70" s="6" t="str">
        <f>VLOOKUP(A70,Spiele!$A$1:$L$116,9,FALSE)</f>
        <v>Atlanta</v>
      </c>
      <c r="D70" s="237" t="str">
        <f ca="1">BM57</f>
        <v>Ghana</v>
      </c>
      <c r="E70" s="15" t="s">
        <v>24</v>
      </c>
      <c r="F70" s="34" t="str">
        <f ca="1">VLOOKUP(R70,$BC$66:$BF$73,4,FALSE)</f>
        <v>DR Kongo</v>
      </c>
      <c r="G70" s="17"/>
      <c r="H70" s="107">
        <f ca="1">IF($B$102&lt;&gt;"","",IF($B$101&lt;&gt;"",IF(Ergebnisse!H70="","",Ergebnisse!H70),IF($B$99="",2,INT(RAND()*5)+INT(RAND()*3)*INT(RAND()*2))))</f>
        <v>0</v>
      </c>
      <c r="I70" s="11" t="s">
        <v>25</v>
      </c>
      <c r="J70" s="107">
        <f ca="1">IF($B$102&lt;&gt;"","",IF($B$101&lt;&gt;"",IF(Ergebnisse!J70="","",Ergebnisse!J70),IF($B$99="",1,H70+IF(H70=0,1,IF(H70=9,-1,CHOOSE(INT(RAND()*2)+1,1,-1))))))</f>
        <v>1</v>
      </c>
      <c r="K70" s="7" t="str">
        <f t="shared" ca="1" si="12"/>
        <v>ok</v>
      </c>
      <c r="L70" s="1"/>
      <c r="M70" s="252" t="str">
        <f t="shared" ca="1" si="13"/>
        <v>DR Kongo</v>
      </c>
      <c r="N70" s="241" t="str">
        <f>BN57</f>
        <v>1L</v>
      </c>
      <c r="O70" s="241" t="str">
        <f ca="1">R70</f>
        <v>3K</v>
      </c>
      <c r="P70" s="241" t="s">
        <v>278</v>
      </c>
      <c r="Q70" s="184"/>
      <c r="R70" s="243" t="str">
        <f ca="1">VLOOKUP(N70,BB$66:BC$73,2,FALSE)</f>
        <v>3K</v>
      </c>
      <c r="V70" s="62"/>
      <c r="W70" s="62"/>
      <c r="Z70" s="62"/>
      <c r="AC70" s="58"/>
      <c r="AE70" s="2"/>
      <c r="AF70" s="206"/>
      <c r="AG70" s="206"/>
      <c r="AH70" s="206"/>
      <c r="AI70" s="206"/>
      <c r="AJ70" s="206"/>
      <c r="AK70" s="206"/>
      <c r="AL70" s="206"/>
      <c r="AM70" s="206"/>
      <c r="AN70" s="206"/>
      <c r="AO70" s="206"/>
      <c r="AP70" s="206"/>
      <c r="AX70" s="206"/>
      <c r="AY70" s="206"/>
      <c r="AZ70" s="206"/>
      <c r="BB70" s="104" t="str">
        <f>FIFA!G1</f>
        <v>1G</v>
      </c>
      <c r="BC70" s="243" t="str">
        <f ca="1">IF(CJ70="",INDEX(FIFA!G:G, MATCH($BC$62, FIFA!B:B, 0)),CJ70)</f>
        <v>3A</v>
      </c>
      <c r="BD70" s="17" t="s">
        <v>279</v>
      </c>
      <c r="BF70" s="244" t="str">
        <f t="shared" ca="1" si="20"/>
        <v>Südkorea</v>
      </c>
      <c r="BG70" s="55"/>
      <c r="BH70" s="245" t="str">
        <f t="shared" ca="1" si="14"/>
        <v>G</v>
      </c>
      <c r="BI70" s="241"/>
      <c r="BJ70" s="246">
        <f ca="1">SMALL(BR$66:BR$73,5)</f>
        <v>7</v>
      </c>
      <c r="BK70" s="1" t="str">
        <f t="shared" ca="1" si="15"/>
        <v>L</v>
      </c>
      <c r="BL70" s="1">
        <f t="shared" ca="1" si="16"/>
        <v>12</v>
      </c>
      <c r="BM70" s="175" t="str">
        <f ca="1">VLOOKUP(5,$BX$66:$CC$77,2,FALSE)</f>
        <v>Kroatien</v>
      </c>
      <c r="BN70" s="2">
        <f ca="1">VLOOKUP(5,$BX$66:$CC$77,3,FALSE)</f>
        <v>4</v>
      </c>
      <c r="BO70" s="2">
        <f ca="1">VLOOKUP(5,$BX$66:$CC$77,4,FALSE)</f>
        <v>7</v>
      </c>
      <c r="BP70" s="2">
        <f ca="1">VLOOKUP(5,$BX$66:$CC$77,5,FALSE)</f>
        <v>9</v>
      </c>
      <c r="BQ70" s="2">
        <f ca="1">VLOOKUP(5,$BX$66:$CC$77,6,FALSE)</f>
        <v>-2</v>
      </c>
      <c r="BR70" s="1">
        <f t="shared" ca="1" si="17"/>
        <v>12</v>
      </c>
      <c r="BS70" s="247" t="str">
        <f ca="1">MID(VLOOKUP(5,$BX$66:$CF$77,9,FALSE),2,1)</f>
        <v>L</v>
      </c>
      <c r="BT70" s="55"/>
      <c r="BU70" s="55"/>
      <c r="BV70" s="55"/>
      <c r="BW70" s="55"/>
      <c r="BX70" s="62">
        <f t="shared" ca="1" si="18"/>
        <v>7</v>
      </c>
      <c r="BY70" s="153" t="str">
        <f ca="1">BM14</f>
        <v>Curaçao</v>
      </c>
      <c r="BZ70" s="55">
        <f ca="1">BN14</f>
        <v>3</v>
      </c>
      <c r="CA70" s="55">
        <f ca="1">BO14</f>
        <v>11</v>
      </c>
      <c r="CB70" s="55">
        <f ca="1">BP14</f>
        <v>10</v>
      </c>
      <c r="CC70" s="55">
        <f ca="1">BQ14</f>
        <v>1</v>
      </c>
      <c r="CD70" s="174">
        <f t="shared" ca="1" si="19"/>
        <v>301110000000008</v>
      </c>
      <c r="CE70" s="203"/>
      <c r="CF70" s="72" t="str">
        <f>BN19</f>
        <v>3E</v>
      </c>
      <c r="CG70" s="55"/>
      <c r="CH70" s="203">
        <f t="shared" si="21"/>
        <v>8</v>
      </c>
      <c r="CI70" s="55"/>
      <c r="CJ70" s="203"/>
      <c r="CK70" s="55"/>
      <c r="CL70" s="55"/>
      <c r="CM70" s="55"/>
      <c r="CN70" s="55"/>
      <c r="CO70" s="55"/>
      <c r="CP70" s="55"/>
      <c r="CQ70" s="55"/>
      <c r="CR70" s="55"/>
      <c r="CS70" s="55"/>
      <c r="CT70" s="55"/>
      <c r="CU70" s="55"/>
      <c r="CW70" s="55"/>
      <c r="CX70" s="206"/>
      <c r="CY70" s="206"/>
      <c r="CZ70" s="206"/>
    </row>
    <row r="71" spans="1:104">
      <c r="A71" s="2">
        <v>82</v>
      </c>
      <c r="B71" s="6">
        <f>VLOOKUP(A71,Spiele!$A$1:$L$116,2,FALSE)</f>
        <v>46204.541666666664</v>
      </c>
      <c r="C71" s="6" t="str">
        <f>VLOOKUP(A71,Spiele!$A$1:$L$116,9,FALSE)</f>
        <v>Seattle</v>
      </c>
      <c r="D71" s="228" t="str">
        <f ca="1">M37</f>
        <v>Neuseeland</v>
      </c>
      <c r="E71" s="15" t="s">
        <v>24</v>
      </c>
      <c r="F71" s="34" t="str">
        <f ca="1">VLOOKUP(R71,$BC$66:$BF$73,4,FALSE)</f>
        <v>Südkorea</v>
      </c>
      <c r="G71" s="17"/>
      <c r="H71" s="107">
        <f ca="1">IF($B$102&lt;&gt;"","",IF($B$101&lt;&gt;"",IF(Ergebnisse!H71="","",Ergebnisse!H71),IF($B$99="",2,INT(RAND()*5)+INT(RAND()*3)*INT(RAND()*2))))</f>
        <v>3</v>
      </c>
      <c r="I71" s="11" t="s">
        <v>25</v>
      </c>
      <c r="J71" s="107">
        <f ca="1">IF($B$102&lt;&gt;"","",IF($B$101&lt;&gt;"",IF(Ergebnisse!J71="","",Ergebnisse!J71),IF($B$99="",1,H71+IF(H71=0,1,IF(H71=9,-1,CHOOSE(INT(RAND()*2)+1,1,-1))))))</f>
        <v>2</v>
      </c>
      <c r="K71" s="7" t="str">
        <f t="shared" ca="1" si="12"/>
        <v>ok</v>
      </c>
      <c r="L71" s="1"/>
      <c r="M71" s="240" t="str">
        <f t="shared" ca="1" si="13"/>
        <v>Neuseeland</v>
      </c>
      <c r="N71" s="241" t="str">
        <f>N37</f>
        <v>1G</v>
      </c>
      <c r="O71" s="241" t="str">
        <f ca="1">R71</f>
        <v>3A</v>
      </c>
      <c r="P71" s="241" t="s">
        <v>280</v>
      </c>
      <c r="Q71" s="17"/>
      <c r="R71" s="243" t="str">
        <f ca="1">VLOOKUP(N71,BB$66:BC$73,2,FALSE)</f>
        <v>3A</v>
      </c>
      <c r="S71" s="4"/>
      <c r="T71" s="4"/>
      <c r="U71" s="4"/>
      <c r="V71" s="4"/>
      <c r="W71" s="4"/>
      <c r="X71" s="4"/>
      <c r="Z71" s="62"/>
      <c r="AC71" s="58"/>
      <c r="AE71" s="2"/>
      <c r="AF71" s="206"/>
      <c r="AG71" s="206"/>
      <c r="AH71" s="206"/>
      <c r="AI71" s="206"/>
      <c r="AJ71" s="206"/>
      <c r="AK71" s="206"/>
      <c r="AL71" s="206"/>
      <c r="AM71" s="206"/>
      <c r="AN71" s="206"/>
      <c r="AO71" s="206"/>
      <c r="AP71" s="206"/>
      <c r="AX71" s="206"/>
      <c r="AY71" s="206"/>
      <c r="AZ71" s="206"/>
      <c r="BB71" s="104" t="str">
        <f>FIFA!H1</f>
        <v>1I</v>
      </c>
      <c r="BC71" s="243" t="str">
        <f ca="1">IF(CJ71="",INDEX(FIFA!H:H, MATCH($BC$62, FIFA!B:B, 0)),CJ71)</f>
        <v>3F</v>
      </c>
      <c r="BD71" s="17" t="s">
        <v>281</v>
      </c>
      <c r="BF71" s="244" t="str">
        <f t="shared" ca="1" si="20"/>
        <v>Tunesien</v>
      </c>
      <c r="BG71" s="55"/>
      <c r="BH71" s="245" t="str">
        <f t="shared" ca="1" si="14"/>
        <v>I</v>
      </c>
      <c r="BI71" s="241"/>
      <c r="BJ71" s="246">
        <f ca="1">SMALL(BR$66:BR$73,6)</f>
        <v>9</v>
      </c>
      <c r="BK71" s="1" t="str">
        <f t="shared" ca="1" si="15"/>
        <v>A</v>
      </c>
      <c r="BL71" s="1">
        <f t="shared" ca="1" si="16"/>
        <v>1</v>
      </c>
      <c r="BM71" s="175" t="str">
        <f ca="1">VLOOKUP(6,$BX$66:$CC$77,2,FALSE)</f>
        <v>Südkorea</v>
      </c>
      <c r="BN71" s="2">
        <f t="shared" ref="BN71:BN77" ca="1" si="22">VLOOKUP(6,$BX$66:$CC$77,3,FALSE)</f>
        <v>3</v>
      </c>
      <c r="BO71" s="2">
        <f t="shared" ref="BO71:BO77" ca="1" si="23">VLOOKUP(6,$BX$66:$CC$77,4,FALSE)</f>
        <v>9</v>
      </c>
      <c r="BP71" s="2">
        <f t="shared" ref="BP71:BP77" ca="1" si="24">VLOOKUP(6,$BX$66:$CC$77,5,FALSE)</f>
        <v>7</v>
      </c>
      <c r="BQ71" s="2">
        <f t="shared" ref="BQ71:BQ77" ca="1" si="25">VLOOKUP(6,$BX$66:$CC$77,6,FALSE)</f>
        <v>2</v>
      </c>
      <c r="BR71" s="1">
        <f t="shared" ca="1" si="17"/>
        <v>1</v>
      </c>
      <c r="BS71" s="247" t="str">
        <f ca="1">MID(VLOOKUP(6,$BX$66:$CF$77,9,FALSE),2,1)</f>
        <v>A</v>
      </c>
      <c r="BT71" s="55"/>
      <c r="BU71" s="55"/>
      <c r="BV71" s="55"/>
      <c r="BW71" s="55"/>
      <c r="BX71" s="62">
        <f t="shared" ca="1" si="18"/>
        <v>1</v>
      </c>
      <c r="BY71" s="153" t="str">
        <f ca="1">BM24</f>
        <v>Tunesien</v>
      </c>
      <c r="BZ71" s="55">
        <f ca="1">BN24</f>
        <v>6</v>
      </c>
      <c r="CA71" s="55">
        <f ca="1">BO24</f>
        <v>9</v>
      </c>
      <c r="CB71" s="55">
        <f ca="1">BP24</f>
        <v>9</v>
      </c>
      <c r="CC71" s="55">
        <f ca="1">BQ24</f>
        <v>0</v>
      </c>
      <c r="CD71" s="174">
        <f t="shared" ca="1" si="19"/>
        <v>600090000000007</v>
      </c>
      <c r="CE71" s="203"/>
      <c r="CF71" s="221" t="str">
        <f>BN29</f>
        <v>3F</v>
      </c>
      <c r="CG71" s="55"/>
      <c r="CH71" s="203">
        <f t="shared" si="21"/>
        <v>7</v>
      </c>
      <c r="CI71" s="55"/>
      <c r="CJ71" s="203"/>
      <c r="CK71" s="55"/>
      <c r="CL71" s="55"/>
      <c r="CM71" s="55"/>
      <c r="CN71" s="55"/>
      <c r="CO71" s="55"/>
      <c r="CP71" s="55"/>
      <c r="CQ71" s="55"/>
      <c r="CR71" s="55"/>
      <c r="CS71" s="55"/>
      <c r="CT71" s="55"/>
      <c r="CU71" s="55"/>
      <c r="CW71" s="55"/>
      <c r="CX71" s="206"/>
      <c r="CY71" s="206"/>
      <c r="CZ71" s="206"/>
    </row>
    <row r="72" spans="1:104">
      <c r="A72" s="2">
        <v>81</v>
      </c>
      <c r="B72" s="6">
        <f>VLOOKUP(A72,Spiele!$A$1:$L$116,2,FALSE)</f>
        <v>46204.708333333336</v>
      </c>
      <c r="C72" s="6" t="str">
        <f>VLOOKUP(A72,Spiele!$A$1:$L$116,9,FALSE)</f>
        <v>San Francisco</v>
      </c>
      <c r="D72" s="177" t="str">
        <f ca="1">BM7</f>
        <v>Türkei</v>
      </c>
      <c r="E72" s="15" t="s">
        <v>24</v>
      </c>
      <c r="F72" s="34" t="str">
        <f ca="1">VLOOKUP(R72,$BC$66:$BF$73,4,FALSE)</f>
        <v>Irak</v>
      </c>
      <c r="G72" s="17"/>
      <c r="H72" s="107">
        <f ca="1">IF($B$102&lt;&gt;"","",IF($B$101&lt;&gt;"",IF(Ergebnisse!H72="","",Ergebnisse!H72),IF($B$99="",2,INT(RAND()*5)+INT(RAND()*3)*INT(RAND()*2))))</f>
        <v>2</v>
      </c>
      <c r="I72" s="11" t="s">
        <v>25</v>
      </c>
      <c r="J72" s="107">
        <f ca="1">IF($B$102&lt;&gt;"","",IF($B$101&lt;&gt;"",IF(Ergebnisse!J72="","",Ergebnisse!J72),IF($B$99="",1,H72+IF(H72=0,1,IF(H72=9,-1,CHOOSE(INT(RAND()*2)+1,1,-1))))))</f>
        <v>1</v>
      </c>
      <c r="K72" s="7" t="str">
        <f t="shared" ca="1" si="12"/>
        <v>ok</v>
      </c>
      <c r="L72" s="1"/>
      <c r="M72" s="240" t="str">
        <f t="shared" ca="1" si="13"/>
        <v>Türkei</v>
      </c>
      <c r="N72" s="241" t="str">
        <f>BN7</f>
        <v>1D</v>
      </c>
      <c r="O72" s="241" t="str">
        <f ca="1">R72</f>
        <v>3I</v>
      </c>
      <c r="P72" s="241" t="s">
        <v>282</v>
      </c>
      <c r="Q72" s="184"/>
      <c r="R72" s="243" t="str">
        <f ca="1">VLOOKUP(N72,BB$66:BC$73,2,FALSE)</f>
        <v>3I</v>
      </c>
      <c r="S72" s="4"/>
      <c r="T72" s="4"/>
      <c r="U72" s="4"/>
      <c r="V72" s="4"/>
      <c r="W72" s="4"/>
      <c r="X72" s="4"/>
      <c r="AC72" s="58"/>
      <c r="AE72" s="2"/>
      <c r="AF72" s="206"/>
      <c r="AG72" s="206"/>
      <c r="AH72" s="206"/>
      <c r="AI72" s="206"/>
      <c r="AJ72" s="206"/>
      <c r="AK72" s="206"/>
      <c r="AL72" s="206"/>
      <c r="AM72" s="206"/>
      <c r="AN72" s="206"/>
      <c r="AO72" s="206"/>
      <c r="AP72" s="206"/>
      <c r="AX72" s="206"/>
      <c r="AY72" s="206"/>
      <c r="AZ72" s="206"/>
      <c r="BB72" s="104" t="str">
        <f>FIFA!I1</f>
        <v>1K</v>
      </c>
      <c r="BC72" s="243" t="str">
        <f ca="1">IF(CJ72="",INDEX(FIFA!I:I, MATCH($BC$62, FIFA!B:B, 0)),CJ72)</f>
        <v>3L</v>
      </c>
      <c r="BD72" s="17" t="s">
        <v>283</v>
      </c>
      <c r="BF72" s="244" t="str">
        <f t="shared" ca="1" si="20"/>
        <v>Kroatien</v>
      </c>
      <c r="BG72" s="55"/>
      <c r="BH72" s="245" t="str">
        <f t="shared" ca="1" si="14"/>
        <v>K</v>
      </c>
      <c r="BI72" s="241"/>
      <c r="BJ72" s="246">
        <f ca="1">SMALL(BR$66:BR$73,7)</f>
        <v>11</v>
      </c>
      <c r="BK72" s="1" t="str">
        <f t="shared" ca="1" si="15"/>
        <v>E</v>
      </c>
      <c r="BL72" s="1">
        <f t="shared" ca="1" si="16"/>
        <v>5</v>
      </c>
      <c r="BM72" s="175" t="str">
        <f ca="1">VLOOKUP(7,$BX$66:$CC$77,2,FALSE)</f>
        <v>Curaçao</v>
      </c>
      <c r="BN72" s="2">
        <f t="shared" ca="1" si="22"/>
        <v>3</v>
      </c>
      <c r="BO72" s="2">
        <f t="shared" ca="1" si="23"/>
        <v>9</v>
      </c>
      <c r="BP72" s="2">
        <f t="shared" ca="1" si="24"/>
        <v>7</v>
      </c>
      <c r="BQ72" s="2">
        <f t="shared" ca="1" si="25"/>
        <v>2</v>
      </c>
      <c r="BR72" s="1">
        <f t="shared" ca="1" si="17"/>
        <v>5</v>
      </c>
      <c r="BS72" s="247" t="str">
        <f ca="1">MID(VLOOKUP(7,$BX$66:$CF$77,9,FALSE),2,1)</f>
        <v>E</v>
      </c>
      <c r="BT72" s="55"/>
      <c r="BU72" s="55"/>
      <c r="BV72" s="55"/>
      <c r="BW72" s="55"/>
      <c r="BX72" s="62">
        <f t="shared" ca="1" si="18"/>
        <v>4</v>
      </c>
      <c r="BY72" s="253" t="str">
        <f ca="1">M34</f>
        <v>Belgien</v>
      </c>
      <c r="BZ72" s="55">
        <f ca="1">N34</f>
        <v>4</v>
      </c>
      <c r="CA72" s="55">
        <f ca="1">O34</f>
        <v>7</v>
      </c>
      <c r="CB72" s="55">
        <f ca="1">P34</f>
        <v>8</v>
      </c>
      <c r="CC72" s="55">
        <f ca="1">Q34</f>
        <v>-1</v>
      </c>
      <c r="CD72" s="174">
        <f t="shared" ca="1" si="19"/>
        <v>399070000000006</v>
      </c>
      <c r="CE72" s="203"/>
      <c r="CF72" s="224" t="s">
        <v>231</v>
      </c>
      <c r="CG72" s="55"/>
      <c r="CH72" s="203">
        <f t="shared" si="21"/>
        <v>6</v>
      </c>
      <c r="CI72" s="55"/>
      <c r="CJ72" s="203"/>
      <c r="CK72" s="55"/>
      <c r="CL72" s="55"/>
      <c r="CM72" s="55"/>
      <c r="CN72" s="55"/>
      <c r="CO72" s="55"/>
      <c r="CP72" s="55"/>
      <c r="CQ72" s="55"/>
      <c r="CR72" s="55"/>
      <c r="CS72" s="55"/>
      <c r="CT72" s="55"/>
      <c r="CU72" s="55"/>
      <c r="CW72" s="55"/>
      <c r="CX72" s="206"/>
      <c r="CY72" s="206"/>
      <c r="CZ72" s="206"/>
    </row>
    <row r="73" spans="1:104">
      <c r="A73" s="2">
        <v>84</v>
      </c>
      <c r="B73" s="6">
        <f>VLOOKUP(A73,Spiele!$A$1:$L$116,2,FALSE)</f>
        <v>46205.5</v>
      </c>
      <c r="C73" s="6" t="str">
        <f>VLOOKUP(A73,Spiele!$A$1:$L$116,9,FALSE)</f>
        <v>Los Angeles</v>
      </c>
      <c r="D73" s="233" t="str">
        <f ca="1">M47</f>
        <v>Uruguay</v>
      </c>
      <c r="E73" s="15" t="s">
        <v>24</v>
      </c>
      <c r="F73" s="227" t="str">
        <f ca="1">BM38</f>
        <v>Algerien</v>
      </c>
      <c r="G73" s="17"/>
      <c r="H73" s="107">
        <f ca="1">IF($B$102&lt;&gt;"","",IF($B$101&lt;&gt;"",IF(Ergebnisse!H73="","",Ergebnisse!H73),IF($B$99="",2,INT(RAND()*5)+INT(RAND()*3)*INT(RAND()*2))))</f>
        <v>0</v>
      </c>
      <c r="I73" s="11" t="s">
        <v>25</v>
      </c>
      <c r="J73" s="107">
        <f ca="1">IF($B$102&lt;&gt;"","",IF($B$101&lt;&gt;"",IF(Ergebnisse!J73="","",Ergebnisse!J73),IF($B$99="",1,H73+IF(H73=0,1,IF(H73=9,-1,CHOOSE(INT(RAND()*2)+1,1,-1))))))</f>
        <v>1</v>
      </c>
      <c r="K73" s="7" t="str">
        <f t="shared" ca="1" si="12"/>
        <v>ok</v>
      </c>
      <c r="L73" s="1"/>
      <c r="M73" s="242" t="str">
        <f t="shared" ca="1" si="13"/>
        <v>Algerien</v>
      </c>
      <c r="N73" s="241" t="str">
        <f>N47</f>
        <v>1H</v>
      </c>
      <c r="O73" s="241" t="str">
        <f>BN38</f>
        <v>2J</v>
      </c>
      <c r="P73" s="241" t="s">
        <v>284</v>
      </c>
      <c r="Q73" s="184"/>
      <c r="R73" s="201"/>
      <c r="S73" s="4"/>
      <c r="T73" s="4"/>
      <c r="U73" s="4"/>
      <c r="V73" s="4"/>
      <c r="W73" s="4"/>
      <c r="X73" s="4"/>
      <c r="Z73" s="62"/>
      <c r="AC73" s="58"/>
      <c r="AE73" s="2"/>
      <c r="AF73" s="206"/>
      <c r="AG73" s="206"/>
      <c r="AH73" s="206"/>
      <c r="AI73" s="206"/>
      <c r="AJ73" s="206"/>
      <c r="AK73" s="206"/>
      <c r="AL73" s="206"/>
      <c r="AM73" s="206"/>
      <c r="AN73" s="206"/>
      <c r="AO73" s="206"/>
      <c r="AP73" s="206"/>
      <c r="AX73" s="206"/>
      <c r="AY73" s="206"/>
      <c r="AZ73" s="206"/>
      <c r="BB73" s="104" t="str">
        <f>FIFA!J1</f>
        <v>1L</v>
      </c>
      <c r="BC73" s="243" t="str">
        <f ca="1">IF(CJ73="",INDEX(FIFA!J:J, MATCH($BC$62, FIFA!B:B, 0)),CJ73)</f>
        <v>3K</v>
      </c>
      <c r="BD73" s="17" t="s">
        <v>285</v>
      </c>
      <c r="BF73" s="244" t="str">
        <f t="shared" ca="1" si="20"/>
        <v>DR Kongo</v>
      </c>
      <c r="BG73" s="55"/>
      <c r="BH73" s="245" t="str">
        <f t="shared" ca="1" si="14"/>
        <v>L</v>
      </c>
      <c r="BI73" s="241"/>
      <c r="BJ73" s="246">
        <f ca="1">SMALL(BR$66:BR$73,8)</f>
        <v>12</v>
      </c>
      <c r="BK73" s="1" t="str">
        <f t="shared" ca="1" si="15"/>
        <v>C</v>
      </c>
      <c r="BL73" s="1">
        <f t="shared" ca="1" si="16"/>
        <v>3</v>
      </c>
      <c r="BM73" s="175" t="str">
        <f ca="1">VLOOKUP(8,$BX$66:$CC$77,2,FALSE)</f>
        <v>Brasilien</v>
      </c>
      <c r="BN73" s="2">
        <f t="shared" ca="1" si="22"/>
        <v>3</v>
      </c>
      <c r="BO73" s="2">
        <f t="shared" ca="1" si="23"/>
        <v>9</v>
      </c>
      <c r="BP73" s="2">
        <f t="shared" ca="1" si="24"/>
        <v>7</v>
      </c>
      <c r="BQ73" s="2">
        <f t="shared" ca="1" si="25"/>
        <v>2</v>
      </c>
      <c r="BR73" s="1">
        <f t="shared" ca="1" si="17"/>
        <v>3</v>
      </c>
      <c r="BS73" s="247" t="str">
        <f ca="1">MID(VLOOKUP(8,$BX$66:$CF$77,9,FALSE),2,1)</f>
        <v>C</v>
      </c>
      <c r="BT73" s="55"/>
      <c r="BU73" s="55"/>
      <c r="BV73" s="55"/>
      <c r="BW73" s="55"/>
      <c r="BX73" s="62">
        <f t="shared" ca="1" si="18"/>
        <v>10</v>
      </c>
      <c r="BY73" s="153" t="str">
        <f ca="1">M44</f>
        <v>Kap Verde</v>
      </c>
      <c r="BZ73" s="55">
        <f ca="1">N44</f>
        <v>3</v>
      </c>
      <c r="CA73" s="55">
        <f ca="1">O44</f>
        <v>7</v>
      </c>
      <c r="CB73" s="55">
        <f ca="1">P44</f>
        <v>14</v>
      </c>
      <c r="CC73" s="55">
        <f ca="1">Q44</f>
        <v>-7</v>
      </c>
      <c r="CD73" s="174">
        <f t="shared" ca="1" si="19"/>
        <v>293070000000005</v>
      </c>
      <c r="CE73" s="203"/>
      <c r="CF73" s="229" t="s">
        <v>245</v>
      </c>
      <c r="CG73" s="55"/>
      <c r="CH73" s="203">
        <f t="shared" si="21"/>
        <v>5</v>
      </c>
      <c r="CI73" s="55"/>
      <c r="CJ73" s="203"/>
      <c r="CK73" s="55"/>
      <c r="CL73" s="55"/>
      <c r="CM73" s="55"/>
      <c r="CN73" s="55"/>
      <c r="CO73" s="55"/>
      <c r="CP73" s="55"/>
      <c r="CQ73" s="55"/>
      <c r="CR73" s="55"/>
      <c r="CS73" s="55"/>
      <c r="CT73" s="55"/>
      <c r="CU73" s="55"/>
      <c r="CW73" s="55"/>
      <c r="CX73" s="206"/>
      <c r="CY73" s="206"/>
      <c r="CZ73" s="206"/>
    </row>
    <row r="74" spans="1:104">
      <c r="A74" s="2">
        <v>83</v>
      </c>
      <c r="B74" s="6">
        <f>VLOOKUP(A74,Spiele!$A$1:$L$116,2,FALSE)</f>
        <v>46205.791666666664</v>
      </c>
      <c r="C74" s="6" t="str">
        <f>VLOOKUP(A74,Spiele!$A$1:$L$116,9,FALSE)</f>
        <v>Toronto</v>
      </c>
      <c r="D74" s="232" t="str">
        <f ca="1">BM48</f>
        <v>Usbekistan</v>
      </c>
      <c r="E74" s="15" t="s">
        <v>24</v>
      </c>
      <c r="F74" s="237" t="str">
        <f ca="1">BM58</f>
        <v>Panama</v>
      </c>
      <c r="G74" s="17"/>
      <c r="H74" s="107">
        <f ca="1">IF($B$102&lt;&gt;"","",IF($B$101&lt;&gt;"",IF(Ergebnisse!H74="","",Ergebnisse!H74),IF($B$99="",2,INT(RAND()*5)+INT(RAND()*3)*INT(RAND()*2))))</f>
        <v>2</v>
      </c>
      <c r="I74" s="11" t="s">
        <v>25</v>
      </c>
      <c r="J74" s="107">
        <f ca="1">IF($B$102&lt;&gt;"","",IF($B$101&lt;&gt;"",IF(Ergebnisse!J74="","",Ergebnisse!J74),IF($B$99="",1,H74+IF(H74=0,1,IF(H74=9,-1,CHOOSE(INT(RAND()*2)+1,1,-1))))))</f>
        <v>3</v>
      </c>
      <c r="K74" s="7" t="str">
        <f t="shared" ca="1" si="12"/>
        <v>ok</v>
      </c>
      <c r="L74" s="1"/>
      <c r="M74" s="242" t="str">
        <f t="shared" ca="1" si="13"/>
        <v>Panama</v>
      </c>
      <c r="N74" s="241" t="str">
        <f>BN48</f>
        <v>2K</v>
      </c>
      <c r="O74" s="241" t="str">
        <f>BN58</f>
        <v>2L</v>
      </c>
      <c r="P74" s="241" t="s">
        <v>286</v>
      </c>
      <c r="Q74" s="184"/>
      <c r="R74" s="201"/>
      <c r="S74" s="4"/>
      <c r="T74" s="4"/>
      <c r="U74" s="4"/>
      <c r="V74" s="4"/>
      <c r="W74" s="4"/>
      <c r="X74" s="4"/>
      <c r="Z74" s="62"/>
      <c r="AC74" s="58"/>
      <c r="AE74" s="2"/>
      <c r="AF74" s="206"/>
      <c r="AG74" s="206"/>
      <c r="AH74" s="206"/>
      <c r="AI74" s="206"/>
      <c r="AJ74" s="206"/>
      <c r="AK74" s="206"/>
      <c r="AL74" s="206"/>
      <c r="AM74" s="206"/>
      <c r="AN74" s="206"/>
      <c r="AO74" s="206"/>
      <c r="AP74" s="206"/>
      <c r="AX74" s="206"/>
      <c r="AY74" s="206"/>
      <c r="AZ74" s="206"/>
      <c r="BB74" s="55"/>
      <c r="BC74" s="55"/>
      <c r="BD74" s="62"/>
      <c r="BE74" s="55"/>
      <c r="BF74" s="55"/>
      <c r="BG74" s="55"/>
      <c r="BH74" s="2"/>
      <c r="BI74" s="2"/>
      <c r="BJ74" s="1"/>
      <c r="BK74" s="1" t="str">
        <f t="shared" ca="1" si="15"/>
        <v>J</v>
      </c>
      <c r="BL74" s="1">
        <f t="shared" ca="1" si="16"/>
        <v>10</v>
      </c>
      <c r="BM74" s="9" t="str">
        <f ca="1">VLOOKUP(9,$BX$66:$CC$77,2,FALSE)</f>
        <v>Jordanien</v>
      </c>
      <c r="BN74" s="2">
        <f t="shared" ca="1" si="22"/>
        <v>3</v>
      </c>
      <c r="BO74" s="2">
        <f t="shared" ca="1" si="23"/>
        <v>9</v>
      </c>
      <c r="BP74" s="2">
        <f t="shared" ca="1" si="24"/>
        <v>7</v>
      </c>
      <c r="BQ74" s="2">
        <f t="shared" ca="1" si="25"/>
        <v>2</v>
      </c>
      <c r="BR74" s="1">
        <f t="shared" ca="1" si="17"/>
        <v>10</v>
      </c>
      <c r="BS74" s="53" t="str">
        <f ca="1">MID(VLOOKUP(9,$BX$66:$CF$77,9,FALSE),2,1)</f>
        <v>J</v>
      </c>
      <c r="BT74" s="55"/>
      <c r="BU74" s="55"/>
      <c r="BV74" s="55"/>
      <c r="BW74" s="55"/>
      <c r="BX74" s="62">
        <f t="shared" ca="1" si="18"/>
        <v>3</v>
      </c>
      <c r="BY74" s="153" t="str">
        <f ca="1">M54</f>
        <v>Irak</v>
      </c>
      <c r="BZ74" s="55">
        <f ca="1">N54</f>
        <v>4</v>
      </c>
      <c r="CA74" s="55">
        <f ca="1">O54</f>
        <v>6</v>
      </c>
      <c r="CB74" s="55">
        <f ca="1">P54</f>
        <v>5</v>
      </c>
      <c r="CC74" s="55">
        <f ca="1">Q54</f>
        <v>1</v>
      </c>
      <c r="CD74" s="174">
        <f t="shared" ca="1" si="19"/>
        <v>401060000000004</v>
      </c>
      <c r="CE74" s="203"/>
      <c r="CF74" s="234" t="s">
        <v>258</v>
      </c>
      <c r="CG74" s="55"/>
      <c r="CH74" s="203">
        <f t="shared" si="21"/>
        <v>4</v>
      </c>
      <c r="CI74" s="55"/>
      <c r="CJ74" s="55"/>
      <c r="CK74" s="55"/>
      <c r="CL74" s="55"/>
      <c r="CM74" s="55"/>
      <c r="CN74" s="55"/>
      <c r="CO74" s="55"/>
      <c r="CP74" s="55"/>
      <c r="CQ74" s="55"/>
      <c r="CR74" s="55"/>
      <c r="CS74" s="55"/>
      <c r="CT74" s="55"/>
      <c r="CU74" s="55"/>
      <c r="CW74" s="55"/>
      <c r="CX74" s="206"/>
      <c r="CY74" s="206"/>
      <c r="CZ74" s="206"/>
    </row>
    <row r="75" spans="1:104">
      <c r="A75" s="2">
        <v>85</v>
      </c>
      <c r="B75" s="6">
        <f>VLOOKUP(A75,Spiele!$A$1:$L$116,2,FALSE)</f>
        <v>46205.833333333336</v>
      </c>
      <c r="C75" s="6" t="str">
        <f>VLOOKUP(A75,Spiele!$A$1:$L$116,9,FALSE)</f>
        <v>Vancouver</v>
      </c>
      <c r="D75" s="37" t="str">
        <f ca="1">M17</f>
        <v>Kanada</v>
      </c>
      <c r="E75" s="15" t="s">
        <v>24</v>
      </c>
      <c r="F75" s="34" t="str">
        <f ca="1">VLOOKUP(R75,$BC$66:$BF$73,4,FALSE)</f>
        <v>Belgien</v>
      </c>
      <c r="G75" s="17"/>
      <c r="H75" s="107">
        <f ca="1">IF($B$102&lt;&gt;"","",IF($B$101&lt;&gt;"",IF(Ergebnisse!H75="","",Ergebnisse!H75),IF($B$99="",2,INT(RAND()*5)+INT(RAND()*3)*INT(RAND()*2))))</f>
        <v>0</v>
      </c>
      <c r="I75" s="11" t="s">
        <v>25</v>
      </c>
      <c r="J75" s="107">
        <f ca="1">IF($B$102&lt;&gt;"","",IF($B$101&lt;&gt;"",IF(Ergebnisse!J75="","",Ergebnisse!J75),IF($B$99="",1,H75+IF(H75=0,1,IF(H75=9,-1,CHOOSE(INT(RAND()*2)+1,1,-1))))))</f>
        <v>1</v>
      </c>
      <c r="K75" s="7" t="str">
        <f t="shared" ca="1" si="12"/>
        <v>ok</v>
      </c>
      <c r="L75" s="1"/>
      <c r="M75" s="249" t="str">
        <f t="shared" ca="1" si="13"/>
        <v>Belgien</v>
      </c>
      <c r="N75" s="241" t="str">
        <f>N17</f>
        <v>1B</v>
      </c>
      <c r="O75" s="241" t="str">
        <f ca="1">R75</f>
        <v>3G</v>
      </c>
      <c r="P75" s="241" t="s">
        <v>287</v>
      </c>
      <c r="Q75" s="184"/>
      <c r="R75" s="243" t="str">
        <f ca="1">VLOOKUP(N75,BB$66:BC$73,2,FALSE)</f>
        <v>3G</v>
      </c>
      <c r="S75" s="4"/>
      <c r="T75" s="4"/>
      <c r="U75" s="4"/>
      <c r="V75" s="4"/>
      <c r="W75" s="4"/>
      <c r="X75" s="4"/>
      <c r="Z75" s="62"/>
      <c r="AC75" s="58"/>
      <c r="AE75" s="2"/>
      <c r="AF75" s="206"/>
      <c r="AG75" s="206"/>
      <c r="AH75" s="206"/>
      <c r="AI75" s="206"/>
      <c r="AJ75" s="206"/>
      <c r="AK75" s="206"/>
      <c r="AL75" s="206"/>
      <c r="AM75" s="206"/>
      <c r="AN75" s="206"/>
      <c r="AO75" s="206"/>
      <c r="AP75" s="206"/>
      <c r="AX75" s="206"/>
      <c r="AY75" s="206"/>
      <c r="AZ75" s="206"/>
      <c r="BB75" s="55"/>
      <c r="BC75" s="55"/>
      <c r="BD75" s="55"/>
      <c r="BE75" s="55"/>
      <c r="BF75" s="55"/>
      <c r="BG75" s="55"/>
      <c r="BH75" s="2"/>
      <c r="BI75" s="2"/>
      <c r="BK75" s="1" t="str">
        <f t="shared" ca="1" si="15"/>
        <v>H</v>
      </c>
      <c r="BL75" s="1">
        <f t="shared" ca="1" si="16"/>
        <v>8</v>
      </c>
      <c r="BM75" s="9" t="str">
        <f ca="1">VLOOKUP(10,$BX$66:$CC$77,2,FALSE)</f>
        <v>Kap Verde</v>
      </c>
      <c r="BN75" s="2">
        <f t="shared" ca="1" si="22"/>
        <v>3</v>
      </c>
      <c r="BO75" s="2">
        <f t="shared" ca="1" si="23"/>
        <v>9</v>
      </c>
      <c r="BP75" s="2">
        <f t="shared" ca="1" si="24"/>
        <v>7</v>
      </c>
      <c r="BQ75" s="2">
        <f t="shared" ca="1" si="25"/>
        <v>2</v>
      </c>
      <c r="BR75" s="1">
        <f t="shared" ca="1" si="17"/>
        <v>8</v>
      </c>
      <c r="BS75" s="53" t="str">
        <f ca="1">MID(VLOOKUP(10,$BX$66:$CF$77,9,FALSE),2,1)</f>
        <v>H</v>
      </c>
      <c r="BT75" s="55"/>
      <c r="BU75" s="55"/>
      <c r="BV75" s="55"/>
      <c r="BW75" s="55"/>
      <c r="BX75" s="62">
        <f t="shared" ca="1" si="18"/>
        <v>9</v>
      </c>
      <c r="BY75" s="153" t="str">
        <f ca="1">BM34</f>
        <v>Jordanien</v>
      </c>
      <c r="BZ75" s="55">
        <f ca="1">BN34</f>
        <v>3</v>
      </c>
      <c r="CA75" s="55">
        <f ca="1">BO34</f>
        <v>4</v>
      </c>
      <c r="CB75" s="55">
        <f ca="1">BP34</f>
        <v>7</v>
      </c>
      <c r="CC75" s="55">
        <f ca="1">BQ34</f>
        <v>-3</v>
      </c>
      <c r="CD75" s="174">
        <f t="shared" ca="1" si="19"/>
        <v>297040000000003</v>
      </c>
      <c r="CE75" s="203"/>
      <c r="CF75" s="226" t="s">
        <v>232</v>
      </c>
      <c r="CG75" s="55"/>
      <c r="CH75" s="203">
        <f t="shared" si="21"/>
        <v>3</v>
      </c>
      <c r="CI75" s="55"/>
      <c r="CJ75" s="55"/>
      <c r="CK75" s="55"/>
      <c r="CL75" s="55"/>
      <c r="CM75" s="55"/>
      <c r="CN75" s="55"/>
      <c r="CO75" s="55"/>
      <c r="CP75" s="55"/>
      <c r="CQ75" s="55"/>
      <c r="CR75" s="55"/>
      <c r="CS75" s="55"/>
      <c r="CT75" s="55"/>
      <c r="CU75" s="55"/>
      <c r="CW75" s="55"/>
      <c r="CX75" s="206"/>
      <c r="CY75" s="206"/>
      <c r="CZ75" s="206"/>
    </row>
    <row r="76" spans="1:104">
      <c r="A76" s="2">
        <v>88</v>
      </c>
      <c r="B76" s="6">
        <f>VLOOKUP(A76,Spiele!$A$1:$L$116,2,FALSE)</f>
        <v>46206.541666666672</v>
      </c>
      <c r="C76" s="6" t="str">
        <f>VLOOKUP(A76,Spiele!$A$1:$L$116,9,FALSE)</f>
        <v>Dallas</v>
      </c>
      <c r="D76" s="177" t="str">
        <f ca="1">BM8</f>
        <v>Australien</v>
      </c>
      <c r="E76" s="15" t="s">
        <v>24</v>
      </c>
      <c r="F76" s="228" t="str">
        <f ca="1">M38</f>
        <v>IR Iran</v>
      </c>
      <c r="G76" s="17"/>
      <c r="H76" s="107">
        <f ca="1">IF($B$102&lt;&gt;"","",IF($B$101&lt;&gt;"",IF(Ergebnisse!H76="","",Ergebnisse!H76),IF($B$99="",2,INT(RAND()*5)+INT(RAND()*3)*INT(RAND()*2))))</f>
        <v>2</v>
      </c>
      <c r="I76" s="11" t="s">
        <v>25</v>
      </c>
      <c r="J76" s="107">
        <f ca="1">IF($B$102&lt;&gt;"","",IF($B$101&lt;&gt;"",IF(Ergebnisse!J76="","",Ergebnisse!J76),IF($B$99="",1,H76+IF(H76=0,1,IF(H76=9,-1,CHOOSE(INT(RAND()*2)+1,1,-1))))))</f>
        <v>1</v>
      </c>
      <c r="K76" s="7" t="str">
        <f t="shared" ca="1" si="12"/>
        <v>ok</v>
      </c>
      <c r="L76" s="1"/>
      <c r="M76" s="249" t="str">
        <f t="shared" ca="1" si="13"/>
        <v>Australien</v>
      </c>
      <c r="N76" s="241" t="str">
        <f>BN8</f>
        <v>2D</v>
      </c>
      <c r="O76" s="241" t="str">
        <f>N38</f>
        <v>2G</v>
      </c>
      <c r="P76" s="241" t="s">
        <v>288</v>
      </c>
      <c r="Q76" s="184"/>
      <c r="R76" s="201"/>
      <c r="S76" s="4"/>
      <c r="T76" s="4"/>
      <c r="U76" s="4"/>
      <c r="V76" s="4"/>
      <c r="W76" s="4"/>
      <c r="X76" s="4"/>
      <c r="Z76" s="62"/>
      <c r="AC76" s="58"/>
      <c r="AE76" s="2"/>
      <c r="AF76" s="206"/>
      <c r="AG76" s="206"/>
      <c r="AH76" s="206"/>
      <c r="AI76" s="206"/>
      <c r="AJ76" s="206"/>
      <c r="AK76" s="206"/>
      <c r="AL76" s="206"/>
      <c r="AM76" s="206"/>
      <c r="AN76" s="206"/>
      <c r="AO76" s="206"/>
      <c r="AP76" s="206"/>
      <c r="AX76" s="206"/>
      <c r="AY76" s="206"/>
      <c r="AZ76" s="206"/>
      <c r="BB76" s="58"/>
      <c r="BC76" s="55"/>
      <c r="BD76" s="55"/>
      <c r="BE76" s="55"/>
      <c r="BF76" s="55"/>
      <c r="BG76" s="55"/>
      <c r="BH76" s="2"/>
      <c r="BI76" s="2"/>
      <c r="BJ76" s="1"/>
      <c r="BK76" s="1" t="str">
        <f t="shared" ca="1" si="15"/>
        <v>B</v>
      </c>
      <c r="BL76" s="1">
        <f t="shared" ca="1" si="16"/>
        <v>2</v>
      </c>
      <c r="BM76" s="9" t="str">
        <f ca="1">VLOOKUP(11,$BX$66:$CC$77,2,FALSE)</f>
        <v>Katar</v>
      </c>
      <c r="BN76" s="2">
        <f t="shared" ca="1" si="22"/>
        <v>3</v>
      </c>
      <c r="BO76" s="2">
        <f t="shared" ca="1" si="23"/>
        <v>9</v>
      </c>
      <c r="BP76" s="2">
        <f t="shared" ca="1" si="24"/>
        <v>7</v>
      </c>
      <c r="BQ76" s="2">
        <f t="shared" ca="1" si="25"/>
        <v>2</v>
      </c>
      <c r="BR76" s="1">
        <f t="shared" ca="1" si="17"/>
        <v>2</v>
      </c>
      <c r="BS76" s="53" t="str">
        <f ca="1">MID(VLOOKUP(11,$BX$66:$CF$77,9,FALSE),2,1)</f>
        <v>B</v>
      </c>
      <c r="BT76" s="55"/>
      <c r="BU76" s="55"/>
      <c r="BV76" s="55"/>
      <c r="BW76" s="55"/>
      <c r="BX76" s="62">
        <f t="shared" ca="1" si="18"/>
        <v>2</v>
      </c>
      <c r="BY76" s="153" t="str">
        <f ca="1">BM44</f>
        <v>DR Kongo</v>
      </c>
      <c r="BZ76" s="55">
        <f ca="1">BN44</f>
        <v>6</v>
      </c>
      <c r="CA76" s="55">
        <f ca="1">BO44</f>
        <v>8</v>
      </c>
      <c r="CB76" s="55">
        <f ca="1">BP44</f>
        <v>9</v>
      </c>
      <c r="CC76" s="55">
        <f ca="1">BQ44</f>
        <v>-1</v>
      </c>
      <c r="CD76" s="174">
        <f t="shared" ca="1" si="19"/>
        <v>599080000000002</v>
      </c>
      <c r="CE76" s="203"/>
      <c r="CF76" s="231" t="s">
        <v>246</v>
      </c>
      <c r="CG76" s="55"/>
      <c r="CH76" s="203">
        <f t="shared" si="21"/>
        <v>2</v>
      </c>
      <c r="CI76" s="55"/>
      <c r="CJ76" s="55"/>
      <c r="CK76" s="55"/>
      <c r="CL76" s="55"/>
      <c r="CM76" s="55"/>
      <c r="CN76" s="55"/>
      <c r="CO76" s="55"/>
      <c r="CP76" s="55"/>
      <c r="CQ76" s="55"/>
      <c r="CR76" s="55"/>
      <c r="CS76" s="55"/>
      <c r="CT76" s="55"/>
      <c r="CU76" s="55"/>
      <c r="CW76" s="55"/>
      <c r="CX76" s="206"/>
      <c r="CY76" s="206"/>
      <c r="CZ76" s="206"/>
    </row>
    <row r="77" spans="1:104">
      <c r="A77" s="2">
        <v>86</v>
      </c>
      <c r="B77" s="6">
        <f>VLOOKUP(A77,Spiele!$A$1:$L$116,2,FALSE)</f>
        <v>46206.75</v>
      </c>
      <c r="C77" s="6" t="str">
        <f>VLOOKUP(A77,Spiele!$A$1:$L$116,9,FALSE)</f>
        <v>Miami</v>
      </c>
      <c r="D77" s="227" t="str">
        <f ca="1">BM37</f>
        <v>Argentinien</v>
      </c>
      <c r="E77" s="15" t="s">
        <v>24</v>
      </c>
      <c r="F77" s="233" t="str">
        <f ca="1">M48</f>
        <v>Spanien</v>
      </c>
      <c r="G77" s="17"/>
      <c r="H77" s="107">
        <f ca="1">IF($B$102&lt;&gt;"","",IF($B$101&lt;&gt;"",IF(Ergebnisse!H77="","",Ergebnisse!H77),IF($B$99="",2,INT(RAND()*5)+INT(RAND()*3)*INT(RAND()*2))))</f>
        <v>3</v>
      </c>
      <c r="I77" s="11" t="s">
        <v>25</v>
      </c>
      <c r="J77" s="107">
        <f ca="1">IF($B$102&lt;&gt;"","",IF($B$101&lt;&gt;"",IF(Ergebnisse!J77="","",Ergebnisse!J77),IF($B$99="",1,H77+IF(H77=0,1,IF(H77=9,-1,CHOOSE(INT(RAND()*2)+1,1,-1))))))</f>
        <v>2</v>
      </c>
      <c r="K77" s="7" t="str">
        <f t="shared" ca="1" si="12"/>
        <v>ok</v>
      </c>
      <c r="L77" s="1"/>
      <c r="M77" s="252" t="str">
        <f t="shared" ca="1" si="13"/>
        <v>Argentinien</v>
      </c>
      <c r="N77" s="241" t="str">
        <f>BN37</f>
        <v>1J</v>
      </c>
      <c r="O77" s="241" t="str">
        <f>N48</f>
        <v>2H</v>
      </c>
      <c r="P77" s="241" t="s">
        <v>289</v>
      </c>
      <c r="Q77" s="184"/>
      <c r="R77" s="201"/>
      <c r="S77" s="4"/>
      <c r="T77" s="4"/>
      <c r="U77" s="4"/>
      <c r="V77" s="4"/>
      <c r="W77" s="4"/>
      <c r="X77" s="4"/>
      <c r="Z77" s="62"/>
      <c r="AC77" s="58"/>
      <c r="AE77" s="2"/>
      <c r="AF77" s="206"/>
      <c r="AG77" s="206"/>
      <c r="AH77" s="206"/>
      <c r="AI77" s="206"/>
      <c r="AJ77" s="206"/>
      <c r="AK77" s="206"/>
      <c r="AL77" s="206"/>
      <c r="AM77" s="206"/>
      <c r="AN77" s="206"/>
      <c r="AO77" s="206"/>
      <c r="AP77" s="206"/>
      <c r="AX77" s="206"/>
      <c r="AY77" s="206"/>
      <c r="AZ77" s="206"/>
      <c r="BB77" s="254"/>
      <c r="BC77" s="55"/>
      <c r="BE77" s="55"/>
      <c r="BF77" s="55"/>
      <c r="BG77" s="55"/>
      <c r="BH77" s="2"/>
      <c r="BI77" s="2"/>
      <c r="BK77" s="1" t="str">
        <f t="shared" ca="1" si="15"/>
        <v>D</v>
      </c>
      <c r="BL77" s="1">
        <f t="shared" ca="1" si="16"/>
        <v>4</v>
      </c>
      <c r="BM77" s="9" t="str">
        <f ca="1">VLOOKUP(12,$BX$66:$CC$77,2,FALSE)</f>
        <v>USA</v>
      </c>
      <c r="BN77" s="2">
        <f t="shared" ca="1" si="22"/>
        <v>3</v>
      </c>
      <c r="BO77" s="2">
        <f t="shared" ca="1" si="23"/>
        <v>9</v>
      </c>
      <c r="BP77" s="2">
        <f t="shared" ca="1" si="24"/>
        <v>7</v>
      </c>
      <c r="BQ77" s="2">
        <f t="shared" ca="1" si="25"/>
        <v>2</v>
      </c>
      <c r="BR77" s="1">
        <f t="shared" ca="1" si="17"/>
        <v>4</v>
      </c>
      <c r="BS77" s="53" t="str">
        <f ca="1">MID(VLOOKUP(12,$BX$66:$CF$77,9,FALSE),2,1)</f>
        <v>D</v>
      </c>
      <c r="BT77" s="55"/>
      <c r="BU77" s="55"/>
      <c r="BV77" s="55"/>
      <c r="BW77" s="55"/>
      <c r="BX77" s="62">
        <f t="shared" ca="1" si="18"/>
        <v>5</v>
      </c>
      <c r="BY77" s="153" t="str">
        <f ca="1">BM54</f>
        <v>Kroatien</v>
      </c>
      <c r="BZ77" s="55">
        <f ca="1">BN54</f>
        <v>4</v>
      </c>
      <c r="CA77" s="55">
        <f ca="1">BO54</f>
        <v>7</v>
      </c>
      <c r="CB77" s="55">
        <f ca="1">BP54</f>
        <v>9</v>
      </c>
      <c r="CC77" s="55">
        <f ca="1">BQ54</f>
        <v>-2</v>
      </c>
      <c r="CD77" s="174">
        <f t="shared" ca="1" si="19"/>
        <v>398070000000001</v>
      </c>
      <c r="CE77" s="203"/>
      <c r="CF77" s="236" t="s">
        <v>259</v>
      </c>
      <c r="CG77" s="55"/>
      <c r="CH77" s="203">
        <f t="shared" si="21"/>
        <v>1</v>
      </c>
      <c r="CI77" s="55"/>
      <c r="CJ77" s="55"/>
      <c r="CK77" s="55"/>
      <c r="CL77" s="55"/>
      <c r="CM77" s="55"/>
      <c r="CN77" s="55"/>
      <c r="CO77" s="55"/>
      <c r="CP77" s="55"/>
      <c r="CQ77" s="55"/>
      <c r="CR77" s="55"/>
      <c r="CS77" s="55"/>
      <c r="CT77" s="55"/>
      <c r="CU77" s="55"/>
      <c r="CW77" s="55"/>
      <c r="CX77" s="206"/>
      <c r="CY77" s="206"/>
      <c r="CZ77" s="206"/>
    </row>
    <row r="78" spans="1:104">
      <c r="A78" s="2">
        <v>87</v>
      </c>
      <c r="B78" s="6">
        <f>VLOOKUP(A78,Spiele!$A$1:$L$116,2,FALSE)</f>
        <v>46206.854166666672</v>
      </c>
      <c r="C78" s="6" t="str">
        <f>VLOOKUP(A78,Spiele!$A$1:$L$116,9,FALSE)</f>
        <v>Kansas City</v>
      </c>
      <c r="D78" s="232" t="str">
        <f ca="1">BM47</f>
        <v>Portugal</v>
      </c>
      <c r="E78" s="15" t="s">
        <v>24</v>
      </c>
      <c r="F78" s="34" t="str">
        <f ca="1">VLOOKUP(R78,$BC$66:$BF$73,4,FALSE)</f>
        <v>Kroatien</v>
      </c>
      <c r="G78" s="17"/>
      <c r="H78" s="107">
        <f ca="1">IF($B$102&lt;&gt;"","",IF($B$101&lt;&gt;"",IF(Ergebnisse!H78="","",Ergebnisse!H78),IF($B$99="",2,INT(RAND()*5)+INT(RAND()*3)*INT(RAND()*2))))</f>
        <v>1</v>
      </c>
      <c r="I78" s="11" t="s">
        <v>25</v>
      </c>
      <c r="J78" s="107">
        <f ca="1">IF($B$102&lt;&gt;"","",IF($B$101&lt;&gt;"",IF(Ergebnisse!J78="","",Ergebnisse!J78),IF($B$99="",1,H78+IF(H78=0,1,IF(H78=9,-1,CHOOSE(INT(RAND()*2)+1,1,-1))))))</f>
        <v>2</v>
      </c>
      <c r="K78" s="7" t="str">
        <f t="shared" ca="1" si="12"/>
        <v>ok</v>
      </c>
      <c r="L78" s="1"/>
      <c r="M78" s="252" t="str">
        <f t="shared" ca="1" si="13"/>
        <v>Kroatien</v>
      </c>
      <c r="N78" s="241" t="str">
        <f>BN47</f>
        <v>1K</v>
      </c>
      <c r="O78" s="241" t="str">
        <f ca="1">R78</f>
        <v>3L</v>
      </c>
      <c r="P78" s="241" t="s">
        <v>290</v>
      </c>
      <c r="Q78" s="184"/>
      <c r="R78" s="243" t="str">
        <f ca="1">VLOOKUP(N78,BB$66:BC$73,2,FALSE)</f>
        <v>3L</v>
      </c>
      <c r="S78" s="4"/>
      <c r="T78" s="4"/>
      <c r="U78" s="4"/>
      <c r="V78" s="4"/>
      <c r="W78" s="4"/>
      <c r="X78" s="4"/>
      <c r="Z78" s="62"/>
      <c r="AC78" s="58"/>
      <c r="AE78" s="2"/>
      <c r="AF78" s="206"/>
      <c r="AG78" s="206"/>
      <c r="AH78" s="206"/>
      <c r="AI78" s="206"/>
      <c r="AJ78" s="206"/>
      <c r="AK78" s="206"/>
      <c r="AL78" s="206"/>
      <c r="AM78" s="206"/>
      <c r="AN78" s="206"/>
      <c r="AO78" s="206"/>
      <c r="AP78" s="206"/>
      <c r="AX78" s="206"/>
      <c r="AY78" s="206"/>
      <c r="AZ78" s="206"/>
      <c r="BB78" s="58"/>
      <c r="BC78" s="55"/>
      <c r="BD78" s="55"/>
      <c r="BE78" s="55"/>
      <c r="BF78" s="55"/>
      <c r="BG78" s="55"/>
      <c r="BH78" s="2"/>
      <c r="BI78" s="2"/>
      <c r="BJ78" s="1"/>
      <c r="BK78" s="2"/>
      <c r="BM78" s="2"/>
      <c r="BS78" s="55"/>
      <c r="BT78" s="55"/>
      <c r="BU78" s="55"/>
      <c r="BV78" s="55"/>
      <c r="BW78" s="55"/>
      <c r="BX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c r="CW78" s="55"/>
      <c r="CX78" s="206"/>
      <c r="CY78" s="206"/>
      <c r="CZ78" s="206"/>
    </row>
    <row r="79" spans="1:104">
      <c r="B79" s="6"/>
      <c r="C79" s="6"/>
      <c r="D79" s="4"/>
      <c r="E79" s="15"/>
      <c r="F79" s="4"/>
      <c r="G79" s="4"/>
      <c r="H79" s="4"/>
      <c r="I79" s="4"/>
      <c r="J79" s="4"/>
      <c r="L79" s="4"/>
      <c r="M79" s="4"/>
      <c r="N79" s="4"/>
      <c r="O79" s="4"/>
      <c r="P79" s="4"/>
      <c r="Q79" s="4"/>
      <c r="R79" s="4"/>
      <c r="S79" s="4"/>
      <c r="T79" s="4"/>
      <c r="U79" s="4"/>
      <c r="V79" s="4"/>
      <c r="W79" s="4"/>
      <c r="X79" s="4"/>
      <c r="Y79" s="4"/>
      <c r="Z79" s="4"/>
      <c r="AA79" s="4"/>
      <c r="AB79" s="4"/>
      <c r="AC79" s="58"/>
      <c r="AF79" s="206"/>
      <c r="AG79" s="206"/>
      <c r="AH79" s="206"/>
      <c r="AI79" s="206"/>
      <c r="AJ79" s="206"/>
      <c r="AK79" s="206"/>
      <c r="AL79" s="206"/>
      <c r="AM79" s="206"/>
      <c r="AN79" s="206"/>
      <c r="AO79" s="206"/>
      <c r="AP79" s="206"/>
      <c r="AX79" s="206"/>
      <c r="AY79" s="206"/>
      <c r="AZ79" s="206"/>
      <c r="BB79" s="58"/>
      <c r="BH79" s="2"/>
      <c r="BI79" s="2"/>
      <c r="BJ79" s="1"/>
      <c r="BK79" s="2"/>
      <c r="BM79" s="2"/>
      <c r="BS79" s="55"/>
      <c r="BT79" s="55"/>
      <c r="BU79" s="55"/>
      <c r="BV79" s="55"/>
      <c r="BW79" s="55"/>
      <c r="BX79" s="55"/>
      <c r="BZ79" s="55"/>
      <c r="CA79" s="55"/>
      <c r="CB79" s="55"/>
      <c r="CC79" s="55"/>
      <c r="CD79" s="55" t="s">
        <v>140</v>
      </c>
      <c r="CE79" s="55"/>
      <c r="CF79" s="55"/>
      <c r="CG79" s="55"/>
      <c r="CH79" s="55"/>
      <c r="CI79" s="55"/>
      <c r="CJ79" s="55"/>
      <c r="CK79" s="55"/>
      <c r="CL79" s="55"/>
      <c r="CM79" s="55"/>
      <c r="CN79" s="55"/>
      <c r="CO79" s="55"/>
      <c r="CP79" s="55"/>
      <c r="CQ79" s="55"/>
      <c r="CR79" s="55"/>
      <c r="CS79" s="55"/>
      <c r="CT79" s="55"/>
      <c r="CU79" s="55"/>
      <c r="CV79" s="55"/>
      <c r="CW79" s="55"/>
      <c r="CX79" s="206"/>
      <c r="CY79" s="206"/>
      <c r="CZ79" s="206"/>
    </row>
    <row r="80" spans="1:104">
      <c r="B80" s="17" t="s">
        <v>43</v>
      </c>
      <c r="C80" s="21"/>
      <c r="D80" s="17"/>
      <c r="E80" s="15"/>
      <c r="F80" s="4"/>
      <c r="G80" s="4"/>
      <c r="H80" s="4"/>
      <c r="I80" s="4"/>
      <c r="J80" s="4"/>
      <c r="L80" s="17"/>
      <c r="M80" s="21"/>
      <c r="N80" s="17"/>
      <c r="O80" s="17"/>
      <c r="P80" s="17"/>
      <c r="Q80" s="17"/>
      <c r="R80" s="17"/>
      <c r="S80" s="62"/>
      <c r="T80" s="62"/>
      <c r="U80" s="62"/>
      <c r="V80" s="62"/>
      <c r="W80" s="62"/>
      <c r="Y80" s="206"/>
      <c r="Z80" s="206"/>
      <c r="AA80" s="206"/>
      <c r="AB80" s="206"/>
      <c r="AC80" s="206"/>
      <c r="AE80" s="108"/>
      <c r="AF80" s="206"/>
      <c r="AG80" s="206"/>
      <c r="AH80" s="206"/>
      <c r="AI80" s="206"/>
      <c r="AJ80" s="206"/>
      <c r="AK80" s="206"/>
      <c r="AL80" s="206"/>
      <c r="AM80" s="206"/>
      <c r="AN80" s="206"/>
      <c r="AO80" s="206"/>
      <c r="AP80" s="206"/>
      <c r="AX80" s="206"/>
      <c r="AY80" s="206"/>
      <c r="AZ80" s="206"/>
      <c r="BB80" s="255" t="s">
        <v>44</v>
      </c>
      <c r="BH80" s="2"/>
      <c r="BI80" s="2"/>
      <c r="BJ80" s="1"/>
      <c r="BK80" s="2"/>
      <c r="BM80" s="2"/>
      <c r="BS80" s="55"/>
      <c r="BT80" s="55"/>
      <c r="BU80" s="55"/>
      <c r="BV80" s="55"/>
      <c r="BW80" s="55"/>
      <c r="BX80" s="55"/>
      <c r="BZ80" s="55"/>
      <c r="CA80" s="55"/>
      <c r="CB80" s="55"/>
      <c r="CC80" s="55"/>
      <c r="CD80" s="58" t="s">
        <v>291</v>
      </c>
      <c r="CE80" s="55"/>
      <c r="CF80" s="55"/>
      <c r="CG80" s="55"/>
      <c r="CH80" s="55"/>
      <c r="CI80" s="55"/>
      <c r="CJ80" s="55"/>
      <c r="CK80" s="55"/>
      <c r="CL80" s="55"/>
      <c r="CM80" s="55"/>
      <c r="CN80" s="55"/>
      <c r="CO80" s="55"/>
      <c r="CP80" s="55"/>
      <c r="CQ80" s="55"/>
      <c r="CR80" s="55"/>
      <c r="CS80" s="55"/>
      <c r="CT80" s="55"/>
      <c r="CU80" s="55"/>
      <c r="CV80" s="55"/>
      <c r="CW80" s="55"/>
      <c r="CX80" s="206"/>
      <c r="CY80" s="206"/>
      <c r="CZ80" s="206"/>
    </row>
    <row r="81" spans="1:104">
      <c r="B81" s="3" t="s">
        <v>22</v>
      </c>
      <c r="C81" s="3" t="s">
        <v>23</v>
      </c>
      <c r="D81" s="17"/>
      <c r="E81" s="15"/>
      <c r="F81" s="4"/>
      <c r="G81" s="4"/>
      <c r="H81" s="4"/>
      <c r="I81" s="4"/>
      <c r="J81" s="4"/>
      <c r="L81" s="1"/>
      <c r="M81" s="3"/>
      <c r="N81" s="1"/>
      <c r="O81" s="1"/>
      <c r="P81" s="1"/>
      <c r="Q81" s="1"/>
      <c r="S81" s="62"/>
      <c r="T81" s="62"/>
      <c r="U81" s="62"/>
      <c r="V81" s="62"/>
      <c r="W81" s="62"/>
      <c r="Y81" s="206"/>
      <c r="Z81" s="206"/>
      <c r="AA81" s="206"/>
      <c r="AB81" s="206"/>
      <c r="AC81" s="206"/>
      <c r="AF81" s="206"/>
      <c r="AG81" s="206"/>
      <c r="AH81" s="206"/>
      <c r="AI81" s="206"/>
      <c r="AJ81" s="206"/>
      <c r="AK81" s="206"/>
      <c r="AL81" s="206"/>
      <c r="AM81" s="206"/>
      <c r="AN81" s="206"/>
      <c r="AO81" s="206"/>
      <c r="AP81" s="206"/>
      <c r="AX81" s="206"/>
      <c r="AY81" s="206"/>
      <c r="AZ81" s="206"/>
      <c r="BB81" s="3" t="s">
        <v>22</v>
      </c>
      <c r="BC81" s="3" t="s">
        <v>23</v>
      </c>
      <c r="BD81" s="14"/>
      <c r="BE81" s="14"/>
      <c r="BF81" s="14"/>
      <c r="BG81" s="17"/>
      <c r="BH81" s="20"/>
      <c r="BI81" s="11"/>
      <c r="BJ81" s="67"/>
      <c r="BK81" s="181"/>
      <c r="BL81" s="1"/>
      <c r="BM81" s="3"/>
      <c r="BP81" s="1"/>
      <c r="BQ81" s="1"/>
      <c r="BR81" s="1"/>
      <c r="BS81" s="62"/>
      <c r="BT81" s="62"/>
      <c r="BU81" s="62"/>
      <c r="BV81" s="62"/>
      <c r="BW81" s="62"/>
      <c r="BX81" s="62"/>
      <c r="BY81" s="206"/>
      <c r="BZ81" s="206"/>
      <c r="CA81" s="206"/>
      <c r="CB81" s="206"/>
      <c r="CC81" s="206"/>
      <c r="CD81" s="206" t="s">
        <v>292</v>
      </c>
      <c r="CE81" s="206"/>
      <c r="CF81" s="206"/>
      <c r="CG81" s="206"/>
      <c r="CH81" s="206"/>
      <c r="CI81" s="206"/>
      <c r="CJ81" s="206"/>
      <c r="CK81" s="206"/>
      <c r="CL81" s="206"/>
      <c r="CM81" s="206"/>
      <c r="CN81" s="206"/>
      <c r="CO81" s="206"/>
      <c r="CP81" s="55"/>
      <c r="CQ81" s="55"/>
      <c r="CR81" s="55"/>
      <c r="CS81" s="55"/>
      <c r="CT81" s="55"/>
      <c r="CU81" s="55"/>
      <c r="CV81" s="55"/>
      <c r="CW81" s="55"/>
      <c r="CX81" s="206"/>
      <c r="CY81" s="206"/>
      <c r="CZ81" s="206"/>
    </row>
    <row r="82" spans="1:104">
      <c r="A82" s="2">
        <v>89</v>
      </c>
      <c r="B82" s="6">
        <f>VLOOKUP(A82,Spiele!$A$1:$L$116,2,FALSE)</f>
        <v>46207.708333333336</v>
      </c>
      <c r="C82" s="6" t="str">
        <f>VLOOKUP(A82,Spiele!$A$1:$L$116,9,FALSE)</f>
        <v>Philadelphia</v>
      </c>
      <c r="D82" s="258" t="str">
        <f ca="1">INDEX($M$63:$M$78, MATCH(N82, $P$63:$P$78, 0))</f>
        <v>Ecuador</v>
      </c>
      <c r="E82" s="15" t="s">
        <v>24</v>
      </c>
      <c r="F82" s="258" t="str">
        <f ca="1">INDEX($M$63:$M$78, MATCH(O82, $P$63:$P$78, 0))</f>
        <v>Frankreich</v>
      </c>
      <c r="G82" s="3"/>
      <c r="H82" s="107">
        <f ca="1">IF($B$102&lt;&gt;"","",IF($B$101&lt;&gt;"",IF(Ergebnisse!H82="","",Ergebnisse!H82),IF($B$99="",2,INT(RAND()*5)+INT(RAND()*3)*INT(RAND()*2))))</f>
        <v>6</v>
      </c>
      <c r="I82" s="11" t="s">
        <v>25</v>
      </c>
      <c r="J82" s="107">
        <f ca="1">IF($B$102&lt;&gt;"","",IF($B$101&lt;&gt;"",IF(Ergebnisse!J82="","",Ergebnisse!J82),IF($B$99="",1,H82+IF(H82=0,1,IF(H82=9,-1,CHOOSE(INT(RAND()*2)+1,1,-1))))))</f>
        <v>7</v>
      </c>
      <c r="K82" s="7" t="str">
        <f t="shared" ca="1" si="12"/>
        <v>ok</v>
      </c>
      <c r="L82" s="1"/>
      <c r="M82" s="260" t="str">
        <f t="shared" ref="M82:M89" ca="1" si="26">IF(J82="","",IF(J82=H82,"falsch!!! K.Remis",IF(H82&gt;J82,D82,F82)))</f>
        <v>Frankreich</v>
      </c>
      <c r="N82" s="1" t="str">
        <f>P65</f>
        <v>S03</v>
      </c>
      <c r="O82" s="1" t="str">
        <f>P68</f>
        <v>S06</v>
      </c>
      <c r="P82" s="14" t="s">
        <v>45</v>
      </c>
      <c r="Q82" s="3"/>
      <c r="R82" s="3"/>
      <c r="S82" s="62"/>
      <c r="T82" s="62"/>
      <c r="U82" s="62"/>
      <c r="V82" s="62"/>
      <c r="W82" s="62"/>
      <c r="Y82" s="206"/>
      <c r="Z82" s="206"/>
      <c r="AA82" s="206"/>
      <c r="AB82" s="206"/>
      <c r="AC82" s="206"/>
      <c r="AI82" s="206"/>
      <c r="AJ82" s="206"/>
      <c r="AK82" s="206"/>
      <c r="AL82" s="206"/>
      <c r="AM82" s="206"/>
      <c r="AN82" s="206"/>
      <c r="AO82" s="206"/>
      <c r="AP82" s="206"/>
      <c r="AX82" s="206"/>
      <c r="AY82" s="206"/>
      <c r="AZ82" s="206"/>
      <c r="BA82" s="2">
        <f>A89+1</f>
        <v>97</v>
      </c>
      <c r="BB82" s="6">
        <f>VLOOKUP(BA82,Spiele!$A$1:$L$116,2,FALSE)</f>
        <v>46212.666666666664</v>
      </c>
      <c r="BC82" s="6" t="str">
        <f>VLOOKUP(BA82,Spiele!$A$1:$L$116,9,FALSE)</f>
        <v>Boston</v>
      </c>
      <c r="BD82" s="41" t="str">
        <f ca="1">INDEX($M$82:$M$89, MATCH(BN82, $P$82:$P$89, 0))</f>
        <v>Frankreich</v>
      </c>
      <c r="BE82" s="15" t="s">
        <v>24</v>
      </c>
      <c r="BF82" s="41" t="str">
        <f ca="1">INDEX($M$82:$M$89, MATCH(BO82, $P$82:$P$89, 0))</f>
        <v>Haiti</v>
      </c>
      <c r="BG82" s="14"/>
      <c r="BH82" s="107">
        <f ca="1">IF($B$102&lt;&gt;"","",IF($B$101&lt;&gt;"",IF(Ergebnisse!BH82="","",Ergebnisse!BH82),IF($B$99="",2,INT(RAND()*5)+INT(RAND()*3)*INT(RAND()*2))))</f>
        <v>3</v>
      </c>
      <c r="BI82" s="11" t="s">
        <v>25</v>
      </c>
      <c r="BJ82" s="107">
        <f ca="1">IF($B$102&lt;&gt;"","",IF($B$101&lt;&gt;"",IF(Ergebnisse!BJ82="","",Ergebnisse!BJ82),IF($B$99="",1,BH82+IF(BH82=0,1,IF(BH82=9,-1,CHOOSE(INT(RAND()*2)+1,1,-1))))))</f>
        <v>2</v>
      </c>
      <c r="BK82" s="7" t="str">
        <f t="shared" ref="BK82:BK94" ca="1" si="27">IF(OR(BH82="",BJ82=""),"","ok")</f>
        <v>ok</v>
      </c>
      <c r="BL82" s="1"/>
      <c r="BM82" s="42" t="str">
        <f ca="1">IF(BJ82="","",IF(BJ82=BH82,"falsch!!! K.Remis",IF(BH82&gt;BJ82,BD82,BF82)))</f>
        <v>Frankreich</v>
      </c>
      <c r="BN82" s="1" t="str">
        <f>P82</f>
        <v>AF1</v>
      </c>
      <c r="BO82" s="1" t="str">
        <f>P83</f>
        <v>AF2</v>
      </c>
      <c r="BP82" s="2" t="s">
        <v>48</v>
      </c>
      <c r="BQ82" s="1"/>
      <c r="BR82" s="1"/>
      <c r="BS82" s="62"/>
      <c r="BT82" s="62"/>
      <c r="BU82" s="62"/>
      <c r="BV82" s="62"/>
      <c r="BW82" s="62"/>
      <c r="BX82" s="62"/>
      <c r="BY82" s="206"/>
      <c r="BZ82" s="206"/>
      <c r="CA82" s="206"/>
      <c r="CB82" s="206"/>
      <c r="CC82" s="206"/>
      <c r="CD82" s="206"/>
      <c r="CE82" s="206"/>
      <c r="CF82" s="206"/>
      <c r="CG82" s="206"/>
      <c r="CH82" s="206"/>
      <c r="CI82" s="206"/>
      <c r="CJ82" s="206"/>
      <c r="CK82" s="206"/>
      <c r="CL82" s="206"/>
      <c r="CM82" s="206"/>
      <c r="CN82" s="206"/>
      <c r="CO82" s="206"/>
      <c r="CP82" s="55"/>
      <c r="CQ82" s="55"/>
      <c r="CR82" s="55"/>
      <c r="CS82" s="55"/>
      <c r="CT82" s="55"/>
      <c r="CU82" s="55"/>
      <c r="CV82" s="55"/>
      <c r="CW82" s="55"/>
      <c r="CX82" s="206"/>
      <c r="CY82" s="206"/>
      <c r="CZ82" s="206"/>
    </row>
    <row r="83" spans="1:104">
      <c r="A83" s="2">
        <f t="shared" ref="A83:A88" si="28">A82+1</f>
        <v>90</v>
      </c>
      <c r="B83" s="6">
        <f>VLOOKUP(A83,Spiele!$A$1:$L$116,2,FALSE)</f>
        <v>46207.5</v>
      </c>
      <c r="C83" s="6" t="str">
        <f>VLOOKUP(A83,Spiele!$A$1:$L$116,9,FALSE)</f>
        <v>Houston</v>
      </c>
      <c r="D83" s="258" t="str">
        <f ca="1">INDEX($M$63:$M$78, MATCH(N83, $P$63:$P$78, 0))</f>
        <v>Schweiz</v>
      </c>
      <c r="E83" s="15" t="s">
        <v>24</v>
      </c>
      <c r="F83" s="258" t="str">
        <f ca="1">INDEX($M$63:$M$78, MATCH(O83, $P$63:$P$78, 0))</f>
        <v>Haiti</v>
      </c>
      <c r="G83" s="3"/>
      <c r="H83" s="107">
        <f ca="1">IF($B$102&lt;&gt;"","",IF($B$101&lt;&gt;"",IF(Ergebnisse!H83="","",Ergebnisse!H83),IF($B$99="",2,INT(RAND()*5)+INT(RAND()*3)*INT(RAND()*2))))</f>
        <v>0</v>
      </c>
      <c r="I83" s="11" t="s">
        <v>25</v>
      </c>
      <c r="J83" s="107">
        <f ca="1">IF($B$102&lt;&gt;"","",IF($B$101&lt;&gt;"",IF(Ergebnisse!J83="","",Ergebnisse!J83),IF($B$99="",1,H83+IF(H83=0,1,IF(H83=9,-1,CHOOSE(INT(RAND()*2)+1,1,-1))))))</f>
        <v>1</v>
      </c>
      <c r="K83" s="7" t="str">
        <f t="shared" ca="1" si="12"/>
        <v>ok</v>
      </c>
      <c r="L83" s="1"/>
      <c r="M83" s="260" t="str">
        <f t="shared" ca="1" si="26"/>
        <v>Haiti</v>
      </c>
      <c r="N83" s="1" t="str">
        <f>P63</f>
        <v>S01</v>
      </c>
      <c r="O83" s="1" t="str">
        <f>P66</f>
        <v>S04</v>
      </c>
      <c r="P83" s="14" t="s">
        <v>47</v>
      </c>
      <c r="Q83" s="3"/>
      <c r="R83" s="3"/>
      <c r="S83" s="62"/>
      <c r="T83" s="62"/>
      <c r="U83" s="62"/>
      <c r="V83" s="62"/>
      <c r="W83" s="62"/>
      <c r="Y83" s="206"/>
      <c r="Z83" s="206"/>
      <c r="AA83" s="206"/>
      <c r="AB83" s="206"/>
      <c r="AC83" s="206"/>
      <c r="AI83" s="206"/>
      <c r="AJ83" s="206"/>
      <c r="AK83" s="206"/>
      <c r="AL83" s="206"/>
      <c r="AM83" s="206"/>
      <c r="AN83" s="206"/>
      <c r="AO83" s="206"/>
      <c r="AP83" s="206"/>
      <c r="AX83" s="206"/>
      <c r="AY83" s="206"/>
      <c r="AZ83" s="206"/>
      <c r="BA83" s="2">
        <f>BA82+1</f>
        <v>98</v>
      </c>
      <c r="BB83" s="6">
        <f>VLOOKUP(BA83,Spiele!$A$1:$L$116,2,FALSE)</f>
        <v>46213.5</v>
      </c>
      <c r="BC83" s="6" t="str">
        <f>VLOOKUP(BA83,Spiele!$A$1:$L$116,9,FALSE)</f>
        <v>Los Angeles</v>
      </c>
      <c r="BD83" s="70" t="str">
        <f ca="1">INDEX($M$82:$M$89, MATCH(BN83, $P$82:$P$89, 0))</f>
        <v>Panama</v>
      </c>
      <c r="BE83" s="40" t="s">
        <v>24</v>
      </c>
      <c r="BF83" s="70" t="str">
        <f ca="1">INDEX($M$82:$M$89, MATCH(BO83, $P$82:$P$89, 0))</f>
        <v>Neuseeland</v>
      </c>
      <c r="BG83" s="14"/>
      <c r="BH83" s="107">
        <f ca="1">IF($B$102&lt;&gt;"","",IF($B$101&lt;&gt;"",IF(Ergebnisse!BH83="","",Ergebnisse!BH83),IF($B$99="",2,INT(RAND()*5)+INT(RAND()*3)*INT(RAND()*2))))</f>
        <v>3</v>
      </c>
      <c r="BI83" s="11" t="s">
        <v>25</v>
      </c>
      <c r="BJ83" s="107">
        <f ca="1">IF($B$102&lt;&gt;"","",IF($B$101&lt;&gt;"",IF(Ergebnisse!BJ83="","",Ergebnisse!BJ83),IF($B$99="",1,BH83+IF(BH83=0,1,IF(BH83=9,-1,CHOOSE(INT(RAND()*2)+1,1,-1))))))</f>
        <v>2</v>
      </c>
      <c r="BK83" s="7" t="str">
        <f t="shared" ca="1" si="27"/>
        <v>ok</v>
      </c>
      <c r="BL83" s="1"/>
      <c r="BM83" s="69" t="str">
        <f ca="1">IF(BJ83="","",IF(BJ83=BH83,"falsch!!! K.Remis",IF(BH83&gt;BJ83,BD83,BF83)))</f>
        <v>Panama</v>
      </c>
      <c r="BN83" s="1" t="str">
        <f>P86</f>
        <v>AF5</v>
      </c>
      <c r="BO83" s="1" t="str">
        <f>P87</f>
        <v>AF6</v>
      </c>
      <c r="BP83" s="2" t="s">
        <v>52</v>
      </c>
      <c r="BQ83" s="1"/>
      <c r="BR83" s="1"/>
      <c r="BS83" s="62"/>
      <c r="BT83" s="62"/>
      <c r="BU83" s="62"/>
      <c r="BV83" s="62"/>
      <c r="BW83" s="62"/>
      <c r="BX83" s="62"/>
      <c r="BY83" s="206"/>
      <c r="BZ83" s="206"/>
      <c r="CA83" s="206"/>
      <c r="CB83" s="206"/>
      <c r="CC83" s="206"/>
      <c r="CD83" s="206"/>
      <c r="CE83" s="206"/>
      <c r="CF83" s="206"/>
      <c r="CG83" s="206"/>
      <c r="CH83" s="206"/>
      <c r="CI83" s="206"/>
      <c r="CJ83" s="206"/>
      <c r="CK83" s="206"/>
      <c r="CL83" s="206"/>
      <c r="CM83" s="206"/>
      <c r="CN83" s="206"/>
      <c r="CO83" s="206"/>
      <c r="CP83" s="55"/>
      <c r="CQ83" s="55"/>
      <c r="CR83" s="55"/>
      <c r="CS83" s="55"/>
      <c r="CT83" s="55"/>
      <c r="CU83" s="55"/>
      <c r="CV83" s="55"/>
      <c r="CW83" s="55"/>
      <c r="CX83" s="206"/>
      <c r="CY83" s="206"/>
      <c r="CZ83" s="206"/>
    </row>
    <row r="84" spans="1:104">
      <c r="A84" s="2">
        <f t="shared" si="28"/>
        <v>91</v>
      </c>
      <c r="B84" s="6">
        <f>VLOOKUP(A84,Spiele!$A$1:$L$116,2,FALSE)</f>
        <v>46208.666666666664</v>
      </c>
      <c r="C84" s="6" t="str">
        <f>VLOOKUP(A84,Spiele!$A$1:$L$116,9,FALSE)</f>
        <v>New York</v>
      </c>
      <c r="D84" s="261" t="str">
        <f t="shared" ref="D84:D89" ca="1" si="29">INDEX($M$63:$M$78, MATCH(N84, $P$63:$P$78, 0))</f>
        <v>Schweden</v>
      </c>
      <c r="E84" s="15" t="s">
        <v>24</v>
      </c>
      <c r="F84" s="261" t="str">
        <f t="shared" ref="F84:F89" ca="1" si="30">INDEX($M$63:$M$78, MATCH(O84, $P$63:$P$78, 0))</f>
        <v>Elfenbeinküste</v>
      </c>
      <c r="G84" s="3"/>
      <c r="H84" s="107">
        <f ca="1">IF($B$102&lt;&gt;"","",IF($B$101&lt;&gt;"",IF(Ergebnisse!H84="","",Ergebnisse!H84),IF($B$99="",2,INT(RAND()*5)+INT(RAND()*3)*INT(RAND()*2))))</f>
        <v>6</v>
      </c>
      <c r="I84" s="11" t="s">
        <v>25</v>
      </c>
      <c r="J84" s="107">
        <f ca="1">IF($B$102&lt;&gt;"","",IF($B$101&lt;&gt;"",IF(Ergebnisse!J84="","",Ergebnisse!J84),IF($B$99="",1,H84+IF(H84=0,1,IF(H84=9,-1,CHOOSE(INT(RAND()*2)+1,1,-1))))))</f>
        <v>7</v>
      </c>
      <c r="K84" s="7" t="str">
        <f t="shared" ca="1" si="12"/>
        <v>ok</v>
      </c>
      <c r="L84" s="1"/>
      <c r="M84" s="263" t="str">
        <f t="shared" ca="1" si="26"/>
        <v>Elfenbeinküste</v>
      </c>
      <c r="N84" s="1" t="str">
        <f>P64</f>
        <v>S02</v>
      </c>
      <c r="O84" s="1" t="str">
        <f>P67</f>
        <v>S05</v>
      </c>
      <c r="P84" s="14" t="s">
        <v>49</v>
      </c>
      <c r="Q84" s="3"/>
      <c r="R84" s="3"/>
      <c r="S84" s="62"/>
      <c r="T84" s="62"/>
      <c r="U84" s="62"/>
      <c r="V84" s="62"/>
      <c r="W84" s="62"/>
      <c r="Y84" s="206"/>
      <c r="Z84" s="206"/>
      <c r="AA84" s="206"/>
      <c r="AB84" s="206"/>
      <c r="AC84" s="206"/>
      <c r="AI84" s="206"/>
      <c r="AJ84" s="206"/>
      <c r="AK84" s="206"/>
      <c r="AL84" s="206"/>
      <c r="AM84" s="206"/>
      <c r="AN84" s="206"/>
      <c r="AO84" s="206"/>
      <c r="AP84" s="206"/>
      <c r="AX84" s="206"/>
      <c r="AY84" s="206"/>
      <c r="AZ84" s="206"/>
      <c r="BA84" s="2">
        <f>BA83+1</f>
        <v>99</v>
      </c>
      <c r="BB84" s="6">
        <f>VLOOKUP(BA84,Spiele!$A$1:$L$116,2,FALSE)</f>
        <v>46214.708333333336</v>
      </c>
      <c r="BC84" s="6" t="str">
        <f>VLOOKUP(BA84,Spiele!$A$1:$L$116,9,FALSE)</f>
        <v>Miami</v>
      </c>
      <c r="BD84" s="45" t="str">
        <f ca="1">INDEX($M$82:$M$89, MATCH(BN84, $P$82:$P$89, 0))</f>
        <v>Elfenbeinküste</v>
      </c>
      <c r="BE84" s="40" t="s">
        <v>24</v>
      </c>
      <c r="BF84" s="45" t="str">
        <f ca="1">INDEX($M$82:$M$89, MATCH(BO84, $P$82:$P$89, 0))</f>
        <v>Südafrika</v>
      </c>
      <c r="BG84" s="14"/>
      <c r="BH84" s="107">
        <f ca="1">IF($B$102&lt;&gt;"","",IF($B$101&lt;&gt;"",IF(Ergebnisse!BH84="","",Ergebnisse!BH84),IF($B$99="",2,INT(RAND()*5)+INT(RAND()*3)*INT(RAND()*2))))</f>
        <v>4</v>
      </c>
      <c r="BI84" s="11" t="s">
        <v>25</v>
      </c>
      <c r="BJ84" s="107">
        <f ca="1">IF($B$102&lt;&gt;"","",IF($B$101&lt;&gt;"",IF(Ergebnisse!BJ84="","",Ergebnisse!BJ84),IF($B$99="",1,BH84+IF(BH84=0,1,IF(BH84=9,-1,CHOOSE(INT(RAND()*2)+1,1,-1))))))</f>
        <v>5</v>
      </c>
      <c r="BK84" s="7" t="str">
        <f t="shared" ca="1" si="27"/>
        <v>ok</v>
      </c>
      <c r="BL84" s="1"/>
      <c r="BM84" s="46" t="str">
        <f ca="1">IF(BJ84="","",IF(BJ84=BH84,"falsch!!! K.Remis",IF(BH84&gt;BJ84,BD84,BF84)))</f>
        <v>Südafrika</v>
      </c>
      <c r="BN84" s="1" t="str">
        <f>P84</f>
        <v>AF3</v>
      </c>
      <c r="BO84" s="1" t="str">
        <f>P85</f>
        <v>AF4</v>
      </c>
      <c r="BP84" s="1" t="s">
        <v>46</v>
      </c>
      <c r="BQ84" s="1"/>
      <c r="BR84" s="1"/>
      <c r="BS84" s="62"/>
      <c r="BT84" s="62"/>
      <c r="BU84" s="62"/>
      <c r="BV84" s="62"/>
      <c r="BW84" s="62"/>
      <c r="BX84" s="62"/>
      <c r="BY84" s="206"/>
      <c r="BZ84" s="206"/>
      <c r="CA84" s="206"/>
      <c r="CB84" s="206"/>
      <c r="CC84" s="206"/>
      <c r="CD84" s="206"/>
      <c r="CE84" s="206"/>
      <c r="CF84" s="206"/>
      <c r="CG84" s="206"/>
      <c r="CH84" s="206"/>
      <c r="CI84" s="206"/>
      <c r="CJ84" s="206"/>
      <c r="CK84" s="206"/>
      <c r="CL84" s="206"/>
      <c r="CM84" s="206"/>
      <c r="CN84" s="206"/>
      <c r="CO84" s="206"/>
      <c r="CP84" s="55"/>
      <c r="CQ84" s="55"/>
      <c r="CR84" s="55"/>
      <c r="CS84" s="55"/>
      <c r="CT84" s="55"/>
      <c r="CU84" s="55"/>
      <c r="CV84" s="55"/>
      <c r="CW84" s="55"/>
      <c r="CX84" s="206"/>
      <c r="CY84" s="206"/>
      <c r="CZ84" s="206"/>
    </row>
    <row r="85" spans="1:104">
      <c r="A85" s="2">
        <f t="shared" si="28"/>
        <v>92</v>
      </c>
      <c r="B85" s="6">
        <f>VLOOKUP(A85,Spiele!$A$1:$L$116,2,FALSE)</f>
        <v>46208.791666666672</v>
      </c>
      <c r="C85" s="6" t="str">
        <f>VLOOKUP(A85,Spiele!$A$1:$L$116,9,FALSE)</f>
        <v>Mexico City</v>
      </c>
      <c r="D85" s="261" t="str">
        <f t="shared" ca="1" si="29"/>
        <v>Südafrika</v>
      </c>
      <c r="E85" s="15" t="s">
        <v>24</v>
      </c>
      <c r="F85" s="261" t="str">
        <f t="shared" ca="1" si="30"/>
        <v>DR Kongo</v>
      </c>
      <c r="G85" s="3"/>
      <c r="H85" s="107">
        <f ca="1">IF($B$102&lt;&gt;"","",IF($B$101&lt;&gt;"",IF(Ergebnisse!H85="","",Ergebnisse!H85),IF($B$99="",2,INT(RAND()*5)+INT(RAND()*3)*INT(RAND()*2))))</f>
        <v>5</v>
      </c>
      <c r="I85" s="11" t="s">
        <v>25</v>
      </c>
      <c r="J85" s="107">
        <f ca="1">IF($B$102&lt;&gt;"","",IF($B$101&lt;&gt;"",IF(Ergebnisse!J85="","",Ergebnisse!J85),IF($B$99="",1,H85+IF(H85=0,1,IF(H85=9,-1,CHOOSE(INT(RAND()*2)+1,1,-1))))))</f>
        <v>4</v>
      </c>
      <c r="K85" s="7" t="str">
        <f t="shared" ca="1" si="12"/>
        <v>ok</v>
      </c>
      <c r="L85" s="1"/>
      <c r="M85" s="263" t="str">
        <f t="shared" ca="1" si="26"/>
        <v>Südafrika</v>
      </c>
      <c r="N85" s="1" t="str">
        <f>P69</f>
        <v>S07</v>
      </c>
      <c r="O85" s="1" t="str">
        <f>P70</f>
        <v>S08</v>
      </c>
      <c r="P85" s="14" t="s">
        <v>51</v>
      </c>
      <c r="Q85" s="3"/>
      <c r="R85" s="3"/>
      <c r="S85" s="62"/>
      <c r="T85" s="62"/>
      <c r="U85" s="62"/>
      <c r="V85" s="62"/>
      <c r="W85" s="62"/>
      <c r="Y85" s="206"/>
      <c r="Z85" s="206"/>
      <c r="AA85" s="206"/>
      <c r="AB85" s="206"/>
      <c r="AC85" s="206"/>
      <c r="AI85" s="206"/>
      <c r="AJ85" s="206"/>
      <c r="AK85" s="206"/>
      <c r="AL85" s="206"/>
      <c r="AM85" s="206"/>
      <c r="AN85" s="206"/>
      <c r="AO85" s="206"/>
      <c r="AP85" s="206"/>
      <c r="AX85" s="206"/>
      <c r="AY85" s="206"/>
      <c r="AZ85" s="206"/>
      <c r="BA85" s="2">
        <f>BA84+1</f>
        <v>100</v>
      </c>
      <c r="BB85" s="6">
        <f>VLOOKUP(BA85,Spiele!$A$1:$L$116,2,FALSE)</f>
        <v>46214.833333333336</v>
      </c>
      <c r="BC85" s="6" t="str">
        <f>VLOOKUP(BA85,Spiele!$A$1:$L$116,9,FALSE)</f>
        <v>Kansas City</v>
      </c>
      <c r="BD85" s="43" t="str">
        <f ca="1">INDEX($M$82:$M$89, MATCH(BN85, $P$82:$P$89, 0))</f>
        <v>Australien</v>
      </c>
      <c r="BE85" s="15" t="s">
        <v>24</v>
      </c>
      <c r="BF85" s="43" t="str">
        <f ca="1">INDEX($M$82:$M$89, MATCH(BO85, $P$82:$P$89, 0))</f>
        <v>Belgien</v>
      </c>
      <c r="BG85" s="14"/>
      <c r="BH85" s="107">
        <f ca="1">IF($B$102&lt;&gt;"","",IF($B$101&lt;&gt;"",IF(Ergebnisse!BH85="","",Ergebnisse!BH85),IF($B$99="",2,INT(RAND()*5)+INT(RAND()*3)*INT(RAND()*2))))</f>
        <v>3</v>
      </c>
      <c r="BI85" s="11" t="s">
        <v>25</v>
      </c>
      <c r="BJ85" s="107">
        <f ca="1">IF($B$102&lt;&gt;"","",IF($B$101&lt;&gt;"",IF(Ergebnisse!BJ85="","",Ergebnisse!BJ85),IF($B$99="",1,BH85+IF(BH85=0,1,IF(BH85=9,-1,CHOOSE(INT(RAND()*2)+1,1,-1))))))</f>
        <v>4</v>
      </c>
      <c r="BK85" s="7" t="str">
        <f t="shared" ca="1" si="27"/>
        <v>ok</v>
      </c>
      <c r="BL85" s="1"/>
      <c r="BM85" s="44" t="str">
        <f ca="1">IF(BJ85="","",IF(BJ85=BH85,"falsch!!! K.Remis",IF(BH85&gt;BJ85,BD85,BF85)))</f>
        <v>Belgien</v>
      </c>
      <c r="BN85" s="1" t="str">
        <f>P88</f>
        <v>AF7</v>
      </c>
      <c r="BO85" s="1" t="str">
        <f>P89</f>
        <v>AF8</v>
      </c>
      <c r="BP85" s="1" t="s">
        <v>50</v>
      </c>
      <c r="BQ85" s="1"/>
      <c r="BR85" s="1"/>
      <c r="BS85" s="62"/>
      <c r="BT85" s="62"/>
      <c r="BU85" s="62"/>
      <c r="BV85" s="62"/>
      <c r="BW85" s="62"/>
      <c r="BX85" s="62"/>
      <c r="BY85" s="206"/>
      <c r="BZ85" s="206"/>
      <c r="CA85" s="206"/>
      <c r="CB85" s="206"/>
      <c r="CC85" s="206"/>
      <c r="CD85" s="206"/>
      <c r="CE85" s="206"/>
      <c r="CF85" s="206"/>
      <c r="CG85" s="206"/>
      <c r="CH85" s="206"/>
      <c r="CI85" s="206"/>
      <c r="CJ85" s="206"/>
      <c r="CK85" s="206"/>
      <c r="CL85" s="206"/>
      <c r="CM85" s="206"/>
      <c r="CN85" s="206"/>
      <c r="CO85" s="206"/>
      <c r="CP85" s="55"/>
      <c r="CQ85" s="55"/>
      <c r="CR85" s="55"/>
      <c r="CS85" s="55"/>
      <c r="CT85" s="55"/>
      <c r="CU85" s="55"/>
      <c r="CV85" s="55"/>
      <c r="CW85" s="55"/>
      <c r="CX85" s="206"/>
      <c r="CY85" s="206"/>
      <c r="CZ85" s="206"/>
    </row>
    <row r="86" spans="1:104">
      <c r="A86" s="2">
        <f t="shared" si="28"/>
        <v>93</v>
      </c>
      <c r="B86" s="6">
        <f>VLOOKUP(A86,Spiele!$A$1:$L$116,2,FALSE)</f>
        <v>46209.583333333336</v>
      </c>
      <c r="C86" s="6" t="str">
        <f>VLOOKUP(A86,Spiele!$A$1:$L$116,9,FALSE)</f>
        <v>Dallas</v>
      </c>
      <c r="D86" s="256" t="str">
        <f t="shared" ca="1" si="29"/>
        <v>Panama</v>
      </c>
      <c r="E86" s="15" t="s">
        <v>24</v>
      </c>
      <c r="F86" s="256" t="str">
        <f t="shared" ca="1" si="30"/>
        <v>Algerien</v>
      </c>
      <c r="G86" s="3"/>
      <c r="H86" s="107">
        <f ca="1">IF($B$102&lt;&gt;"","",IF($B$101&lt;&gt;"",IF(Ergebnisse!H86="","",Ergebnisse!H86),IF($B$99="",2,INT(RAND()*5)+INT(RAND()*3)*INT(RAND()*2))))</f>
        <v>4</v>
      </c>
      <c r="I86" s="11" t="s">
        <v>25</v>
      </c>
      <c r="J86" s="107">
        <f ca="1">IF($B$102&lt;&gt;"","",IF($B$101&lt;&gt;"",IF(Ergebnisse!J86="","",Ergebnisse!J86),IF($B$99="",1,H86+IF(H86=0,1,IF(H86=9,-1,CHOOSE(INT(RAND()*2)+1,1,-1))))))</f>
        <v>3</v>
      </c>
      <c r="K86" s="7" t="str">
        <f t="shared" ca="1" si="12"/>
        <v>ok</v>
      </c>
      <c r="L86" s="1"/>
      <c r="M86" s="257" t="str">
        <f t="shared" ca="1" si="26"/>
        <v>Panama</v>
      </c>
      <c r="N86" s="1" t="str">
        <f>P74</f>
        <v>S12</v>
      </c>
      <c r="O86" s="1" t="str">
        <f>P73</f>
        <v>S11</v>
      </c>
      <c r="P86" s="14" t="s">
        <v>53</v>
      </c>
      <c r="Q86" s="3"/>
      <c r="R86" s="3"/>
      <c r="S86" s="62"/>
      <c r="T86" s="62"/>
      <c r="U86" s="62"/>
      <c r="V86" s="62"/>
      <c r="W86" s="62"/>
      <c r="Y86" s="206"/>
      <c r="Z86" s="206"/>
      <c r="AA86" s="206"/>
      <c r="AB86" s="206"/>
      <c r="AC86" s="206"/>
      <c r="AI86" s="206"/>
      <c r="AJ86" s="206"/>
      <c r="AK86" s="206"/>
      <c r="AL86" s="206"/>
      <c r="AM86" s="206"/>
      <c r="AN86" s="206"/>
      <c r="AO86" s="206"/>
      <c r="AP86" s="206"/>
      <c r="AX86" s="206"/>
      <c r="AY86" s="206"/>
      <c r="AZ86" s="206"/>
      <c r="BB86" s="6"/>
      <c r="BC86" s="6"/>
      <c r="BD86" s="6"/>
      <c r="BE86" s="6"/>
      <c r="BF86" s="6"/>
      <c r="BG86" s="6"/>
      <c r="BH86" s="6"/>
      <c r="BI86" s="6"/>
      <c r="BJ86" s="6"/>
      <c r="BL86" s="6"/>
      <c r="BM86" s="6"/>
      <c r="BN86" s="6"/>
      <c r="BO86" s="1"/>
      <c r="BP86" s="1"/>
      <c r="BQ86" s="1"/>
      <c r="BR86" s="1"/>
      <c r="BS86" s="62"/>
      <c r="BT86" s="62"/>
      <c r="BU86" s="62"/>
      <c r="BV86" s="62"/>
      <c r="BW86" s="62"/>
      <c r="BX86" s="62"/>
      <c r="BY86" s="206"/>
      <c r="BZ86" s="206"/>
      <c r="CA86" s="206"/>
      <c r="CB86" s="206"/>
      <c r="CC86" s="206"/>
      <c r="CD86" s="206"/>
      <c r="CE86" s="206"/>
      <c r="CF86" s="206"/>
      <c r="CG86" s="206"/>
      <c r="CH86" s="206"/>
      <c r="CI86" s="206"/>
      <c r="CJ86" s="206"/>
      <c r="CK86" s="206"/>
      <c r="CL86" s="206"/>
      <c r="CM86" s="206"/>
      <c r="CN86" s="206"/>
      <c r="CO86" s="206"/>
      <c r="CP86" s="55"/>
      <c r="CQ86" s="55"/>
      <c r="CR86" s="55"/>
      <c r="CS86" s="55"/>
      <c r="CT86" s="55"/>
      <c r="CU86" s="55"/>
      <c r="CV86" s="55"/>
      <c r="CW86" s="55"/>
      <c r="CX86" s="206"/>
      <c r="CY86" s="206"/>
      <c r="CZ86" s="206"/>
    </row>
    <row r="87" spans="1:104">
      <c r="A87" s="2">
        <f t="shared" si="28"/>
        <v>94</v>
      </c>
      <c r="B87" s="6">
        <f>VLOOKUP(A87,Spiele!$A$1:$L$116,2,FALSE)</f>
        <v>46209.708333333336</v>
      </c>
      <c r="C87" s="6" t="str">
        <f>VLOOKUP(A87,Spiele!$A$1:$L$116,9,FALSE)</f>
        <v>Seattle</v>
      </c>
      <c r="D87" s="256" t="str">
        <f t="shared" ca="1" si="29"/>
        <v>Türkei</v>
      </c>
      <c r="E87" s="15" t="s">
        <v>24</v>
      </c>
      <c r="F87" s="256" t="str">
        <f t="shared" ca="1" si="30"/>
        <v>Neuseeland</v>
      </c>
      <c r="G87" s="3"/>
      <c r="H87" s="107">
        <f ca="1">IF($B$102&lt;&gt;"","",IF($B$101&lt;&gt;"",IF(Ergebnisse!H87="","",Ergebnisse!H87),IF($B$99="",2,INT(RAND()*5)+INT(RAND()*3)*INT(RAND()*2))))</f>
        <v>3</v>
      </c>
      <c r="I87" s="11" t="s">
        <v>25</v>
      </c>
      <c r="J87" s="107">
        <f ca="1">IF($B$102&lt;&gt;"","",IF($B$101&lt;&gt;"",IF(Ergebnisse!J87="","",Ergebnisse!J87),IF($B$99="",1,H87+IF(H87=0,1,IF(H87=9,-1,CHOOSE(INT(RAND()*2)+1,1,-1))))))</f>
        <v>4</v>
      </c>
      <c r="K87" s="7" t="str">
        <f t="shared" ca="1" si="12"/>
        <v>ok</v>
      </c>
      <c r="L87" s="1"/>
      <c r="M87" s="257" t="str">
        <f t="shared" ca="1" si="26"/>
        <v>Neuseeland</v>
      </c>
      <c r="N87" s="1" t="str">
        <f>P72</f>
        <v>S10</v>
      </c>
      <c r="O87" s="1" t="str">
        <f>P71</f>
        <v>S09</v>
      </c>
      <c r="P87" s="14" t="s">
        <v>54</v>
      </c>
      <c r="Q87" s="3"/>
      <c r="R87" s="3"/>
      <c r="S87" s="62"/>
      <c r="T87" s="62"/>
      <c r="U87" s="62"/>
      <c r="V87" s="62"/>
      <c r="W87" s="62"/>
      <c r="Y87" s="206"/>
      <c r="Z87" s="206"/>
      <c r="AA87" s="206"/>
      <c r="AB87" s="206"/>
      <c r="AC87" s="206"/>
      <c r="AI87" s="206"/>
      <c r="AJ87" s="206"/>
      <c r="AK87" s="206"/>
      <c r="AL87" s="206"/>
      <c r="AM87" s="206"/>
      <c r="AN87" s="206"/>
      <c r="AO87" s="206"/>
      <c r="AP87" s="206"/>
      <c r="AX87" s="206"/>
      <c r="AY87" s="206"/>
      <c r="AZ87" s="206"/>
      <c r="BB87" s="47" t="s">
        <v>55</v>
      </c>
      <c r="BC87" s="21"/>
      <c r="BD87" s="14"/>
      <c r="BE87" s="14"/>
      <c r="BF87" s="6"/>
      <c r="BG87" s="6"/>
      <c r="BH87" s="6"/>
      <c r="BI87" s="6"/>
      <c r="BJ87" s="6"/>
      <c r="BL87" s="17"/>
      <c r="BM87" s="21"/>
      <c r="BN87" s="17"/>
      <c r="BO87" s="17"/>
      <c r="BP87" s="17"/>
      <c r="BQ87" s="1"/>
      <c r="BR87" s="1"/>
      <c r="BS87" s="62"/>
      <c r="BT87" s="62"/>
      <c r="BU87" s="62"/>
      <c r="BV87" s="62"/>
      <c r="BW87" s="62"/>
      <c r="BX87" s="62"/>
      <c r="BY87" s="206"/>
      <c r="BZ87" s="206"/>
      <c r="CA87" s="206"/>
      <c r="CB87" s="206"/>
      <c r="CC87" s="206"/>
      <c r="CD87" s="206"/>
      <c r="CE87" s="206"/>
      <c r="CF87" s="206"/>
      <c r="CG87" s="206"/>
      <c r="CH87" s="206"/>
      <c r="CI87" s="206"/>
      <c r="CJ87" s="206"/>
      <c r="CK87" s="206"/>
      <c r="CL87" s="206"/>
      <c r="CM87" s="206"/>
      <c r="CN87" s="206"/>
      <c r="CO87" s="206"/>
      <c r="CP87" s="55"/>
      <c r="CQ87" s="55"/>
      <c r="CR87" s="55"/>
      <c r="CS87" s="55"/>
      <c r="CT87" s="55"/>
      <c r="CU87" s="55"/>
      <c r="CV87" s="55"/>
      <c r="CW87" s="55"/>
      <c r="CX87" s="206"/>
      <c r="CY87" s="206"/>
      <c r="CZ87" s="206"/>
    </row>
    <row r="88" spans="1:104">
      <c r="A88" s="2">
        <f t="shared" si="28"/>
        <v>95</v>
      </c>
      <c r="B88" s="6">
        <f>VLOOKUP(A88,Spiele!$A$1:$L$116,2,FALSE)</f>
        <v>46210.5</v>
      </c>
      <c r="C88" s="6" t="str">
        <f>VLOOKUP(A88,Spiele!$A$1:$L$116,9,FALSE)</f>
        <v>Atlanta</v>
      </c>
      <c r="D88" s="259" t="str">
        <f t="shared" ca="1" si="29"/>
        <v>Argentinien</v>
      </c>
      <c r="E88" s="15" t="s">
        <v>24</v>
      </c>
      <c r="F88" s="259" t="str">
        <f t="shared" ca="1" si="30"/>
        <v>Australien</v>
      </c>
      <c r="G88" s="3"/>
      <c r="H88" s="107">
        <f ca="1">IF($B$102&lt;&gt;"","",IF($B$101&lt;&gt;"",IF(Ergebnisse!H88="","",Ergebnisse!H88),IF($B$99="",2,INT(RAND()*5)+INT(RAND()*3)*INT(RAND()*2))))</f>
        <v>4</v>
      </c>
      <c r="I88" s="11" t="s">
        <v>25</v>
      </c>
      <c r="J88" s="107">
        <f ca="1">IF($B$102&lt;&gt;"","",IF($B$101&lt;&gt;"",IF(Ergebnisse!J88="","",Ergebnisse!J88),IF($B$99="",1,H88+IF(H88=0,1,IF(H88=9,-1,CHOOSE(INT(RAND()*2)+1,1,-1))))))</f>
        <v>5</v>
      </c>
      <c r="K88" s="7" t="str">
        <f t="shared" ca="1" si="12"/>
        <v>ok</v>
      </c>
      <c r="L88" s="1"/>
      <c r="M88" s="262" t="str">
        <f t="shared" ca="1" si="26"/>
        <v>Australien</v>
      </c>
      <c r="N88" s="1" t="str">
        <f>P77</f>
        <v>S15</v>
      </c>
      <c r="O88" s="1" t="str">
        <f>P76</f>
        <v>S14</v>
      </c>
      <c r="P88" s="14" t="s">
        <v>56</v>
      </c>
      <c r="Q88" s="3"/>
      <c r="R88" s="3"/>
      <c r="S88" s="62"/>
      <c r="T88" s="62"/>
      <c r="U88" s="62"/>
      <c r="V88" s="62"/>
      <c r="W88" s="62"/>
      <c r="Y88" s="206"/>
      <c r="Z88" s="206"/>
      <c r="AA88" s="206"/>
      <c r="AB88" s="206"/>
      <c r="AC88" s="206"/>
      <c r="AI88" s="206"/>
      <c r="AJ88" s="206"/>
      <c r="AK88" s="206"/>
      <c r="AL88" s="206"/>
      <c r="AM88" s="206"/>
      <c r="AN88" s="206"/>
      <c r="AO88" s="206"/>
      <c r="AP88" s="206"/>
      <c r="AX88" s="206"/>
      <c r="AY88" s="206"/>
      <c r="AZ88" s="206"/>
      <c r="BB88" s="3" t="s">
        <v>22</v>
      </c>
      <c r="BC88" s="3" t="s">
        <v>23</v>
      </c>
      <c r="BD88" s="14"/>
      <c r="BE88" s="14"/>
      <c r="BF88" s="6"/>
      <c r="BG88" s="6"/>
      <c r="BH88" s="6"/>
      <c r="BI88" s="6"/>
      <c r="BJ88" s="6"/>
      <c r="BL88" s="1"/>
      <c r="BM88" s="3"/>
      <c r="BN88" s="1"/>
      <c r="BO88" s="1"/>
      <c r="BP88" s="1"/>
      <c r="BQ88" s="1"/>
      <c r="BR88" s="1"/>
      <c r="BS88" s="62"/>
      <c r="BT88" s="62"/>
      <c r="BU88" s="62"/>
      <c r="BV88" s="62"/>
      <c r="BW88" s="62"/>
      <c r="BX88" s="62"/>
      <c r="BY88" s="206"/>
      <c r="BZ88" s="206"/>
      <c r="CA88" s="206"/>
      <c r="CB88" s="206"/>
      <c r="CC88" s="206"/>
      <c r="CD88" s="206"/>
      <c r="CE88" s="206"/>
      <c r="CF88" s="206"/>
      <c r="CG88" s="206"/>
      <c r="CH88" s="206"/>
      <c r="CI88" s="206"/>
      <c r="CJ88" s="206"/>
      <c r="CK88" s="206"/>
      <c r="CL88" s="206"/>
      <c r="CM88" s="206"/>
      <c r="CN88" s="206"/>
      <c r="CO88" s="206"/>
      <c r="CP88" s="55"/>
      <c r="CQ88" s="55"/>
      <c r="CR88" s="55"/>
      <c r="CS88" s="55"/>
      <c r="CT88" s="55"/>
      <c r="CU88" s="55"/>
      <c r="CV88" s="55"/>
      <c r="CW88" s="55"/>
      <c r="CX88" s="206"/>
      <c r="CY88" s="206"/>
      <c r="CZ88" s="206"/>
    </row>
    <row r="89" spans="1:104">
      <c r="A89" s="2">
        <f>A88+1</f>
        <v>96</v>
      </c>
      <c r="B89" s="6">
        <f>VLOOKUP(A89,Spiele!$A$1:$L$116,2,FALSE)</f>
        <v>46210.541666666664</v>
      </c>
      <c r="C89" s="6" t="str">
        <f>VLOOKUP(A89,Spiele!$A$1:$L$116,9,FALSE)</f>
        <v>Vancouver</v>
      </c>
      <c r="D89" s="259" t="str">
        <f t="shared" ca="1" si="29"/>
        <v>Belgien</v>
      </c>
      <c r="E89" s="15" t="s">
        <v>24</v>
      </c>
      <c r="F89" s="259" t="str">
        <f t="shared" ca="1" si="30"/>
        <v>Kroatien</v>
      </c>
      <c r="G89" s="3"/>
      <c r="H89" s="107">
        <f ca="1">IF($B$102&lt;&gt;"","",IF($B$101&lt;&gt;"",IF(Ergebnisse!H89="","",Ergebnisse!H89),IF($B$99="",2,INT(RAND()*5)+INT(RAND()*3)*INT(RAND()*2))))</f>
        <v>4</v>
      </c>
      <c r="I89" s="11" t="s">
        <v>25</v>
      </c>
      <c r="J89" s="107">
        <f ca="1">IF($B$102&lt;&gt;"","",IF($B$101&lt;&gt;"",IF(Ergebnisse!J89="","",Ergebnisse!J89),IF($B$99="",1,H89+IF(H89=0,1,IF(H89=9,-1,CHOOSE(INT(RAND()*2)+1,1,-1))))))</f>
        <v>3</v>
      </c>
      <c r="K89" s="7" t="str">
        <f t="shared" ca="1" si="12"/>
        <v>ok</v>
      </c>
      <c r="L89" s="1"/>
      <c r="M89" s="262" t="str">
        <f t="shared" ca="1" si="26"/>
        <v>Belgien</v>
      </c>
      <c r="N89" s="1" t="str">
        <f>P75</f>
        <v>S13</v>
      </c>
      <c r="O89" s="1" t="str">
        <f>P78</f>
        <v>S16</v>
      </c>
      <c r="P89" s="14" t="s">
        <v>58</v>
      </c>
      <c r="Q89" s="3"/>
      <c r="R89" s="3"/>
      <c r="S89" s="62"/>
      <c r="T89" s="62"/>
      <c r="U89" s="62"/>
      <c r="V89" s="62"/>
      <c r="W89" s="62"/>
      <c r="Y89" s="206"/>
      <c r="Z89" s="206"/>
      <c r="AA89" s="206"/>
      <c r="AB89" s="206"/>
      <c r="AC89" s="206"/>
      <c r="AI89" s="206"/>
      <c r="AJ89" s="206"/>
      <c r="AK89" s="206"/>
      <c r="AL89" s="206"/>
      <c r="AM89" s="206"/>
      <c r="AN89" s="206"/>
      <c r="AO89" s="206"/>
      <c r="AP89" s="206"/>
      <c r="AX89" s="206"/>
      <c r="AY89" s="206"/>
      <c r="AZ89" s="206"/>
      <c r="BA89" s="2">
        <f>BA85+1</f>
        <v>101</v>
      </c>
      <c r="BB89" s="6">
        <f>VLOOKUP(BA89,Spiele!$A$1:$L$116,2,FALSE)</f>
        <v>46217.583333333336</v>
      </c>
      <c r="BC89" s="6" t="str">
        <f>VLOOKUP(BA89,Spiele!$A$1:$L$116,9,FALSE)</f>
        <v>Dallas</v>
      </c>
      <c r="BD89" s="18" t="str">
        <f ca="1">INDEX($BM$82:$BM$85, MATCH(BN89, $BP$82:$BP$85, 0))</f>
        <v>Frankreich</v>
      </c>
      <c r="BE89" s="15" t="s">
        <v>24</v>
      </c>
      <c r="BF89" s="71" t="str">
        <f ca="1">INDEX($BM$82:$BM$85, MATCH(BO89, $BP$82:$BP$85, 0))</f>
        <v>Panama</v>
      </c>
      <c r="BG89" s="17"/>
      <c r="BH89" s="107">
        <f ca="1">IF($B$102&lt;&gt;"","",IF($B$101&lt;&gt;"",IF(Ergebnisse!BH89="","",Ergebnisse!BH89),IF($B$99="",2,INT(RAND()*5)+INT(RAND()*3)*INT(RAND()*2))))</f>
        <v>4</v>
      </c>
      <c r="BI89" s="11" t="s">
        <v>25</v>
      </c>
      <c r="BJ89" s="107">
        <f ca="1">IF($B$102&lt;&gt;"","",IF($B$101&lt;&gt;"",IF(Ergebnisse!BJ89="","",Ergebnisse!BJ89),IF($B$99="",1,BH89+IF(BH89=0,1,IF(BH89=9,-1,CHOOSE(INT(RAND()*2)+1,1,-1))))))</f>
        <v>3</v>
      </c>
      <c r="BK89" s="7" t="str">
        <f t="shared" ca="1" si="27"/>
        <v>ok</v>
      </c>
      <c r="BL89" s="1"/>
      <c r="BM89" s="68" t="str">
        <f ca="1">IF(BJ89="","",IF(BJ89=BH89,"falsch!!! K.Remis",IF(BH89&gt;BJ89,BD89,BF89)))</f>
        <v>Frankreich</v>
      </c>
      <c r="BN89" s="1" t="str">
        <f>BP82</f>
        <v>VF1</v>
      </c>
      <c r="BO89" s="1" t="str">
        <f>BP83</f>
        <v>VF2</v>
      </c>
      <c r="BP89" s="1" t="s">
        <v>57</v>
      </c>
      <c r="BQ89" s="1"/>
      <c r="BR89" s="1"/>
      <c r="BS89" s="62"/>
      <c r="BT89" s="62"/>
      <c r="BU89" s="62"/>
      <c r="BV89" s="62"/>
      <c r="BW89" s="62"/>
      <c r="BX89" s="62"/>
      <c r="BY89" s="206"/>
      <c r="BZ89" s="206"/>
      <c r="CA89" s="206"/>
      <c r="CB89" s="206"/>
      <c r="CC89" s="206"/>
      <c r="CD89" s="206"/>
      <c r="CE89" s="206"/>
      <c r="CF89" s="206"/>
      <c r="CG89" s="206"/>
      <c r="CH89" s="206"/>
      <c r="CI89" s="206"/>
      <c r="CJ89" s="206"/>
      <c r="CK89" s="206"/>
      <c r="CL89" s="206"/>
      <c r="CM89" s="206"/>
      <c r="CN89" s="206"/>
      <c r="CO89" s="206"/>
      <c r="CP89" s="55"/>
      <c r="CQ89" s="55"/>
      <c r="CR89" s="55"/>
      <c r="CS89" s="55"/>
      <c r="CT89" s="55"/>
      <c r="CU89" s="55"/>
      <c r="CV89" s="55"/>
      <c r="CW89" s="55"/>
      <c r="CX89" s="206"/>
      <c r="CY89" s="206"/>
      <c r="CZ89" s="206"/>
    </row>
    <row r="90" spans="1:104">
      <c r="E90" s="15"/>
      <c r="H90" s="2"/>
      <c r="I90" s="2"/>
      <c r="J90" s="2"/>
      <c r="M90" s="2"/>
      <c r="S90" s="62"/>
      <c r="T90" s="62"/>
      <c r="U90" s="62"/>
      <c r="V90" s="62"/>
      <c r="W90" s="62"/>
      <c r="Y90" s="206"/>
      <c r="Z90" s="206"/>
      <c r="AA90" s="206"/>
      <c r="AB90" s="206"/>
      <c r="AC90" s="206"/>
      <c r="AI90" s="206"/>
      <c r="AJ90" s="206"/>
      <c r="AK90" s="206"/>
      <c r="AL90" s="206"/>
      <c r="AM90" s="206"/>
      <c r="AN90" s="206"/>
      <c r="AO90" s="206"/>
      <c r="AP90" s="206"/>
      <c r="AX90" s="206"/>
      <c r="AY90" s="206"/>
      <c r="AZ90" s="206"/>
      <c r="BA90" s="2">
        <f>BA89+1</f>
        <v>102</v>
      </c>
      <c r="BB90" s="6">
        <f>VLOOKUP(BA90,Spiele!$A$1:$L$116,2,FALSE)</f>
        <v>46218.625</v>
      </c>
      <c r="BC90" s="6" t="str">
        <f>VLOOKUP(BA90,Spiele!$A$1:$L$116,9,FALSE)</f>
        <v>Atlanta</v>
      </c>
      <c r="BD90" s="49" t="str">
        <f ca="1">INDEX($BM$82:$BM$85, MATCH(BN90, $BP$82:$BP$85, 0))</f>
        <v>Südafrika</v>
      </c>
      <c r="BE90" s="15" t="s">
        <v>24</v>
      </c>
      <c r="BF90" s="48" t="str">
        <f ca="1">INDEX($BM$82:$BM$85, MATCH(BO90, $BP$82:$BP$85, 0))</f>
        <v>Belgien</v>
      </c>
      <c r="BG90" s="17"/>
      <c r="BH90" s="107">
        <f ca="1">IF($B$102&lt;&gt;"","",IF($B$101&lt;&gt;"",IF(Ergebnisse!BH90="","",Ergebnisse!BH90),IF($B$99="",2,INT(RAND()*5)+INT(RAND()*3)*INT(RAND()*2))))</f>
        <v>2</v>
      </c>
      <c r="BI90" s="11" t="s">
        <v>25</v>
      </c>
      <c r="BJ90" s="107">
        <f ca="1">IF($B$102&lt;&gt;"","",IF($B$101&lt;&gt;"",IF(Ergebnisse!BJ90="","",Ergebnisse!BJ90),IF($B$99="",1,BH90+IF(BH90=0,1,IF(BH90=9,-1,CHOOSE(INT(RAND()*2)+1,1,-1))))))</f>
        <v>1</v>
      </c>
      <c r="BK90" s="7" t="str">
        <f t="shared" ca="1" si="27"/>
        <v>ok</v>
      </c>
      <c r="BL90" s="1"/>
      <c r="BM90" s="68" t="str">
        <f ca="1">IF(BJ90="","",IF(BJ90=BH90,"falsch!!! K.Remis",IF(BH90&gt;BJ90,BD90,BF90)))</f>
        <v>Südafrika</v>
      </c>
      <c r="BN90" s="1" t="str">
        <f>BP84</f>
        <v>VF3</v>
      </c>
      <c r="BO90" s="1" t="str">
        <f>BP85</f>
        <v>VF4</v>
      </c>
      <c r="BP90" s="1" t="s">
        <v>59</v>
      </c>
      <c r="BQ90" s="1"/>
      <c r="BR90" s="1"/>
      <c r="BS90" s="62"/>
      <c r="BT90" s="62"/>
      <c r="BU90" s="62"/>
      <c r="BV90" s="62"/>
      <c r="BW90" s="62"/>
      <c r="BX90" s="62"/>
      <c r="BY90" s="206"/>
      <c r="BZ90" s="206"/>
      <c r="CA90" s="206"/>
      <c r="CB90" s="206"/>
      <c r="CC90" s="206"/>
      <c r="CD90" s="206"/>
      <c r="CE90" s="206"/>
      <c r="CF90" s="206"/>
      <c r="CG90" s="206"/>
      <c r="CH90" s="206"/>
      <c r="CI90" s="206"/>
      <c r="CJ90" s="206"/>
      <c r="CK90" s="206"/>
      <c r="CL90" s="206"/>
      <c r="CM90" s="206"/>
      <c r="CN90" s="206"/>
      <c r="CO90" s="206"/>
      <c r="CP90" s="55"/>
      <c r="CQ90" s="55"/>
      <c r="CR90" s="55"/>
      <c r="CS90" s="55"/>
      <c r="CT90" s="55"/>
      <c r="CU90" s="55"/>
      <c r="CV90" s="55"/>
      <c r="CW90" s="55"/>
      <c r="CX90" s="206"/>
      <c r="CY90" s="206"/>
      <c r="CZ90" s="206"/>
    </row>
    <row r="91" spans="1:104">
      <c r="H91" s="2"/>
      <c r="I91" s="2"/>
      <c r="J91" s="2"/>
      <c r="M91" s="2"/>
      <c r="S91" s="2"/>
      <c r="T91" s="2"/>
      <c r="U91" s="2"/>
      <c r="V91" s="2"/>
      <c r="W91" s="2"/>
      <c r="X91" s="2"/>
      <c r="Y91" s="2"/>
      <c r="Z91" s="2"/>
      <c r="AA91" s="2"/>
      <c r="AB91" s="2"/>
      <c r="AC91" s="2"/>
      <c r="AI91" s="2"/>
      <c r="AJ91" s="2"/>
      <c r="AK91" s="2"/>
      <c r="AL91" s="2"/>
      <c r="AM91" s="2"/>
      <c r="AN91" s="2"/>
      <c r="AO91" s="2"/>
      <c r="AP91" s="2"/>
      <c r="AQ91" s="2"/>
      <c r="AR91" s="2"/>
      <c r="AS91" s="2"/>
      <c r="AT91" s="2"/>
      <c r="AU91" s="2"/>
      <c r="AV91" s="2"/>
      <c r="AX91" s="206"/>
      <c r="AY91" s="206"/>
      <c r="AZ91" s="206"/>
      <c r="BB91" s="1"/>
      <c r="BC91" s="3"/>
      <c r="BD91" s="14"/>
      <c r="BE91" s="14"/>
      <c r="BF91" s="14"/>
      <c r="BG91" s="14"/>
      <c r="BH91" s="14"/>
      <c r="BI91" s="14"/>
      <c r="BJ91" s="14"/>
      <c r="BL91" s="1"/>
      <c r="BM91" s="50" t="str">
        <f ca="1">IF(BD89=BM89,BF89,BD89)</f>
        <v>Panama</v>
      </c>
      <c r="BN91" s="1"/>
      <c r="BO91" s="1"/>
      <c r="BP91" s="1" t="s">
        <v>60</v>
      </c>
      <c r="BQ91" s="1"/>
      <c r="BR91" s="1"/>
      <c r="BS91" s="62"/>
      <c r="BT91" s="62"/>
      <c r="BU91" s="62"/>
      <c r="BV91" s="62"/>
      <c r="BW91" s="62"/>
      <c r="BX91" s="62"/>
      <c r="BY91" s="206"/>
      <c r="BZ91" s="206"/>
      <c r="CA91" s="206"/>
      <c r="CB91" s="206"/>
      <c r="CC91" s="206"/>
      <c r="CD91" s="206"/>
      <c r="CE91" s="206"/>
      <c r="CF91" s="206"/>
      <c r="CG91" s="206"/>
      <c r="CH91" s="206"/>
      <c r="CI91" s="206"/>
      <c r="CJ91" s="206"/>
      <c r="CK91" s="206"/>
      <c r="CL91" s="206"/>
      <c r="CM91" s="206"/>
      <c r="CN91" s="206"/>
      <c r="CO91" s="206"/>
      <c r="CP91" s="55"/>
      <c r="CQ91" s="55"/>
      <c r="CR91" s="55"/>
      <c r="CS91" s="55"/>
      <c r="CT91" s="55"/>
      <c r="CU91" s="55"/>
      <c r="CV91" s="55"/>
      <c r="CW91" s="55"/>
      <c r="CX91" s="206"/>
      <c r="CY91" s="206"/>
      <c r="CZ91" s="206"/>
    </row>
    <row r="92" spans="1:104">
      <c r="B92" s="51" t="s">
        <v>62</v>
      </c>
      <c r="C92" s="3"/>
      <c r="D92" s="10"/>
      <c r="E92" s="16"/>
      <c r="H92" s="2"/>
      <c r="I92" s="2"/>
      <c r="J92" s="2"/>
      <c r="M92" s="2"/>
      <c r="P92" s="1"/>
      <c r="AX92" s="206"/>
      <c r="AY92" s="206"/>
      <c r="AZ92" s="206"/>
      <c r="BB92" s="51" t="s">
        <v>64</v>
      </c>
      <c r="BC92" s="3"/>
      <c r="BD92" s="10"/>
      <c r="BE92" s="16"/>
      <c r="BF92" s="14"/>
      <c r="BG92" s="14"/>
      <c r="BH92" s="14"/>
      <c r="BI92" s="14"/>
      <c r="BJ92" s="14"/>
      <c r="BM92" s="50" t="str">
        <f ca="1">IF(BD90=BM90,BF90,BD90)</f>
        <v>Belgien</v>
      </c>
      <c r="BP92" s="1" t="s">
        <v>61</v>
      </c>
      <c r="BS92" s="55"/>
      <c r="BT92" s="55"/>
      <c r="BU92" s="55"/>
      <c r="BV92" s="55"/>
      <c r="BW92" s="55"/>
      <c r="BX92" s="55"/>
      <c r="BY92" s="206"/>
      <c r="BZ92" s="206"/>
      <c r="CA92" s="206"/>
      <c r="CB92" s="206"/>
      <c r="CC92" s="206"/>
      <c r="CD92" s="206"/>
      <c r="CE92" s="206"/>
      <c r="CF92" s="206"/>
      <c r="CG92" s="206"/>
      <c r="CH92" s="206"/>
      <c r="CI92" s="206"/>
      <c r="CJ92" s="206"/>
      <c r="CK92" s="206"/>
      <c r="CL92" s="206"/>
      <c r="CM92" s="206"/>
      <c r="CN92" s="206"/>
      <c r="CO92" s="206"/>
      <c r="CP92" s="55"/>
      <c r="CQ92" s="55"/>
      <c r="CR92" s="55"/>
      <c r="CS92" s="55"/>
      <c r="CT92" s="55"/>
      <c r="CU92" s="55"/>
      <c r="CV92" s="55"/>
      <c r="CW92" s="55"/>
      <c r="CX92" s="206"/>
      <c r="CY92" s="206"/>
      <c r="CZ92" s="206"/>
    </row>
    <row r="93" spans="1:104">
      <c r="B93" s="3" t="s">
        <v>22</v>
      </c>
      <c r="C93" s="3" t="s">
        <v>23</v>
      </c>
      <c r="D93" s="10"/>
      <c r="E93" s="16"/>
      <c r="H93" s="2"/>
      <c r="I93" s="2"/>
      <c r="J93" s="2"/>
      <c r="M93" s="2" t="s">
        <v>63</v>
      </c>
      <c r="P93" s="1"/>
      <c r="Q93" s="1"/>
      <c r="R93" s="1"/>
      <c r="S93" s="62"/>
      <c r="T93" s="62"/>
      <c r="U93" s="62"/>
      <c r="V93" s="62"/>
      <c r="W93" s="62"/>
      <c r="AO93" s="62"/>
      <c r="AX93" s="206"/>
      <c r="AY93" s="206"/>
      <c r="AZ93" s="206"/>
      <c r="BB93" s="3" t="s">
        <v>22</v>
      </c>
      <c r="BC93" s="3" t="s">
        <v>23</v>
      </c>
      <c r="BD93" s="10"/>
      <c r="BE93" s="16"/>
      <c r="BF93" s="14"/>
      <c r="BG93" s="14"/>
      <c r="BH93" s="14"/>
      <c r="BI93" s="14"/>
      <c r="BJ93" s="14"/>
      <c r="BM93" s="2"/>
      <c r="BP93" s="1"/>
      <c r="BQ93" s="1"/>
      <c r="BR93" s="1"/>
      <c r="BS93" s="62"/>
      <c r="BT93" s="62"/>
      <c r="BU93" s="62"/>
      <c r="BV93" s="62"/>
      <c r="BW93" s="62"/>
      <c r="BX93" s="55"/>
      <c r="BZ93" s="55"/>
      <c r="CA93" s="55"/>
      <c r="CB93" s="55"/>
      <c r="CC93" s="55"/>
      <c r="CD93" s="206"/>
      <c r="CE93" s="206"/>
      <c r="CF93" s="204"/>
      <c r="CG93" s="62"/>
      <c r="CH93" s="62"/>
      <c r="CI93" s="55"/>
      <c r="CJ93" s="55"/>
      <c r="CK93" s="55"/>
      <c r="CL93" s="55"/>
      <c r="CM93" s="55"/>
      <c r="CN93" s="55"/>
      <c r="CO93" s="62"/>
      <c r="CP93" s="55"/>
      <c r="CQ93" s="55"/>
      <c r="CR93" s="55"/>
      <c r="CS93" s="55"/>
      <c r="CT93" s="55"/>
      <c r="CU93" s="55"/>
      <c r="CV93" s="55"/>
      <c r="CW93" s="55"/>
      <c r="CX93" s="206"/>
      <c r="CY93" s="206"/>
      <c r="CZ93" s="206"/>
    </row>
    <row r="94" spans="1:104">
      <c r="A94" s="2">
        <f>BA94+1</f>
        <v>104</v>
      </c>
      <c r="B94" s="6">
        <f>VLOOKUP(A94,Spiele!$A$1:$L$116,2,FALSE)</f>
        <v>46222.625</v>
      </c>
      <c r="C94" s="6" t="str">
        <f>VLOOKUP(A94,Spiele!$A$1:$L$116,9,FALSE)</f>
        <v>New York</v>
      </c>
      <c r="D94" s="33" t="str">
        <f ca="1">BM89</f>
        <v>Frankreich</v>
      </c>
      <c r="E94" s="21" t="s">
        <v>24</v>
      </c>
      <c r="F94" s="33" t="str">
        <f ca="1">BM90</f>
        <v>Südafrika</v>
      </c>
      <c r="G94" s="17"/>
      <c r="H94" s="107">
        <f ca="1">IF($B$102&lt;&gt;"","",IF($B$101&lt;&gt;"",IF(Ergebnisse!H94="","",Ergebnisse!H94),IF($B$99="",2,INT(RAND()*5)+INT(RAND()*3)*INT(RAND()*2))))</f>
        <v>3</v>
      </c>
      <c r="I94" s="11" t="s">
        <v>25</v>
      </c>
      <c r="J94" s="107">
        <f ca="1">IF($B$102&lt;&gt;"","",IF($B$101&lt;&gt;"",IF(Ergebnisse!J94="","",Ergebnisse!J94),IF($B$99="",1,H94+IF(H94=0,1,IF(H94=9,-1,CHOOSE(INT(RAND()*2)+1,1,-1))))))</f>
        <v>4</v>
      </c>
      <c r="K94" s="7" t="str">
        <f t="shared" ca="1" si="12"/>
        <v>ok</v>
      </c>
      <c r="L94" s="1"/>
      <c r="M94" s="52" t="str">
        <f ca="1">IF(J94="","",IF(J94=H94,"falsch!!! K.Remis",IF(H94&gt;J94,D94,F94)))</f>
        <v>Südafrika</v>
      </c>
      <c r="N94" s="1" t="str">
        <f>BP89</f>
        <v>F1</v>
      </c>
      <c r="O94" s="1" t="str">
        <f>BP90</f>
        <v>F2</v>
      </c>
      <c r="Q94" s="1"/>
      <c r="R94" s="1"/>
      <c r="S94" s="62"/>
      <c r="T94" s="62"/>
      <c r="U94" s="62"/>
      <c r="V94" s="62"/>
      <c r="W94" s="62"/>
      <c r="AO94" s="62"/>
      <c r="AX94" s="206"/>
      <c r="AY94" s="206"/>
      <c r="AZ94" s="206"/>
      <c r="BA94" s="2">
        <f>BA90+1</f>
        <v>103</v>
      </c>
      <c r="BB94" s="6">
        <f>VLOOKUP(BA94,Spiele!$A$1:$L$116,2,FALSE)</f>
        <v>46221.708333333336</v>
      </c>
      <c r="BC94" s="6" t="str">
        <f>VLOOKUP(BA94,Spiele!$A$1:$L$116,9,FALSE)</f>
        <v>Miami</v>
      </c>
      <c r="BD94" s="22" t="str">
        <f ca="1">BM91</f>
        <v>Panama</v>
      </c>
      <c r="BE94" s="21" t="s">
        <v>24</v>
      </c>
      <c r="BF94" s="22" t="str">
        <f ca="1">BM92</f>
        <v>Belgien</v>
      </c>
      <c r="BG94" s="17"/>
      <c r="BH94" s="107">
        <f ca="1">IF($B$102&lt;&gt;"","",IF($B$101&lt;&gt;"",IF(Ergebnisse!BH94="","",Ergebnisse!BH94),IF($B$99="",2,INT(RAND()*5)+INT(RAND()*3)*INT(RAND()*2))))</f>
        <v>1</v>
      </c>
      <c r="BI94" s="11" t="s">
        <v>25</v>
      </c>
      <c r="BJ94" s="107">
        <f ca="1">IF($B$102&lt;&gt;"","",IF($B$101&lt;&gt;"",IF(Ergebnisse!BJ94="","",Ergebnisse!BJ94),IF($B$99="",1,BH94+IF(BH94=0,1,IF(BH94=9,-1,CHOOSE(INT(RAND()*2)+1,1,-1))))))</f>
        <v>0</v>
      </c>
      <c r="BK94" s="7" t="str">
        <f t="shared" ca="1" si="27"/>
        <v>ok</v>
      </c>
      <c r="BL94" s="1"/>
      <c r="BM94" s="3" t="str">
        <f ca="1">IF(BJ94="","",IF(BJ94=BH94,"falsch!!! K.Remis",IF(BH94&gt;BJ94,BD94,BF94)))</f>
        <v>Panama</v>
      </c>
      <c r="BN94" s="1" t="str">
        <f>BP91</f>
        <v>HF1</v>
      </c>
      <c r="BO94" s="1" t="str">
        <f>BP92</f>
        <v>HF2</v>
      </c>
      <c r="BQ94" s="1"/>
      <c r="BR94" s="1"/>
      <c r="BS94" s="62"/>
      <c r="BT94" s="62"/>
      <c r="BU94" s="62"/>
      <c r="BV94" s="62"/>
      <c r="BW94" s="62"/>
      <c r="BX94" s="55"/>
      <c r="BZ94" s="55"/>
      <c r="CA94" s="55"/>
      <c r="CB94" s="55"/>
      <c r="CC94" s="55"/>
      <c r="CD94" s="206"/>
      <c r="CE94" s="206"/>
      <c r="CF94" s="204"/>
      <c r="CG94" s="62"/>
      <c r="CH94" s="62"/>
      <c r="CI94" s="55"/>
      <c r="CJ94" s="55"/>
      <c r="CK94" s="55"/>
      <c r="CL94" s="55"/>
      <c r="CM94" s="55"/>
      <c r="CN94" s="55"/>
      <c r="CO94" s="62"/>
      <c r="CP94" s="55"/>
      <c r="CQ94" s="55"/>
      <c r="CR94" s="55"/>
      <c r="CS94" s="55"/>
      <c r="CT94" s="55"/>
      <c r="CU94" s="55"/>
      <c r="CV94" s="55"/>
      <c r="CW94" s="55"/>
      <c r="CX94" s="206"/>
      <c r="CY94" s="206"/>
      <c r="CZ94" s="206"/>
    </row>
    <row r="95" spans="1:104">
      <c r="H95" s="2"/>
      <c r="I95" s="2"/>
      <c r="J95" s="2"/>
      <c r="K95" s="2"/>
      <c r="M95" s="2"/>
      <c r="S95" s="2"/>
      <c r="T95" s="2"/>
      <c r="U95" s="2"/>
      <c r="V95" s="2"/>
      <c r="W95" s="2"/>
      <c r="X95" s="2"/>
      <c r="Y95" s="2"/>
      <c r="Z95" s="2"/>
      <c r="AA95" s="2"/>
      <c r="AB95" s="2"/>
      <c r="AC95" s="2"/>
      <c r="AD95" s="2"/>
      <c r="AI95" s="2"/>
      <c r="AJ95" s="2"/>
      <c r="AK95" s="2"/>
      <c r="AL95" s="2"/>
      <c r="AM95" s="2"/>
      <c r="AN95" s="2"/>
      <c r="AO95" s="2"/>
      <c r="AP95" s="2"/>
      <c r="AQ95" s="2"/>
      <c r="AR95" s="2"/>
      <c r="AS95" s="2"/>
      <c r="AT95" s="2"/>
      <c r="AU95" s="2"/>
      <c r="AV95" s="2"/>
      <c r="AX95" s="206"/>
      <c r="AY95" s="206"/>
      <c r="AZ95" s="206"/>
      <c r="BD95" s="10"/>
      <c r="BE95" s="16"/>
      <c r="BF95" s="10"/>
      <c r="BG95" s="10"/>
      <c r="BH95" s="23"/>
      <c r="BJ95" s="23"/>
      <c r="BK95" s="181"/>
      <c r="BM95" s="2"/>
      <c r="BQ95" s="1"/>
      <c r="BR95" s="1"/>
      <c r="BS95" s="62"/>
      <c r="BT95" s="62"/>
      <c r="BU95" s="62"/>
      <c r="BV95" s="62"/>
      <c r="BW95" s="62"/>
      <c r="BX95" s="55"/>
      <c r="BZ95" s="55"/>
      <c r="CA95" s="55"/>
      <c r="CB95" s="55"/>
      <c r="CC95" s="55"/>
      <c r="CD95" s="206"/>
      <c r="CE95" s="206"/>
      <c r="CF95" s="204"/>
      <c r="CG95" s="62"/>
      <c r="CH95" s="62"/>
      <c r="CI95" s="55"/>
      <c r="CJ95" s="55"/>
      <c r="CK95" s="55"/>
      <c r="CL95" s="55"/>
      <c r="CM95" s="55"/>
      <c r="CN95" s="55"/>
      <c r="CO95" s="62"/>
      <c r="CP95" s="55"/>
      <c r="CQ95" s="55"/>
      <c r="CR95" s="55"/>
      <c r="CS95" s="55"/>
      <c r="CT95" s="55"/>
      <c r="CU95" s="55"/>
      <c r="CV95" s="55"/>
      <c r="CW95" s="55"/>
      <c r="CX95" s="206"/>
      <c r="CY95" s="206"/>
      <c r="CZ95" s="206"/>
    </row>
    <row r="96" spans="1:104">
      <c r="H96" s="2"/>
      <c r="I96" s="2"/>
      <c r="J96" s="2"/>
      <c r="K96" s="2"/>
      <c r="M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c r="BB96"/>
      <c r="BC96"/>
      <c r="BD96"/>
      <c r="BE96"/>
      <c r="BF96"/>
      <c r="BG96"/>
      <c r="BH96"/>
      <c r="BI96"/>
      <c r="BJ96"/>
      <c r="BK96"/>
      <c r="BL96"/>
      <c r="BM96"/>
      <c r="BN96"/>
      <c r="BO96"/>
      <c r="BP96"/>
      <c r="BQ96"/>
      <c r="BR96"/>
      <c r="BS96"/>
      <c r="BT96"/>
      <c r="BU96"/>
      <c r="BV96"/>
      <c r="BW96"/>
      <c r="BX96"/>
      <c r="BY96"/>
      <c r="BZ96"/>
      <c r="CA96"/>
      <c r="CB96"/>
      <c r="CC96"/>
      <c r="CD96"/>
      <c r="CE96"/>
      <c r="CF96"/>
      <c r="CG96" s="206"/>
      <c r="CH96" s="206"/>
      <c r="CI96" s="206"/>
      <c r="CJ96" s="206"/>
      <c r="CK96" s="206"/>
      <c r="CL96" s="206"/>
      <c r="CM96" s="206"/>
      <c r="CN96" s="206"/>
      <c r="CO96" s="206"/>
    </row>
    <row r="97" spans="1:82" ht="13.5" thickBot="1">
      <c r="H97" s="8"/>
      <c r="I97" s="8"/>
      <c r="J97" s="8"/>
      <c r="K97" s="8"/>
      <c r="M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H97" s="8"/>
      <c r="BI97" s="8"/>
      <c r="BJ97" s="8"/>
      <c r="BK97" s="8"/>
      <c r="BM97" s="2"/>
      <c r="BY97" s="2"/>
    </row>
    <row r="98" spans="1:82" ht="14.25" thickTop="1" thickBot="1">
      <c r="B98" s="202" t="s">
        <v>26</v>
      </c>
      <c r="C98" s="1" t="s">
        <v>20</v>
      </c>
      <c r="D98" s="3"/>
      <c r="E98" s="3"/>
      <c r="F98" s="3"/>
      <c r="G98" s="82"/>
      <c r="H98" s="178"/>
      <c r="AD98" s="63"/>
      <c r="BH98" s="8"/>
      <c r="BI98" s="8"/>
      <c r="BJ98" s="8"/>
      <c r="BK98" s="8"/>
      <c r="CD98" s="3"/>
    </row>
    <row r="99" spans="1:82" ht="14.25" thickTop="1" thickBot="1">
      <c r="B99" s="179" t="s">
        <v>191</v>
      </c>
      <c r="C99" s="1" t="s">
        <v>115</v>
      </c>
      <c r="E99" s="3"/>
      <c r="F99" s="3"/>
      <c r="AD99" s="63"/>
      <c r="BH99" s="8"/>
      <c r="BI99" s="8"/>
      <c r="BJ99" s="8"/>
      <c r="BK99" s="8"/>
      <c r="CD99" s="3"/>
    </row>
    <row r="100" spans="1:82" ht="14.25" thickTop="1" thickBot="1">
      <c r="A100" s="82"/>
      <c r="B100" s="179">
        <f ca="1">IF($B$99="",1,INT(RAND()*5)+INT(RAND()*3)*INT(RAND()*2))</f>
        <v>4</v>
      </c>
      <c r="C100" s="1" t="s">
        <v>65</v>
      </c>
      <c r="E100" s="3"/>
      <c r="F100" s="3"/>
      <c r="AD100" s="63"/>
      <c r="BH100" s="8"/>
      <c r="BI100" s="8"/>
      <c r="BJ100" s="8"/>
      <c r="BK100" s="8"/>
      <c r="CD100" s="3"/>
    </row>
    <row r="101" spans="1:82" ht="14.25" thickTop="1" thickBot="1">
      <c r="B101" s="179"/>
      <c r="C101" s="1" t="s">
        <v>158</v>
      </c>
    </row>
    <row r="102" spans="1:82" ht="14.25" thickTop="1" thickBot="1">
      <c r="B102" s="179"/>
      <c r="C102" s="1" t="s">
        <v>159</v>
      </c>
    </row>
    <row r="103" spans="1:82" ht="13.5" thickTop="1"/>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DB104"/>
  <sheetViews>
    <sheetView topLeftCell="A79" workbookViewId="0">
      <selection activeCell="H98" sqref="H98"/>
    </sheetView>
  </sheetViews>
  <sheetFormatPr baseColWidth="10" defaultRowHeight="12.75"/>
  <cols>
    <col min="1" max="1" width="4.28515625" style="2" customWidth="1"/>
    <col min="2" max="2" width="15.28515625" style="2" customWidth="1"/>
    <col min="3" max="4" width="14.28515625" style="2" customWidth="1"/>
    <col min="5" max="5" width="2" style="2" customWidth="1"/>
    <col min="6" max="6" width="14.28515625" style="2" customWidth="1"/>
    <col min="7" max="7" width="1.5703125" style="2" customWidth="1"/>
    <col min="8" max="8" width="3.5703125" style="12" customWidth="1"/>
    <col min="9" max="9" width="1.5703125" style="12" customWidth="1"/>
    <col min="10" max="10" width="3.5703125" style="12" customWidth="1"/>
    <col min="11" max="11" width="3" style="7" customWidth="1"/>
    <col min="12" max="12" width="2" style="2" customWidth="1"/>
    <col min="13" max="13" width="14.28515625" style="9" customWidth="1"/>
    <col min="14" max="17" width="4.28515625" style="2" customWidth="1"/>
    <col min="18" max="18" width="3.85546875" style="2" customWidth="1"/>
    <col min="19" max="22" width="2" style="55" hidden="1" customWidth="1"/>
    <col min="23" max="23" width="1.7109375" style="55" hidden="1" customWidth="1"/>
    <col min="24" max="24" width="3" style="55" hidden="1" customWidth="1"/>
    <col min="25" max="25" width="14.28515625" style="55" hidden="1" customWidth="1"/>
    <col min="26" max="26" width="2.28515625" style="55" hidden="1" customWidth="1"/>
    <col min="27" max="27" width="3.28515625" style="55" hidden="1" customWidth="1"/>
    <col min="28" max="28" width="3" style="55" hidden="1" customWidth="1"/>
    <col min="29" max="29" width="4.42578125" style="55" hidden="1" customWidth="1"/>
    <col min="30" max="30" width="19.28515625" style="55" hidden="1" customWidth="1"/>
    <col min="31" max="31" width="3.140625" style="55" hidden="1" customWidth="1"/>
    <col min="32" max="32" width="3.5703125" style="55" hidden="1" customWidth="1"/>
    <col min="33" max="36" width="2.85546875" style="55" hidden="1" customWidth="1"/>
    <col min="37" max="37" width="3.140625" style="55" hidden="1" customWidth="1"/>
    <col min="38" max="38" width="6.42578125" style="55" hidden="1" customWidth="1"/>
    <col min="39" max="42" width="2.85546875" style="55" hidden="1" customWidth="1"/>
    <col min="43" max="43" width="7.7109375" style="55" hidden="1" customWidth="1"/>
    <col min="44" max="47" width="3" style="55" hidden="1" customWidth="1"/>
    <col min="48" max="48" width="3.140625" style="55" hidden="1" customWidth="1"/>
    <col min="49" max="49" width="11.42578125" style="55" hidden="1" customWidth="1"/>
    <col min="50" max="50" width="8.85546875" style="1" customWidth="1"/>
    <col min="51" max="51" width="7.140625" style="1" customWidth="1"/>
    <col min="52" max="52" width="11.42578125" style="55" customWidth="1"/>
    <col min="53" max="53" width="5" style="2" customWidth="1"/>
    <col min="54" max="54" width="15.28515625" style="2" customWidth="1"/>
    <col min="55" max="56" width="14.28515625" style="2" customWidth="1"/>
    <col min="57" max="57" width="2" style="2" customWidth="1"/>
    <col min="58" max="58" width="14.28515625" style="2" customWidth="1"/>
    <col min="59" max="59" width="1.5703125" style="2" customWidth="1"/>
    <col min="60" max="60" width="3.5703125" style="12" customWidth="1"/>
    <col min="61" max="61" width="1.5703125" style="12" customWidth="1"/>
    <col min="62" max="62" width="3.5703125" style="12" customWidth="1"/>
    <col min="63" max="63" width="3" style="7" customWidth="1"/>
    <col min="64" max="64" width="2" style="2" customWidth="1"/>
    <col min="65" max="65" width="14.28515625" style="9" customWidth="1"/>
    <col min="66" max="69" width="4.28515625" style="2" customWidth="1"/>
    <col min="70" max="70" width="3.85546875" style="2" customWidth="1"/>
    <col min="71" max="74" width="2" style="2" hidden="1" customWidth="1"/>
    <col min="75" max="75" width="1.7109375" style="2" hidden="1" customWidth="1"/>
    <col min="76" max="76" width="3" style="2" hidden="1" customWidth="1"/>
    <col min="77" max="77" width="14.28515625" style="55" hidden="1" customWidth="1"/>
    <col min="78" max="78" width="2.28515625" style="2" hidden="1" customWidth="1"/>
    <col min="79" max="79" width="3.28515625" style="2" hidden="1" customWidth="1"/>
    <col min="80" max="80" width="3" style="2" hidden="1" customWidth="1"/>
    <col min="81" max="81" width="4.42578125" style="2" hidden="1" customWidth="1"/>
    <col min="82" max="82" width="19.28515625" style="2" hidden="1" customWidth="1"/>
    <col min="83" max="100" width="5" style="2" hidden="1" customWidth="1"/>
    <col min="101" max="101" width="11.42578125" style="2" hidden="1" customWidth="1"/>
    <col min="102" max="102" width="8.85546875" style="17" customWidth="1"/>
    <col min="103" max="103" width="7.28515625" style="1" customWidth="1"/>
    <col min="104" max="104" width="11.42578125" style="2" customWidth="1"/>
    <col min="105" max="105" width="36.7109375" style="2" bestFit="1" customWidth="1"/>
    <col min="106" max="106" width="9.140625" style="2" customWidth="1"/>
    <col min="107" max="16384" width="11.42578125" style="2"/>
  </cols>
  <sheetData>
    <row r="1" spans="1:106" s="10" customFormat="1" ht="14.25" thickTop="1" thickBot="1">
      <c r="A1" s="10" t="s">
        <v>72</v>
      </c>
      <c r="B1" s="28" t="s">
        <v>0</v>
      </c>
      <c r="C1" s="26" t="s">
        <v>1</v>
      </c>
      <c r="D1" s="17" t="s">
        <v>2</v>
      </c>
      <c r="E1" s="14"/>
      <c r="F1" s="17"/>
      <c r="G1" s="172"/>
      <c r="H1" s="173"/>
      <c r="I1" s="19"/>
      <c r="J1" s="20"/>
      <c r="K1" s="180"/>
      <c r="L1" s="17"/>
      <c r="M1" s="35" t="s">
        <v>3</v>
      </c>
      <c r="N1" s="17" t="s">
        <v>4</v>
      </c>
      <c r="O1" s="17" t="s">
        <v>5</v>
      </c>
      <c r="P1" s="17" t="s">
        <v>6</v>
      </c>
      <c r="Q1" s="17" t="s">
        <v>7</v>
      </c>
      <c r="R1" s="17"/>
      <c r="S1" s="55"/>
      <c r="T1" s="55"/>
      <c r="U1" s="55"/>
      <c r="V1" s="55"/>
      <c r="W1" s="53"/>
      <c r="X1" s="53" t="s">
        <v>8</v>
      </c>
      <c r="Y1" s="56" t="s">
        <v>9</v>
      </c>
      <c r="Z1" s="53" t="s">
        <v>4</v>
      </c>
      <c r="AA1" s="53" t="s">
        <v>5</v>
      </c>
      <c r="AB1" s="53" t="s">
        <v>6</v>
      </c>
      <c r="AC1" s="53" t="s">
        <v>7</v>
      </c>
      <c r="AD1" s="53"/>
      <c r="AE1" s="19" t="s">
        <v>10</v>
      </c>
      <c r="AF1" s="40" t="s">
        <v>11</v>
      </c>
      <c r="AG1" s="40"/>
      <c r="AH1" s="40"/>
      <c r="AI1" s="40"/>
      <c r="AJ1" s="40" t="s">
        <v>12</v>
      </c>
      <c r="AK1" s="56" t="s">
        <v>13</v>
      </c>
      <c r="AL1" s="40" t="s">
        <v>14</v>
      </c>
      <c r="AM1" s="40"/>
      <c r="AN1" s="40"/>
      <c r="AO1" s="40"/>
      <c r="AP1" s="40" t="s">
        <v>15</v>
      </c>
      <c r="AQ1" s="40" t="s">
        <v>16</v>
      </c>
      <c r="AR1" s="40"/>
      <c r="AS1" s="40"/>
      <c r="AT1" s="40"/>
      <c r="AU1" s="58" t="s">
        <v>17</v>
      </c>
      <c r="AV1" s="56" t="s">
        <v>18</v>
      </c>
      <c r="AX1" s="28">
        <f ca="1">IF($CX$97="",2*COUNTIF(Ergebnisse!$D$63:'Ergebnisse'!$F$78,M7),2*INT(RAND()*2))</f>
        <v>2</v>
      </c>
      <c r="AY1" s="17" t="str">
        <f ca="1">IF(COUNTIF(Ergebnisse!K3:'Ergebnisse'!K8,Ergebnisse!$B$98)=6,"ok","")</f>
        <v>ok</v>
      </c>
      <c r="BA1" s="10" t="s">
        <v>72</v>
      </c>
      <c r="BB1" s="76" t="s">
        <v>0</v>
      </c>
      <c r="BC1" s="177" t="s">
        <v>40</v>
      </c>
      <c r="BD1" s="53" t="s">
        <v>2</v>
      </c>
      <c r="BE1" s="54"/>
      <c r="BF1" s="53"/>
      <c r="BG1" s="53"/>
      <c r="BH1" s="20"/>
      <c r="BI1" s="19"/>
      <c r="BJ1" s="20"/>
      <c r="BK1" s="180"/>
      <c r="BL1" s="17"/>
      <c r="BM1" s="35" t="s">
        <v>3</v>
      </c>
      <c r="BN1" s="17" t="s">
        <v>4</v>
      </c>
      <c r="BO1" s="17" t="s">
        <v>5</v>
      </c>
      <c r="BP1" s="17" t="s">
        <v>6</v>
      </c>
      <c r="BQ1" s="17" t="s">
        <v>7</v>
      </c>
      <c r="BR1" s="17"/>
      <c r="BS1" s="2"/>
      <c r="BT1" s="2"/>
      <c r="BU1" s="2"/>
      <c r="BV1" s="2"/>
      <c r="BW1" s="17"/>
      <c r="BX1" s="17" t="s">
        <v>8</v>
      </c>
      <c r="BY1" s="56" t="s">
        <v>9</v>
      </c>
      <c r="BZ1" s="17" t="s">
        <v>4</v>
      </c>
      <c r="CA1" s="17" t="s">
        <v>5</v>
      </c>
      <c r="CB1" s="17" t="s">
        <v>6</v>
      </c>
      <c r="CC1" s="17" t="s">
        <v>7</v>
      </c>
      <c r="CD1" s="17"/>
      <c r="CE1" s="180" t="s">
        <v>10</v>
      </c>
      <c r="CF1" s="15" t="s">
        <v>11</v>
      </c>
      <c r="CG1" s="15"/>
      <c r="CH1" s="15"/>
      <c r="CI1" s="15"/>
      <c r="CJ1" s="15" t="s">
        <v>12</v>
      </c>
      <c r="CK1" s="21" t="s">
        <v>13</v>
      </c>
      <c r="CL1" s="15" t="s">
        <v>14</v>
      </c>
      <c r="CM1" s="15"/>
      <c r="CN1" s="15"/>
      <c r="CO1" s="15"/>
      <c r="CP1" s="15" t="s">
        <v>15</v>
      </c>
      <c r="CQ1" s="15" t="s">
        <v>16</v>
      </c>
      <c r="CR1" s="15"/>
      <c r="CS1" s="15"/>
      <c r="CT1" s="15"/>
      <c r="CU1" s="16" t="s">
        <v>17</v>
      </c>
      <c r="CV1" s="21" t="s">
        <v>18</v>
      </c>
      <c r="CX1" s="76">
        <f ca="1">IF($CX$97="",2*COUNTIF(Ergebnisse!$D$63:'Ergebnisse'!$F$78,BM7),2*INT(RAND()*2))</f>
        <v>2</v>
      </c>
      <c r="CY1" s="17" t="str">
        <f ca="1">IF(COUNTIF(Ergebnisse!BK3:'Ergebnisse'!BK8,Ergebnisse!$B$98)=6,"ok","")</f>
        <v>ok</v>
      </c>
      <c r="DA1" s="163" t="s">
        <v>124</v>
      </c>
      <c r="DB1" s="164"/>
    </row>
    <row r="2" spans="1:106" ht="13.5" thickTop="1">
      <c r="B2" s="3" t="s">
        <v>22</v>
      </c>
      <c r="C2" s="3" t="s">
        <v>23</v>
      </c>
      <c r="L2" s="1"/>
      <c r="M2" s="9" t="str">
        <f ca="1">VLOOKUP(1,$X$2:$AC$5,2,FALSE)</f>
        <v>Tschechien</v>
      </c>
      <c r="N2" s="2">
        <f ca="1">VLOOKUP(1,$X$2:$AC$5,3,FALSE)</f>
        <v>6</v>
      </c>
      <c r="O2" s="2">
        <f ca="1">VLOOKUP(1,$X$2:$AC$5,4,FALSE)</f>
        <v>5</v>
      </c>
      <c r="P2" s="2">
        <f ca="1">VLOOKUP(1,$X$2:$AC$5,5,FALSE)</f>
        <v>4</v>
      </c>
      <c r="Q2" s="2">
        <f ca="1">VLOOKUP(1,$X$2:$AC$5,6,FALSE)</f>
        <v>1</v>
      </c>
      <c r="S2" s="60"/>
      <c r="T2" s="61">
        <f ca="1">IF(H3="",0,IF(K3=$B$98,IF(H3&gt;J3,3,IF(H3=J3,1,0)),0))</f>
        <v>3</v>
      </c>
      <c r="U2" s="61">
        <f ca="1">IF(H5="",0,IF(K5=$B$98,IF(H5&gt;J5,3,IF(H5=J5,1,0)),0))</f>
        <v>3</v>
      </c>
      <c r="V2" s="61">
        <f ca="1">IF(J7="",0,IF(K8=$B$98,IF(H7&lt;J7,3,IF(H7=J7,1,0)),0))</f>
        <v>0</v>
      </c>
      <c r="W2" s="62"/>
      <c r="X2" s="62">
        <f ca="1">RANK(AD2,$AD$2:$AD$5)</f>
        <v>2</v>
      </c>
      <c r="Y2" s="216" t="s">
        <v>201</v>
      </c>
      <c r="Z2" s="62">
        <f ca="1">SUM(S2:V2)</f>
        <v>6</v>
      </c>
      <c r="AA2" s="62">
        <f ca="1">SUM(S6:V6)</f>
        <v>5</v>
      </c>
      <c r="AB2" s="62">
        <f ca="1">SUM(S6:S9)</f>
        <v>4</v>
      </c>
      <c r="AC2" s="62">
        <f ca="1">AA2-AB2</f>
        <v>1</v>
      </c>
      <c r="AD2" s="24">
        <f ca="1">IF(P$8="",(((((((AE2*10+Z2)*100+AC2)*100+AA2)*10+AK2)*10+AJ2)*100+AP2)*100+AU2)*10+AV2,(((((((AE2*10+Z2)*10+AK2)*10+AJ2)*100+AP2)*100+AU2)*100+AC2)*100+AA2)*10+AV2)</f>
        <v>596990101054</v>
      </c>
      <c r="AE2" s="203"/>
      <c r="AF2" s="217"/>
      <c r="AG2" s="217">
        <f ca="1">IF($Z2=$Z3,$T2-$S3,0)</f>
        <v>0</v>
      </c>
      <c r="AH2" s="217">
        <f ca="1">IF($Z2=$Z4,$U2-$S4,0)</f>
        <v>0</v>
      </c>
      <c r="AI2" s="217">
        <f ca="1">IF($Z2=$Z5,$V2-$S5,0)</f>
        <v>-3</v>
      </c>
      <c r="AJ2" s="217">
        <f ca="1">SUM(AF2:AI2)</f>
        <v>-3</v>
      </c>
      <c r="AK2" s="203"/>
      <c r="AL2" s="217"/>
      <c r="AM2" s="217">
        <f ca="1">IF($Z2=$Z3,$T6-$S7,0)</f>
        <v>0</v>
      </c>
      <c r="AN2" s="217">
        <f ca="1">IF($Z2=$Z4,$U6-$S8,0)</f>
        <v>0</v>
      </c>
      <c r="AO2" s="217">
        <f ca="1">IF($Z2=$Z5,$V6-$S9,0)</f>
        <v>-1</v>
      </c>
      <c r="AP2" s="217">
        <f ca="1">SUM(AL2:AO2)</f>
        <v>-1</v>
      </c>
      <c r="AQ2" s="217"/>
      <c r="AR2" s="217">
        <f ca="1">IF($Z2=$Z3,$T6,0)</f>
        <v>0</v>
      </c>
      <c r="AS2" s="217">
        <f ca="1">IF($Z2=$Z4,$U6,0)</f>
        <v>0</v>
      </c>
      <c r="AT2" s="217">
        <f ca="1">IF($Z2=$Z5,$V6,0)</f>
        <v>1</v>
      </c>
      <c r="AU2" s="217">
        <f ca="1">SUM(AQ2:AT2)</f>
        <v>1</v>
      </c>
      <c r="AV2" s="203">
        <v>4</v>
      </c>
      <c r="AW2" s="2"/>
      <c r="AX2" s="28">
        <f ca="1">IF($CX$97="",2*COUNTIF(Ergebnisse!$D$63:'Ergebnisse'!$F$78,M8),2*INT(RAND()*2))</f>
        <v>0</v>
      </c>
      <c r="AY2" s="17" t="str">
        <f ca="1">IF(COUNTIF(Ergebnisse!K3:'Ergebnisse'!K8,Ergebnisse!$B$98)=6,"ok","")</f>
        <v>ok</v>
      </c>
      <c r="AZ2" s="2"/>
      <c r="BB2" s="3" t="s">
        <v>22</v>
      </c>
      <c r="BC2" s="3" t="s">
        <v>23</v>
      </c>
      <c r="BD2" s="55"/>
      <c r="BE2" s="55"/>
      <c r="BF2" s="55"/>
      <c r="BG2" s="55"/>
      <c r="BL2" s="1"/>
      <c r="BM2" s="9" t="str">
        <f ca="1">VLOOKUP(1,$BX$2:$CC$5,2,FALSE)</f>
        <v>Türkei</v>
      </c>
      <c r="BN2" s="2">
        <f ca="1">VLOOKUP(1,$BX$2:$CC$5,3,FALSE)</f>
        <v>6</v>
      </c>
      <c r="BO2" s="2">
        <f ca="1">VLOOKUP(1,$BX$2:$CC$5,4,FALSE)</f>
        <v>5</v>
      </c>
      <c r="BP2" s="2">
        <f ca="1">VLOOKUP(1,$BX$2:$CC$5,5,FALSE)</f>
        <v>4</v>
      </c>
      <c r="BQ2" s="2">
        <f ca="1">VLOOKUP(1,$BX$2:$CC$5,6,FALSE)</f>
        <v>1</v>
      </c>
      <c r="BS2" s="60"/>
      <c r="BT2" s="61">
        <f ca="1">IF(BH3="",0,IF(BK3=$B$98,IF(BH3&gt;BJ3,3,IF(BH3=BJ3,1,0)),0))</f>
        <v>3</v>
      </c>
      <c r="BU2" s="61">
        <f ca="1">IF(BH5="",0,IF(BK5=$B$98,IF(BH5&gt;BJ5,3,IF(BH5=BJ5,1,0)),0))</f>
        <v>3</v>
      </c>
      <c r="BV2" s="61">
        <f ca="1">IF(BJ7="",0,IF(BK8=$B$98,IF(BH7&lt;BJ7,3,IF(BH7=BJ7,1,0)),0))</f>
        <v>0</v>
      </c>
      <c r="BW2" s="1"/>
      <c r="BX2" s="1">
        <f ca="1">RANK(CD2,$CD$2:$CD$5)</f>
        <v>2</v>
      </c>
      <c r="BY2" s="40" t="s">
        <v>202</v>
      </c>
      <c r="BZ2" s="1">
        <f ca="1">SUM(BS2:BV2)</f>
        <v>6</v>
      </c>
      <c r="CA2" s="1">
        <f ca="1">SUM(BS6:BV6)</f>
        <v>5</v>
      </c>
      <c r="CB2" s="1">
        <f ca="1">SUM(BS6:BS9)</f>
        <v>4</v>
      </c>
      <c r="CC2" s="1">
        <f ca="1">CA2-CB2</f>
        <v>1</v>
      </c>
      <c r="CD2" s="24">
        <f ca="1">IF(BP$8="",(((((((CE2*10+BZ2)*100+CC2)*100+CA2)*10+CK2)*10+CJ2)*100+CP2)*100+CU2)*10+CV2,(((((((CE2*10+BZ2)*10+CK2)*10+CJ2)*100+CP2)*100+CU2)*100+CC2)*100+CA2)*10+CV2)</f>
        <v>596990101054</v>
      </c>
      <c r="CE2" s="207"/>
      <c r="CF2" s="218"/>
      <c r="CG2" s="218">
        <f ca="1">IF($BZ2=$BZ3,$BT2-$BS3,0)</f>
        <v>0</v>
      </c>
      <c r="CH2" s="218">
        <f ca="1">IF($BZ2=$BZ4,$BU2-$BS4,0)</f>
        <v>0</v>
      </c>
      <c r="CI2" s="218">
        <f ca="1">IF($BZ2=$BZ5,$BV2-$BS5,0)</f>
        <v>-3</v>
      </c>
      <c r="CJ2" s="218">
        <f ca="1">SUM(CF2:CI2)</f>
        <v>-3</v>
      </c>
      <c r="CK2" s="207"/>
      <c r="CL2" s="218"/>
      <c r="CM2" s="218">
        <f ca="1">IF($BZ2=$BZ3,$BT6-$BS7,0)</f>
        <v>0</v>
      </c>
      <c r="CN2" s="218">
        <f ca="1">IF($BZ2=$BZ4,$BU6-$BS8,0)</f>
        <v>0</v>
      </c>
      <c r="CO2" s="218">
        <f ca="1">IF($BZ2=$BZ5,$BV6-$BS9,0)</f>
        <v>-1</v>
      </c>
      <c r="CP2" s="218">
        <f ca="1">SUM(CL2:CO2)</f>
        <v>-1</v>
      </c>
      <c r="CQ2" s="218"/>
      <c r="CR2" s="218">
        <f ca="1">IF($BZ2=$BZ3,$BT6,0)</f>
        <v>0</v>
      </c>
      <c r="CS2" s="218">
        <f ca="1">IF($BZ2=$BZ4,$BU6,0)</f>
        <v>0</v>
      </c>
      <c r="CT2" s="218">
        <f ca="1">IF($BZ2=$BZ5,$BV6,0)</f>
        <v>1</v>
      </c>
      <c r="CU2" s="218">
        <f ca="1">SUM(CQ2:CT2)</f>
        <v>1</v>
      </c>
      <c r="CV2" s="207">
        <v>4</v>
      </c>
      <c r="CX2" s="76">
        <f ca="1">IF($CX$97="",2*COUNTIF(Ergebnisse!$D$63:'Ergebnisse'!$F$78,BM8),2*INT(RAND()*2))</f>
        <v>0</v>
      </c>
      <c r="CY2" s="17" t="str">
        <f ca="1">IF(COUNTIF(Ergebnisse!BK3:'Ergebnisse'!BK8,Ergebnisse!$B$98)=6,"ok","")</f>
        <v>ok</v>
      </c>
      <c r="DA2" s="163"/>
      <c r="DB2" s="164"/>
    </row>
    <row r="3" spans="1:106">
      <c r="A3" s="2">
        <v>1</v>
      </c>
      <c r="B3" s="6">
        <f>VLOOKUP(A3,Spiele!$A$1:$L$116,2,FALSE)</f>
        <v>46184.583333333336</v>
      </c>
      <c r="C3" s="6" t="str">
        <f>VLOOKUP(A3,Spiele!$A$1:$L$116,9,FALSE)</f>
        <v>Mexico City</v>
      </c>
      <c r="D3" s="56" t="str">
        <f>Y2</f>
        <v>Mexiko</v>
      </c>
      <c r="E3" s="40" t="s">
        <v>24</v>
      </c>
      <c r="F3" s="56" t="str">
        <f>Y3</f>
        <v>Südafrika</v>
      </c>
      <c r="G3" s="53"/>
      <c r="H3" s="107">
        <f t="shared" ref="H3:H8" ca="1" si="0">IF($B$99="",2,INT(RAND()*5)+INT(RAND()*3)*INT(RAND()*2))</f>
        <v>2</v>
      </c>
      <c r="I3" s="11" t="s">
        <v>25</v>
      </c>
      <c r="J3" s="107">
        <f t="shared" ref="J3:J8" ca="1" si="1">IF($B$99="",1,INT(RAND()*5)+INT(RAND()*3)*INT(RAND()*2))</f>
        <v>1</v>
      </c>
      <c r="K3" s="7" t="s">
        <v>26</v>
      </c>
      <c r="L3" s="1"/>
      <c r="M3" s="9" t="str">
        <f ca="1">VLOOKUP(2,$X$2:$AC$5,2,FALSE)</f>
        <v>Mexiko</v>
      </c>
      <c r="N3" s="2">
        <f ca="1">VLOOKUP(2,$X$2:$AC$5,3,FALSE)</f>
        <v>6</v>
      </c>
      <c r="O3" s="2">
        <f ca="1">VLOOKUP(2,$X$2:$AC$5,4,FALSE)</f>
        <v>5</v>
      </c>
      <c r="P3" s="2">
        <f ca="1">VLOOKUP(2,$X$2:$AC$5,5,FALSE)</f>
        <v>4</v>
      </c>
      <c r="Q3" s="2">
        <f ca="1">VLOOKUP(2,$X$2:$AC$5,6,FALSE)</f>
        <v>1</v>
      </c>
      <c r="S3" s="61">
        <f ca="1">IF(J3="",0,IF(K3=$B$98,IF(H3&lt;J3,3,IF(H3=J3,1,0)),0))</f>
        <v>0</v>
      </c>
      <c r="T3" s="60"/>
      <c r="U3" s="61">
        <f ca="1">IF(H8="",0,IF(K7=$B$98,IF(H8&gt;J8,3,IF(H8=J8,1,0)),0))</f>
        <v>3</v>
      </c>
      <c r="V3" s="61">
        <f ca="1">IF(J6="",0,IF(K6=$B$98,IF(J6&gt;H6,3,IF(J6=H6,1,0)),0))</f>
        <v>0</v>
      </c>
      <c r="W3" s="62"/>
      <c r="X3" s="62">
        <f ca="1">RANK(AD3,$AD$2:$AD$5)</f>
        <v>3</v>
      </c>
      <c r="Y3" s="216" t="s">
        <v>203</v>
      </c>
      <c r="Z3" s="62">
        <f ca="1">SUM(S3:V3)</f>
        <v>3</v>
      </c>
      <c r="AA3" s="62">
        <f ca="1">SUM(S7:V7)</f>
        <v>4</v>
      </c>
      <c r="AB3" s="62">
        <f ca="1">SUM(T6:T9)</f>
        <v>5</v>
      </c>
      <c r="AC3" s="62">
        <f ca="1">AA3-AB3</f>
        <v>-1</v>
      </c>
      <c r="AD3" s="24">
        <f ca="1">IF(P$8="",(((((((AE3*10+Z3)*100+AC3)*100+AA3)*10+AK3)*10+AJ3)*100+AP3)*100+AU3)*10+AV3,(((((((AE3*10+Z3)*10+AK3)*10+AJ3)*100+AP3)*100+AU3)*100+AC3)*100+AA3)*10+AV3)</f>
        <v>303010199043</v>
      </c>
      <c r="AE3" s="203"/>
      <c r="AF3" s="217">
        <f ca="1">IF($Z3=$Z2,$S3-$T2,0)</f>
        <v>0</v>
      </c>
      <c r="AG3" s="217"/>
      <c r="AH3" s="217">
        <f ca="1">IF($Z3=$Z4,$U3-$T4,0)</f>
        <v>3</v>
      </c>
      <c r="AI3" s="217">
        <f ca="1">IF($Z3=$Z5,$V3-$T5,0)</f>
        <v>0</v>
      </c>
      <c r="AJ3" s="217">
        <f ca="1">SUM(AF3:AI3)</f>
        <v>3</v>
      </c>
      <c r="AK3" s="203"/>
      <c r="AL3" s="217">
        <f ca="1">IF($Z3=$Z2,$S7-$T6,0)</f>
        <v>0</v>
      </c>
      <c r="AM3" s="217"/>
      <c r="AN3" s="217">
        <f ca="1">IF($Z3=$Z4,$U7-$T8,0)</f>
        <v>1</v>
      </c>
      <c r="AO3" s="217">
        <f ca="1">IF($Z3=$Z5,$V7-$T9,0)</f>
        <v>0</v>
      </c>
      <c r="AP3" s="217">
        <f ca="1">SUM(AL3:AO3)</f>
        <v>1</v>
      </c>
      <c r="AQ3" s="217">
        <f ca="1">IF($Z3=$Z2,$S7,0)</f>
        <v>0</v>
      </c>
      <c r="AR3" s="217"/>
      <c r="AS3" s="217">
        <f ca="1">IF($Z3=$Z4,$U7,0)</f>
        <v>2</v>
      </c>
      <c r="AT3" s="217">
        <f ca="1">IF($Z3=$Z5,$V7,0)</f>
        <v>0</v>
      </c>
      <c r="AU3" s="217">
        <f ca="1">SUM(AQ3:AT3)</f>
        <v>2</v>
      </c>
      <c r="AV3" s="203">
        <v>3</v>
      </c>
      <c r="AW3" s="2"/>
      <c r="AX3" s="17">
        <f ca="1">IF($CX$97="",IF(OR(Ergebnisse!H3="",Ergebnisse!J3=""),0,IF(AND(H3=Ergebnisse!H3,J3=Ergebnisse!J3),7,MIN(7,(H3-J3=Ergebnisse!H3-Ergebnisse!J3)*4+(AND(H3-J3&lt;&gt;Ergebnisse!H3-Ergebnisse!J3,SIGN(H3-J3)=SIGN(Ergebnisse!H3-Ergebnisse!J3)))*2+(H3=Ergebnisse!H3)+(J3=Ergebnisse!J3)))),INT(RAND()*8))</f>
        <v>4</v>
      </c>
      <c r="AY3" s="17" t="str">
        <f ca="1">IF(Ergebnisse!K3=Ergebnisse!$B$98,Ergebnisse!K3,"")</f>
        <v>ok</v>
      </c>
      <c r="AZ3" s="2"/>
      <c r="BA3" s="2">
        <v>4</v>
      </c>
      <c r="BB3" s="6">
        <f>VLOOKUP(BA3,Spiele!$A$1:$L$116,2,FALSE)</f>
        <v>46185.75</v>
      </c>
      <c r="BC3" s="6" t="str">
        <f>VLOOKUP(BA3,Spiele!$A$1:$L$116,9,FALSE)</f>
        <v>Los Angeles</v>
      </c>
      <c r="BD3" s="56" t="str">
        <f>BY2</f>
        <v>USA</v>
      </c>
      <c r="BE3" s="40" t="s">
        <v>24</v>
      </c>
      <c r="BF3" s="56" t="str">
        <f>BY3</f>
        <v>Paraguay</v>
      </c>
      <c r="BG3" s="53"/>
      <c r="BH3" s="107">
        <f t="shared" ref="BH3:BH8" ca="1" si="2">IF($B$99="",2,INT(RAND()*5)+INT(RAND()*3)*INT(RAND()*2))</f>
        <v>2</v>
      </c>
      <c r="BI3" s="11" t="s">
        <v>25</v>
      </c>
      <c r="BJ3" s="107">
        <f t="shared" ref="BJ3:BJ8" ca="1" si="3">IF($B$99="",1,INT(RAND()*5)+INT(RAND()*3)*INT(RAND()*2))</f>
        <v>1</v>
      </c>
      <c r="BK3" s="7" t="s">
        <v>26</v>
      </c>
      <c r="BL3" s="1"/>
      <c r="BM3" s="9" t="str">
        <f ca="1">VLOOKUP(2,$BX$2:$CC$5,2,FALSE)</f>
        <v>USA</v>
      </c>
      <c r="BN3" s="2">
        <f ca="1">VLOOKUP(2,$BX$2:$CC$5,3,FALSE)</f>
        <v>6</v>
      </c>
      <c r="BO3" s="2">
        <f ca="1">VLOOKUP(2,$BX$2:$CC$5,4,FALSE)</f>
        <v>5</v>
      </c>
      <c r="BP3" s="2">
        <f ca="1">VLOOKUP(2,$BX$2:$CC$5,5,FALSE)</f>
        <v>4</v>
      </c>
      <c r="BQ3" s="2">
        <f ca="1">VLOOKUP(2,$BX$2:$CC$5,6,FALSE)</f>
        <v>1</v>
      </c>
      <c r="BS3" s="61">
        <f ca="1">IF(BJ3="",0,IF(BK3=$B$98,IF(BH3&lt;BJ3,3,IF(BH3=BJ3,1,0)),0))</f>
        <v>0</v>
      </c>
      <c r="BT3" s="60"/>
      <c r="BU3" s="61">
        <f ca="1">IF(BH8="",0,IF(BK7=$B$98,IF(BH8&gt;BJ8,3,IF(BH8=BJ8,1,0)),0))</f>
        <v>3</v>
      </c>
      <c r="BV3" s="61">
        <f ca="1">IF(BJ6="",0,IF(BK6=$B$98,IF(BJ6&gt;BH6,3,IF(BJ6=BH6,1,0)),0))</f>
        <v>0</v>
      </c>
      <c r="BW3" s="1"/>
      <c r="BX3" s="1">
        <f ca="1">RANK(CD3,$CD$2:$CD$5)</f>
        <v>3</v>
      </c>
      <c r="BY3" s="40" t="s">
        <v>204</v>
      </c>
      <c r="BZ3" s="1">
        <f ca="1">SUM(BS3:BV3)</f>
        <v>3</v>
      </c>
      <c r="CA3" s="1">
        <f ca="1">SUM(BS7:BV7)</f>
        <v>4</v>
      </c>
      <c r="CB3" s="1">
        <f ca="1">SUM(BT6:BT9)</f>
        <v>5</v>
      </c>
      <c r="CC3" s="1">
        <f ca="1">CA3-CB3</f>
        <v>-1</v>
      </c>
      <c r="CD3" s="24">
        <f ca="1">IF(BP$8="",(((((((CE3*10+BZ3)*100+CC3)*100+CA3)*10+CK3)*10+CJ3)*100+CP3)*100+CU3)*10+CV3,(((((((CE3*10+BZ3)*10+CK3)*10+CJ3)*100+CP3)*100+CU3)*100+CC3)*100+CA3)*10+CV3)</f>
        <v>303010199043</v>
      </c>
      <c r="CE3" s="207"/>
      <c r="CF3" s="218">
        <f ca="1">IF($BZ3=$BZ2,$BS3-$BT2,0)</f>
        <v>0</v>
      </c>
      <c r="CG3" s="218"/>
      <c r="CH3" s="218">
        <f ca="1">IF($BZ3=$BZ4,$BU3-$BT4,0)</f>
        <v>3</v>
      </c>
      <c r="CI3" s="218">
        <f ca="1">IF($BZ3=$BZ5,$BV3-$BT5,0)</f>
        <v>0</v>
      </c>
      <c r="CJ3" s="218">
        <f ca="1">SUM(CF3:CI3)</f>
        <v>3</v>
      </c>
      <c r="CK3" s="207"/>
      <c r="CL3" s="218">
        <f ca="1">IF($BZ3=$BZ2,$BS7-$BT6,0)</f>
        <v>0</v>
      </c>
      <c r="CM3" s="218"/>
      <c r="CN3" s="218">
        <f ca="1">IF($BZ3=$BZ4,$BU7-$BT8,0)</f>
        <v>1</v>
      </c>
      <c r="CO3" s="218">
        <f ca="1">IF($BZ3=$BZ5,$BV7-$BT9,0)</f>
        <v>0</v>
      </c>
      <c r="CP3" s="218">
        <f ca="1">SUM(CL3:CO3)</f>
        <v>1</v>
      </c>
      <c r="CQ3" s="218">
        <f ca="1">IF($BZ3=$BZ2,$BS7,0)</f>
        <v>0</v>
      </c>
      <c r="CR3" s="218"/>
      <c r="CS3" s="218">
        <f ca="1">IF($BZ3=$BZ4,$BU7,0)</f>
        <v>2</v>
      </c>
      <c r="CT3" s="218">
        <f ca="1">IF($BZ3=$BZ5,$BV7,0)</f>
        <v>0</v>
      </c>
      <c r="CU3" s="218">
        <f ca="1">SUM(CQ3:CT3)</f>
        <v>2</v>
      </c>
      <c r="CV3" s="207">
        <v>3</v>
      </c>
      <c r="CX3" s="17">
        <f ca="1">IF($CX$97="",IF(OR(Ergebnisse!BH3="",Ergebnisse!BJ3=""),0,IF(AND(BH3=Ergebnisse!BH3,BJ3=Ergebnisse!BJ3),7,MIN(7,(BH3-BJ3=Ergebnisse!BH3-Ergebnisse!BJ3)*4+(AND(BH3-BJ3&lt;&gt;Ergebnisse!BH3-Ergebnisse!BJ3,SIGN(BH3-BJ3)=SIGN(Ergebnisse!BH3-Ergebnisse!BJ3)))*2+(BH3=Ergebnisse!BH3)+(BJ3=Ergebnisse!BJ3)))),INT(RAND()*8))</f>
        <v>1</v>
      </c>
      <c r="CY3" s="17" t="str">
        <f ca="1">IF(Ergebnisse!BK3=Ergebnisse!$B$98,Ergebnisse!BK3,"")</f>
        <v>ok</v>
      </c>
      <c r="DA3" s="165" t="s">
        <v>73</v>
      </c>
      <c r="DB3" s="166">
        <f>DB7*DB4</f>
        <v>504</v>
      </c>
    </row>
    <row r="4" spans="1:106">
      <c r="A4" s="2">
        <v>2</v>
      </c>
      <c r="B4" s="6">
        <f>VLOOKUP(A4,Spiele!$A$1:$L$116,2,FALSE)</f>
        <v>46184.875</v>
      </c>
      <c r="C4" s="6" t="str">
        <f>VLOOKUP(A4,Spiele!$A$1:$L$116,9,FALSE)</f>
        <v>Guadalajara</v>
      </c>
      <c r="D4" s="56" t="str">
        <f>Y4</f>
        <v>Südkorea</v>
      </c>
      <c r="E4" s="40" t="s">
        <v>24</v>
      </c>
      <c r="F4" s="56" t="str">
        <f>Y5</f>
        <v>Tschechien</v>
      </c>
      <c r="G4" s="53"/>
      <c r="H4" s="107">
        <f t="shared" ca="1" si="0"/>
        <v>2</v>
      </c>
      <c r="I4" s="11" t="s">
        <v>25</v>
      </c>
      <c r="J4" s="107">
        <f t="shared" ca="1" si="1"/>
        <v>1</v>
      </c>
      <c r="K4" s="7" t="s">
        <v>26</v>
      </c>
      <c r="L4" s="1"/>
      <c r="M4" s="9" t="str">
        <f ca="1">VLOOKUP(3,$X$2:$AC$5,2,FALSE)</f>
        <v>Südafrika</v>
      </c>
      <c r="N4" s="2">
        <f ca="1">VLOOKUP(3,$X$2:$AC$5,3,FALSE)</f>
        <v>3</v>
      </c>
      <c r="O4" s="2">
        <f ca="1">VLOOKUP(3,$X$2:$AC$5,4,FALSE)</f>
        <v>4</v>
      </c>
      <c r="P4" s="2">
        <f ca="1">VLOOKUP(3,$X$2:$AC$5,5,FALSE)</f>
        <v>5</v>
      </c>
      <c r="Q4" s="2">
        <f ca="1">VLOOKUP(3,$X$2:$AC$5,6,FALSE)</f>
        <v>-1</v>
      </c>
      <c r="S4" s="61">
        <f ca="1">IF(J5="",0,IF(K5=$B$98,IF(H5&lt;J5,3,IF(H5=J5,1,0)),0))</f>
        <v>0</v>
      </c>
      <c r="T4" s="61">
        <f ca="1">IF(J8="",0,IF(K7=$B$98,IF(H8&lt;J8,3,IF(H8=J8,1,0)),0))</f>
        <v>0</v>
      </c>
      <c r="U4" s="60"/>
      <c r="V4" s="61">
        <f ca="1">IF(H4="",0,IF(K4=$B$98,IF(H4&gt;J4,3,IF(H4=J4,1,0)),0))</f>
        <v>3</v>
      </c>
      <c r="W4" s="62"/>
      <c r="X4" s="62">
        <f ca="1">RANK(AD4,$AD$2:$AD$5)</f>
        <v>4</v>
      </c>
      <c r="Y4" s="216" t="s">
        <v>205</v>
      </c>
      <c r="Z4" s="62">
        <f ca="1">SUM(S4:V4)</f>
        <v>3</v>
      </c>
      <c r="AA4" s="62">
        <f ca="1">SUM(S8:V8)</f>
        <v>4</v>
      </c>
      <c r="AB4" s="62">
        <f ca="1">SUM(U6:U9)</f>
        <v>5</v>
      </c>
      <c r="AC4" s="62">
        <f ca="1">AA4-AB4</f>
        <v>-1</v>
      </c>
      <c r="AD4" s="24">
        <f ca="1">IF(P$8="",(((((((AE4*10+Z4)*100+AC4)*100+AA4)*10+AK4)*10+AJ4)*100+AP4)*100+AU4)*10+AV4,(((((((AE4*10+Z4)*10+AK4)*10+AJ4)*100+AP4)*100+AU4)*100+AC4)*100+AA4)*10+AV4)</f>
        <v>296990099042</v>
      </c>
      <c r="AE4" s="203"/>
      <c r="AF4" s="217">
        <f ca="1">IF($Z4=$Z2,$S4-$U2,0)</f>
        <v>0</v>
      </c>
      <c r="AG4" s="217">
        <f ca="1">IF($Z4=$Z3,$T4-$U3,0)</f>
        <v>-3</v>
      </c>
      <c r="AH4" s="217"/>
      <c r="AI4" s="217">
        <f ca="1">IF($Z4=$Z5,$V4-$U5,0)</f>
        <v>0</v>
      </c>
      <c r="AJ4" s="217">
        <f ca="1">SUM(AF4:AI4)</f>
        <v>-3</v>
      </c>
      <c r="AK4" s="203"/>
      <c r="AL4" s="217">
        <f ca="1">IF($Z4=$Z2,$S8-$U6,0)</f>
        <v>0</v>
      </c>
      <c r="AM4" s="217">
        <f ca="1">IF($Z4=$Z3,$T8-$U7,0)</f>
        <v>-1</v>
      </c>
      <c r="AN4" s="217"/>
      <c r="AO4" s="217">
        <f ca="1">IF($Z4=$Z5,$V8-$U9,0)</f>
        <v>0</v>
      </c>
      <c r="AP4" s="217">
        <f ca="1">SUM(AL4:AO4)</f>
        <v>-1</v>
      </c>
      <c r="AQ4" s="217">
        <f ca="1">IF($Z4=$Z2,$S8,0)</f>
        <v>0</v>
      </c>
      <c r="AR4" s="217">
        <f ca="1">IF($Z4=$Z3,$T8,0)</f>
        <v>1</v>
      </c>
      <c r="AS4" s="217"/>
      <c r="AT4" s="217">
        <f ca="1">IF($Z4=$Z5,$V8,0)</f>
        <v>0</v>
      </c>
      <c r="AU4" s="217">
        <f ca="1">SUM(AQ4:AT4)</f>
        <v>1</v>
      </c>
      <c r="AV4" s="203">
        <v>2</v>
      </c>
      <c r="AW4" s="2"/>
      <c r="AX4" s="17">
        <f ca="1">IF($CX$97="",IF(OR(Ergebnisse!H4="",Ergebnisse!J4=""),0,IF(AND(H4=Ergebnisse!H4,J4=Ergebnisse!J4),7,MIN(7,(H4-J4=Ergebnisse!H4-Ergebnisse!J4)*4+(AND(H4-J4&lt;&gt;Ergebnisse!H4-Ergebnisse!J4,SIGN(H4-J4)=SIGN(Ergebnisse!H4-Ergebnisse!J4)))*2+(H4=Ergebnisse!H4)+(J4=Ergebnisse!J4)))),INT(RAND()*8))</f>
        <v>0</v>
      </c>
      <c r="AY4" s="17" t="str">
        <f ca="1">IF(Ergebnisse!K4=Ergebnisse!$B$98,Ergebnisse!K4,"")</f>
        <v>ok</v>
      </c>
      <c r="AZ4" s="2"/>
      <c r="BA4" s="2">
        <v>6</v>
      </c>
      <c r="BB4" s="6">
        <f>VLOOKUP(BA4,Spiele!$A$1:$L$116,2,FALSE)</f>
        <v>46186.875</v>
      </c>
      <c r="BC4" s="6" t="str">
        <f>VLOOKUP(BA4,Spiele!$A$1:$L$116,9,FALSE)</f>
        <v>Vancouver</v>
      </c>
      <c r="BD4" s="56" t="str">
        <f>BY4</f>
        <v>Australien</v>
      </c>
      <c r="BE4" s="40" t="s">
        <v>24</v>
      </c>
      <c r="BF4" s="56" t="str">
        <f>BY5</f>
        <v>Türkei</v>
      </c>
      <c r="BG4" s="53"/>
      <c r="BH4" s="107">
        <f t="shared" ca="1" si="2"/>
        <v>2</v>
      </c>
      <c r="BI4" s="11" t="s">
        <v>25</v>
      </c>
      <c r="BJ4" s="107">
        <f t="shared" ca="1" si="3"/>
        <v>1</v>
      </c>
      <c r="BK4" s="7" t="s">
        <v>26</v>
      </c>
      <c r="BL4" s="1"/>
      <c r="BM4" s="9" t="str">
        <f ca="1">VLOOKUP(3,$BX$2:$CC$5,2,FALSE)</f>
        <v>Paraguay</v>
      </c>
      <c r="BN4" s="2">
        <f ca="1">VLOOKUP(3,$BX$2:$CC$5,3,FALSE)</f>
        <v>3</v>
      </c>
      <c r="BO4" s="2">
        <f ca="1">VLOOKUP(3,$BX$2:$CC$5,4,FALSE)</f>
        <v>4</v>
      </c>
      <c r="BP4" s="2">
        <f ca="1">VLOOKUP(3,$BX$2:$CC$5,5,FALSE)</f>
        <v>5</v>
      </c>
      <c r="BQ4" s="2">
        <f ca="1">VLOOKUP(3,$BX$2:$CC$5,6,FALSE)</f>
        <v>-1</v>
      </c>
      <c r="BS4" s="61">
        <f ca="1">IF(BJ5="",0,IF(BK5=$B$98,IF(BH5&lt;BJ5,3,IF(BH5=BJ5,1,0)),0))</f>
        <v>0</v>
      </c>
      <c r="BT4" s="61">
        <f ca="1">IF(BJ8="",0,IF(BK7=$B$98,IF(BH8&lt;BJ8,3,IF(BH8=BJ8,1,0)),0))</f>
        <v>0</v>
      </c>
      <c r="BU4" s="60"/>
      <c r="BV4" s="61">
        <f ca="1">IF(BH4="",0,IF(BK4=$B$98,IF(BH4&gt;BJ4,3,IF(BH4=BJ4,1,0)),0))</f>
        <v>3</v>
      </c>
      <c r="BW4" s="1"/>
      <c r="BX4" s="1">
        <f ca="1">RANK(CD4,$CD$2:$CD$5)</f>
        <v>4</v>
      </c>
      <c r="BY4" s="40" t="s">
        <v>206</v>
      </c>
      <c r="BZ4" s="1">
        <f ca="1">SUM(BS4:BV4)</f>
        <v>3</v>
      </c>
      <c r="CA4" s="1">
        <f ca="1">SUM(BS8:BV8)</f>
        <v>4</v>
      </c>
      <c r="CB4" s="1">
        <f ca="1">SUM(BU6:BU9)</f>
        <v>5</v>
      </c>
      <c r="CC4" s="1">
        <f ca="1">CA4-CB4</f>
        <v>-1</v>
      </c>
      <c r="CD4" s="24">
        <f ca="1">IF(BP$8="",(((((((CE4*10+BZ4)*100+CC4)*100+CA4)*10+CK4)*10+CJ4)*100+CP4)*100+CU4)*10+CV4,(((((((CE4*10+BZ4)*10+CK4)*10+CJ4)*100+CP4)*100+CU4)*100+CC4)*100+CA4)*10+CV4)</f>
        <v>296990099042</v>
      </c>
      <c r="CE4" s="207"/>
      <c r="CF4" s="218">
        <f ca="1">IF($BZ4=$BZ2,$BS4-$BU2,0)</f>
        <v>0</v>
      </c>
      <c r="CG4" s="218">
        <f ca="1">IF($BZ4=$BZ3,$BT4-$BU3,0)</f>
        <v>-3</v>
      </c>
      <c r="CH4" s="218"/>
      <c r="CI4" s="218">
        <f ca="1">IF($BZ4=$BZ5,$BV4-$BU5,0)</f>
        <v>0</v>
      </c>
      <c r="CJ4" s="218">
        <f ca="1">SUM(CF4:CI4)</f>
        <v>-3</v>
      </c>
      <c r="CK4" s="207"/>
      <c r="CL4" s="218">
        <f ca="1">IF($BZ4=$BZ2,$BS8-$BU6,0)</f>
        <v>0</v>
      </c>
      <c r="CM4" s="218">
        <f ca="1">IF($BZ4=$BZ3,$BT8-$BU7,0)</f>
        <v>-1</v>
      </c>
      <c r="CN4" s="218"/>
      <c r="CO4" s="218">
        <f ca="1">IF($BZ4=$BZ5,$BV8-$BU9,0)</f>
        <v>0</v>
      </c>
      <c r="CP4" s="218">
        <f ca="1">SUM(CL4:CO4)</f>
        <v>-1</v>
      </c>
      <c r="CQ4" s="218">
        <f ca="1">IF($BZ4=$BZ2,$BS8,0)</f>
        <v>0</v>
      </c>
      <c r="CR4" s="218">
        <f ca="1">IF($BZ4=$BZ3,$BT8,0)</f>
        <v>1</v>
      </c>
      <c r="CS4" s="218"/>
      <c r="CT4" s="218">
        <f ca="1">IF($BZ4=$BZ5,$BV8,0)</f>
        <v>0</v>
      </c>
      <c r="CU4" s="218">
        <f ca="1">SUM(CQ4:CT4)</f>
        <v>1</v>
      </c>
      <c r="CV4" s="207">
        <v>2</v>
      </c>
      <c r="CX4" s="17">
        <f ca="1">IF($CX$97="",IF(OR(Ergebnisse!BH4="",Ergebnisse!BJ4=""),0,IF(AND(BH4=Ergebnisse!BH4,BJ4=Ergebnisse!BJ4),7,MIN(7,(BH4-BJ4=Ergebnisse!BH4-Ergebnisse!BJ4)*4+(AND(BH4-BJ4&lt;&gt;Ergebnisse!BH4-Ergebnisse!BJ4,SIGN(BH4-BJ4)=SIGN(Ergebnisse!BH4-Ergebnisse!BJ4)))*2+(BH4=Ergebnisse!BH4)+(BJ4=Ergebnisse!BJ4)))),INT(RAND()*8))</f>
        <v>2</v>
      </c>
      <c r="CY4" s="17" t="str">
        <f ca="1">IF(Ergebnisse!BK4=Ergebnisse!$B$98,Ergebnisse!BK4,"")</f>
        <v>ok</v>
      </c>
      <c r="DA4" s="167" t="s">
        <v>78</v>
      </c>
      <c r="DB4" s="270">
        <v>7</v>
      </c>
    </row>
    <row r="5" spans="1:106">
      <c r="A5" s="2">
        <v>28</v>
      </c>
      <c r="B5" s="6">
        <f>VLOOKUP(A5,Spiele!$A$1:$L$116,2,FALSE)</f>
        <v>46191.833333333336</v>
      </c>
      <c r="C5" s="6" t="str">
        <f>VLOOKUP(A5,Spiele!$A$1:$L$116,9,FALSE)</f>
        <v>Guadalajara</v>
      </c>
      <c r="D5" s="56" t="str">
        <f>Y2</f>
        <v>Mexiko</v>
      </c>
      <c r="E5" s="40" t="s">
        <v>24</v>
      </c>
      <c r="F5" s="56" t="str">
        <f>Y4</f>
        <v>Südkorea</v>
      </c>
      <c r="G5" s="53"/>
      <c r="H5" s="107">
        <f t="shared" ca="1" si="0"/>
        <v>2</v>
      </c>
      <c r="I5" s="11" t="s">
        <v>25</v>
      </c>
      <c r="J5" s="107">
        <f t="shared" ca="1" si="1"/>
        <v>1</v>
      </c>
      <c r="K5" s="7" t="s">
        <v>26</v>
      </c>
      <c r="L5" s="1"/>
      <c r="M5" s="9" t="str">
        <f ca="1">VLOOKUP(4,$X$2:$AC$5,2,FALSE)</f>
        <v>Südkorea</v>
      </c>
      <c r="N5" s="2">
        <f ca="1">VLOOKUP(4,$X$2:$AC$5,3,FALSE)</f>
        <v>3</v>
      </c>
      <c r="O5" s="2">
        <f ca="1">VLOOKUP(4,$X$2:$AC$5,4,FALSE)</f>
        <v>4</v>
      </c>
      <c r="P5" s="2">
        <f ca="1">VLOOKUP(4,$X$2:$AC$5,5,FALSE)</f>
        <v>5</v>
      </c>
      <c r="Q5" s="2">
        <f ca="1">VLOOKUP(4,$X$2:$AC$5,6,FALSE)</f>
        <v>-1</v>
      </c>
      <c r="S5" s="61">
        <f ca="1">IF(H7="",0,IF(K8=$B$98,IF(H7&gt;J7,3,IF(H7=J7,1,0)),0))</f>
        <v>3</v>
      </c>
      <c r="T5" s="61">
        <f ca="1">IF(H6="",0,IF(K6=$B$98,IF(J6&lt;H6,3,IF(J6=H6,1,0)),0))</f>
        <v>3</v>
      </c>
      <c r="U5" s="61">
        <f ca="1">IF(J4="",0,IF(K4=$B$98,IF(H4&lt;J4,3,IF(H4=J4,1,0)),0))</f>
        <v>0</v>
      </c>
      <c r="V5" s="60"/>
      <c r="W5" s="62"/>
      <c r="X5" s="62">
        <f ca="1">RANK(AD5,$AD$2:$AD$5)</f>
        <v>1</v>
      </c>
      <c r="Y5" s="216" t="s">
        <v>189</v>
      </c>
      <c r="Z5" s="62">
        <f ca="1">SUM(S5:V5)</f>
        <v>6</v>
      </c>
      <c r="AA5" s="62">
        <f ca="1">SUM(S9:V9)</f>
        <v>5</v>
      </c>
      <c r="AB5" s="62">
        <f ca="1">SUM(V6:V9)</f>
        <v>4</v>
      </c>
      <c r="AC5" s="62">
        <f ca="1">AA5-AB5</f>
        <v>1</v>
      </c>
      <c r="AD5" s="24">
        <f ca="1">IF(P$8="",(((((((AE5*10+Z5)*100+AC5)*100+AA5)*10+AK5)*10+AJ5)*100+AP5)*100+AU5)*10+AV5,(((((((AE5*10+Z5)*10+AK5)*10+AJ5)*100+AP5)*100+AU5)*100+AC5)*100+AA5)*10+AV5)</f>
        <v>603010201051</v>
      </c>
      <c r="AE5" s="203"/>
      <c r="AF5" s="217">
        <f ca="1">IF($Z5=$Z2,$S5-$V2,0)</f>
        <v>3</v>
      </c>
      <c r="AG5" s="217">
        <f ca="1">IF($Z5=$Z3,$T5-$V3,0)</f>
        <v>0</v>
      </c>
      <c r="AH5" s="217">
        <f ca="1">IF($Z5=$Z4,$U5-$V4,0)</f>
        <v>0</v>
      </c>
      <c r="AI5" s="217"/>
      <c r="AJ5" s="217">
        <f ca="1">SUM(AF5:AI5)</f>
        <v>3</v>
      </c>
      <c r="AK5" s="203"/>
      <c r="AL5" s="217">
        <f ca="1">IF($Z5=$Z2,$S9-$V6,0)</f>
        <v>1</v>
      </c>
      <c r="AM5" s="217">
        <f ca="1">IF($Z5=$Z3,$T9-$V7,0)</f>
        <v>0</v>
      </c>
      <c r="AN5" s="217">
        <f ca="1">IF($Z5=$Z4,$U9-$V8,0)</f>
        <v>0</v>
      </c>
      <c r="AO5" s="217"/>
      <c r="AP5" s="217">
        <f ca="1">SUM(AL5:AO5)</f>
        <v>1</v>
      </c>
      <c r="AQ5" s="217">
        <f ca="1">IF($Z5=$Z2,$S9,0)</f>
        <v>2</v>
      </c>
      <c r="AR5" s="217">
        <f ca="1">IF($Z5=$Z3,$T9,0)</f>
        <v>0</v>
      </c>
      <c r="AS5" s="217">
        <f ca="1">IF($Z5=$Z4,$U9,0)</f>
        <v>0</v>
      </c>
      <c r="AT5" s="217"/>
      <c r="AU5" s="217">
        <f ca="1">SUM(AQ5:AT5)</f>
        <v>2</v>
      </c>
      <c r="AV5" s="203">
        <v>1</v>
      </c>
      <c r="AW5" s="2"/>
      <c r="AX5" s="17">
        <f ca="1">IF($CX$97="",IF(OR(Ergebnisse!H5="",Ergebnisse!J5=""),0,IF(AND(H5=Ergebnisse!H5,J5=Ergebnisse!J5),7,MIN(7,(H5-J5=Ergebnisse!H5-Ergebnisse!J5)*4+(AND(H5-J5&lt;&gt;Ergebnisse!H5-Ergebnisse!J5,SIGN(H5-J5)=SIGN(Ergebnisse!H5-Ergebnisse!J5)))*2+(H5=Ergebnisse!H5)+(J5=Ergebnisse!J5)))),INT(RAND()*8))</f>
        <v>0</v>
      </c>
      <c r="AY5" s="17" t="str">
        <f ca="1">IF(Ergebnisse!K5=Ergebnisse!$B$98,Ergebnisse!K5,"")</f>
        <v>ok</v>
      </c>
      <c r="AZ5" s="2"/>
      <c r="BA5" s="2">
        <v>32</v>
      </c>
      <c r="BB5" s="6">
        <f>VLOOKUP(BA5,Spiele!$A$1:$L$116,2,FALSE)</f>
        <v>46192.5</v>
      </c>
      <c r="BC5" s="6" t="str">
        <f>VLOOKUP(BA5,Spiele!$A$1:$L$116,9,FALSE)</f>
        <v>Seattle</v>
      </c>
      <c r="BD5" s="56" t="str">
        <f>BY2</f>
        <v>USA</v>
      </c>
      <c r="BE5" s="40" t="s">
        <v>24</v>
      </c>
      <c r="BF5" s="56" t="str">
        <f>BY4</f>
        <v>Australien</v>
      </c>
      <c r="BG5" s="53"/>
      <c r="BH5" s="107">
        <f t="shared" ca="1" si="2"/>
        <v>2</v>
      </c>
      <c r="BI5" s="11" t="s">
        <v>25</v>
      </c>
      <c r="BJ5" s="107">
        <f t="shared" ca="1" si="3"/>
        <v>1</v>
      </c>
      <c r="BK5" s="7" t="s">
        <v>26</v>
      </c>
      <c r="BL5" s="1"/>
      <c r="BM5" s="9" t="str">
        <f ca="1">VLOOKUP(4,$BX$2:$CC$5,2,FALSE)</f>
        <v>Australien</v>
      </c>
      <c r="BN5" s="2">
        <f ca="1">VLOOKUP(4,$BX$2:$CC$5,3,FALSE)</f>
        <v>3</v>
      </c>
      <c r="BO5" s="2">
        <f ca="1">VLOOKUP(4,$BX$2:$CC$5,4,FALSE)</f>
        <v>4</v>
      </c>
      <c r="BP5" s="2">
        <f ca="1">VLOOKUP(4,$BX$2:$CC$5,5,FALSE)</f>
        <v>5</v>
      </c>
      <c r="BQ5" s="2">
        <f ca="1">VLOOKUP(4,$BX$2:$CC$5,6,FALSE)</f>
        <v>-1</v>
      </c>
      <c r="BS5" s="61">
        <f ca="1">IF(BH7="",0,IF(BK8=$B$98,IF(BH7&gt;BJ7,3,IF(BH7=BJ7,1,0)),0))</f>
        <v>3</v>
      </c>
      <c r="BT5" s="61">
        <f ca="1">IF(BH6="",0,IF(BK6=$B$98,IF(BJ6&lt;BH6,3,IF(BJ6=BH6,1,0)),0))</f>
        <v>3</v>
      </c>
      <c r="BU5" s="61">
        <f ca="1">IF(BJ4="",0,IF(BK4=$B$98,IF(BH4&lt;BJ4,3,IF(BH4=BJ4,1,0)),0))</f>
        <v>0</v>
      </c>
      <c r="BV5" s="60"/>
      <c r="BW5" s="1"/>
      <c r="BX5" s="1">
        <f ca="1">RANK(CD5,$CD$2:$CD$5)</f>
        <v>1</v>
      </c>
      <c r="BY5" s="40" t="s">
        <v>185</v>
      </c>
      <c r="BZ5" s="1">
        <f ca="1">SUM(BS5:BV5)</f>
        <v>6</v>
      </c>
      <c r="CA5" s="1">
        <f ca="1">SUM(BS9:BV9)</f>
        <v>5</v>
      </c>
      <c r="CB5" s="1">
        <f ca="1">SUM(BV6:BV9)</f>
        <v>4</v>
      </c>
      <c r="CC5" s="1">
        <f ca="1">CA5-CB5</f>
        <v>1</v>
      </c>
      <c r="CD5" s="24">
        <f ca="1">IF(BP$8="",(((((((CE5*10+BZ5)*100+CC5)*100+CA5)*10+CK5)*10+CJ5)*100+CP5)*100+CU5)*10+CV5,(((((((CE5*10+BZ5)*10+CK5)*10+CJ5)*100+CP5)*100+CU5)*100+CC5)*100+CA5)*10+CV5)</f>
        <v>603010201051</v>
      </c>
      <c r="CE5" s="207"/>
      <c r="CF5" s="218">
        <f ca="1">IF($BZ5=$BZ2,$BS5-$BV2,0)</f>
        <v>3</v>
      </c>
      <c r="CG5" s="218">
        <f ca="1">IF($BZ5=$BZ3,$BT5-$BV3,0)</f>
        <v>0</v>
      </c>
      <c r="CH5" s="218">
        <f ca="1">IF($BZ5=$BZ4,$BU5-$BV4,0)</f>
        <v>0</v>
      </c>
      <c r="CI5" s="218"/>
      <c r="CJ5" s="218">
        <f ca="1">SUM(CF5:CI5)</f>
        <v>3</v>
      </c>
      <c r="CK5" s="207"/>
      <c r="CL5" s="218">
        <f ca="1">IF($BZ5=$BZ2,$BS9-$BV6,0)</f>
        <v>1</v>
      </c>
      <c r="CM5" s="218">
        <f ca="1">IF($BZ5=$BZ3,$BT9-$BV7,0)</f>
        <v>0</v>
      </c>
      <c r="CN5" s="218">
        <f ca="1">IF($BZ5=$BZ4,$BU9-$BV8,0)</f>
        <v>0</v>
      </c>
      <c r="CO5" s="218"/>
      <c r="CP5" s="218">
        <f ca="1">SUM(CL5:CO5)</f>
        <v>1</v>
      </c>
      <c r="CQ5" s="218">
        <f ca="1">IF($BZ5=$BZ2,$BS9,0)</f>
        <v>2</v>
      </c>
      <c r="CR5" s="218">
        <f ca="1">IF($BZ5=$BZ3,$BT9,0)</f>
        <v>0</v>
      </c>
      <c r="CS5" s="218">
        <f ca="1">IF($BZ5=$BZ4,$BU9,0)</f>
        <v>0</v>
      </c>
      <c r="CT5" s="218"/>
      <c r="CU5" s="218">
        <f ca="1">SUM(CQ5:CT5)</f>
        <v>2</v>
      </c>
      <c r="CV5" s="207">
        <v>1</v>
      </c>
      <c r="CX5" s="17">
        <f ca="1">IF($CX$97="",IF(OR(Ergebnisse!BH5="",Ergebnisse!BJ5=""),0,IF(AND(BH5=Ergebnisse!BH5,BJ5=Ergebnisse!BJ5),7,MIN(7,(BH5-BJ5=Ergebnisse!BH5-Ergebnisse!BJ5)*4+(AND(BH5-BJ5&lt;&gt;Ergebnisse!BH5-Ergebnisse!BJ5,SIGN(BH5-BJ5)=SIGN(Ergebnisse!BH5-Ergebnisse!BJ5)))*2+(BH5=Ergebnisse!BH5)+(BJ5=Ergebnisse!BJ5)))),INT(RAND()*8))</f>
        <v>1</v>
      </c>
      <c r="CY5" s="17" t="str">
        <f ca="1">IF(Ergebnisse!BK5=Ergebnisse!$B$98,Ergebnisse!BK5,"")</f>
        <v>ok</v>
      </c>
      <c r="DA5" s="167" t="s">
        <v>79</v>
      </c>
      <c r="DB5" s="270">
        <v>4</v>
      </c>
    </row>
    <row r="6" spans="1:106">
      <c r="A6" s="2">
        <v>25</v>
      </c>
      <c r="B6" s="6">
        <f>VLOOKUP(A6,Spiele!$A$1:$L$116,2,FALSE)</f>
        <v>46191.5</v>
      </c>
      <c r="C6" s="6" t="str">
        <f>VLOOKUP(A6,Spiele!$A$1:$L$116,9,FALSE)</f>
        <v>Atlanta</v>
      </c>
      <c r="D6" s="56" t="str">
        <f>Y5</f>
        <v>Tschechien</v>
      </c>
      <c r="E6" s="40" t="s">
        <v>24</v>
      </c>
      <c r="F6" s="56" t="str">
        <f>Y3</f>
        <v>Südafrika</v>
      </c>
      <c r="G6" s="53"/>
      <c r="H6" s="107">
        <f t="shared" ca="1" si="0"/>
        <v>2</v>
      </c>
      <c r="I6" s="11" t="s">
        <v>25</v>
      </c>
      <c r="J6" s="107">
        <f t="shared" ca="1" si="1"/>
        <v>1</v>
      </c>
      <c r="K6" s="7" t="s">
        <v>26</v>
      </c>
      <c r="L6" s="1"/>
      <c r="N6" s="1"/>
      <c r="O6" s="1"/>
      <c r="P6" s="1"/>
      <c r="S6" s="60"/>
      <c r="T6" s="61">
        <f ca="1">IF(K3=$B$98,H3,0)</f>
        <v>2</v>
      </c>
      <c r="U6" s="61">
        <f ca="1">IF(K5=$B$98,H5,0)</f>
        <v>2</v>
      </c>
      <c r="V6" s="61">
        <f ca="1">IF(K8=$B$98,J7,0)</f>
        <v>1</v>
      </c>
      <c r="W6" s="62"/>
      <c r="X6" s="62"/>
      <c r="Y6" s="62"/>
      <c r="Z6" s="62"/>
      <c r="AA6" s="62"/>
      <c r="AB6" s="62"/>
      <c r="AC6" s="62"/>
      <c r="AD6" s="66"/>
      <c r="AE6" s="204"/>
      <c r="AF6" s="217"/>
      <c r="AG6" s="217"/>
      <c r="AH6" s="217"/>
      <c r="AI6" s="217"/>
      <c r="AJ6" s="217"/>
      <c r="AK6" s="217"/>
      <c r="AL6" s="217"/>
      <c r="AM6" s="217"/>
      <c r="AN6" s="217"/>
      <c r="AO6" s="217"/>
      <c r="AP6" s="217"/>
      <c r="AQ6" s="217"/>
      <c r="AR6" s="217"/>
      <c r="AS6" s="217"/>
      <c r="AT6" s="217"/>
      <c r="AV6" s="217"/>
      <c r="AW6" s="2"/>
      <c r="AX6" s="17">
        <f ca="1">IF($CX$97="",IF(OR(Ergebnisse!H6="",Ergebnisse!J6=""),0,IF(AND(H6=Ergebnisse!H6,J6=Ergebnisse!J6),7,MIN(7,(H6-J6=Ergebnisse!H6-Ergebnisse!J6)*4+(AND(H6-J6&lt;&gt;Ergebnisse!H6-Ergebnisse!J6,SIGN(H6-J6)=SIGN(Ergebnisse!H6-Ergebnisse!J6)))*2+(H6=Ergebnisse!H6)+(J6=Ergebnisse!J6)))),INT(RAND()*8))</f>
        <v>1</v>
      </c>
      <c r="AY6" s="17" t="str">
        <f ca="1">IF(Ergebnisse!K6=Ergebnisse!$B$98,Ergebnisse!K6,"")</f>
        <v>ok</v>
      </c>
      <c r="AZ6" s="2"/>
      <c r="BA6" s="2">
        <v>31</v>
      </c>
      <c r="BB6" s="6">
        <f>VLOOKUP(BA6,Spiele!$A$1:$L$116,2,FALSE)</f>
        <v>46192.875</v>
      </c>
      <c r="BC6" s="6" t="str">
        <f>VLOOKUP(BA6,Spiele!$A$1:$L$116,9,FALSE)</f>
        <v>San Francisco</v>
      </c>
      <c r="BD6" s="56" t="str">
        <f>BY5</f>
        <v>Türkei</v>
      </c>
      <c r="BE6" s="40" t="s">
        <v>24</v>
      </c>
      <c r="BF6" s="56" t="str">
        <f>BY3</f>
        <v>Paraguay</v>
      </c>
      <c r="BG6" s="53"/>
      <c r="BH6" s="107">
        <f t="shared" ca="1" si="2"/>
        <v>2</v>
      </c>
      <c r="BI6" s="11" t="s">
        <v>25</v>
      </c>
      <c r="BJ6" s="107">
        <f t="shared" ca="1" si="3"/>
        <v>1</v>
      </c>
      <c r="BK6" s="7" t="s">
        <v>26</v>
      </c>
      <c r="BL6" s="1"/>
      <c r="BN6" s="1"/>
      <c r="BO6" s="1"/>
      <c r="BP6" s="1"/>
      <c r="BS6" s="60"/>
      <c r="BT6" s="61">
        <f ca="1">IF(BK3=$B$98,BH3,0)</f>
        <v>2</v>
      </c>
      <c r="BU6" s="61">
        <f ca="1">IF(BK5=$B$98,BH5,0)</f>
        <v>2</v>
      </c>
      <c r="BV6" s="61">
        <f ca="1">IF(BK8=$B$98,BJ7,0)</f>
        <v>1</v>
      </c>
      <c r="BW6" s="1"/>
      <c r="BX6" s="1"/>
      <c r="BY6" s="62"/>
      <c r="BZ6" s="1"/>
      <c r="CA6" s="1"/>
      <c r="CB6" s="1"/>
      <c r="CC6" s="1"/>
      <c r="CD6" s="5"/>
      <c r="CE6" s="7"/>
      <c r="CF6" s="218"/>
      <c r="CG6" s="218"/>
      <c r="CH6" s="218"/>
      <c r="CI6" s="218"/>
      <c r="CJ6" s="218"/>
      <c r="CK6" s="218"/>
      <c r="CL6" s="218"/>
      <c r="CM6" s="218"/>
      <c r="CN6" s="218"/>
      <c r="CO6" s="218"/>
      <c r="CP6" s="218"/>
      <c r="CQ6" s="218"/>
      <c r="CR6" s="218"/>
      <c r="CS6" s="218"/>
      <c r="CT6" s="218"/>
      <c r="CV6" s="218"/>
      <c r="CX6" s="17">
        <f ca="1">IF($CX$97="",IF(OR(Ergebnisse!BH6="",Ergebnisse!BJ6=""),0,IF(AND(BH6=Ergebnisse!BH6,BJ6=Ergebnisse!BJ6),7,MIN(7,(BH6-BJ6=Ergebnisse!BH6-Ergebnisse!BJ6)*4+(AND(BH6-BJ6&lt;&gt;Ergebnisse!BH6-Ergebnisse!BJ6,SIGN(BH6-BJ6)=SIGN(Ergebnisse!BH6-Ergebnisse!BJ6)))*2+(BH6=Ergebnisse!BH6)+(BJ6=Ergebnisse!BJ6)))),INT(RAND()*8))</f>
        <v>3</v>
      </c>
      <c r="CY6" s="17" t="str">
        <f ca="1">IF(Ergebnisse!BK6=Ergebnisse!$B$98,Ergebnisse!BK6,"")</f>
        <v>ok</v>
      </c>
      <c r="DA6" s="167" t="s">
        <v>80</v>
      </c>
      <c r="DB6" s="270">
        <v>2</v>
      </c>
    </row>
    <row r="7" spans="1:106">
      <c r="A7" s="2">
        <v>53</v>
      </c>
      <c r="B7" s="6">
        <f>VLOOKUP(A7,Spiele!$A$1:$L$116,2,FALSE)</f>
        <v>46197.833333333336</v>
      </c>
      <c r="C7" s="6" t="str">
        <f>VLOOKUP(A7,Spiele!$A$1:$L$116,9,FALSE)</f>
        <v>Mexico City</v>
      </c>
      <c r="D7" s="56" t="str">
        <f>Y5</f>
        <v>Tschechien</v>
      </c>
      <c r="E7" s="40" t="s">
        <v>24</v>
      </c>
      <c r="F7" s="56" t="str">
        <f>Y2</f>
        <v>Mexiko</v>
      </c>
      <c r="G7" s="55"/>
      <c r="H7" s="107">
        <f t="shared" ca="1" si="0"/>
        <v>2</v>
      </c>
      <c r="I7" s="11" t="s">
        <v>25</v>
      </c>
      <c r="J7" s="107">
        <f t="shared" ca="1" si="1"/>
        <v>1</v>
      </c>
      <c r="K7" s="7" t="s">
        <v>26</v>
      </c>
      <c r="M7" s="36" t="str">
        <f ca="1">IF(N2&gt;0,M2,"")</f>
        <v>Tschechien</v>
      </c>
      <c r="N7" s="2" t="s">
        <v>27</v>
      </c>
      <c r="P7" s="29"/>
      <c r="S7" s="61">
        <f ca="1">IF(K3=$B$98,J3,0)</f>
        <v>1</v>
      </c>
      <c r="T7" s="60"/>
      <c r="U7" s="61">
        <f ca="1">IF(K7=$B$98,H8,0)</f>
        <v>2</v>
      </c>
      <c r="V7" s="61">
        <f ca="1">IF(K6=$B$98,J6,0)</f>
        <v>1</v>
      </c>
      <c r="AD7" s="55" t="s">
        <v>140</v>
      </c>
      <c r="AE7" s="108"/>
      <c r="AF7" s="219"/>
      <c r="AG7" s="219"/>
      <c r="AH7" s="219"/>
      <c r="AI7" s="219"/>
      <c r="AJ7" s="219"/>
      <c r="AK7" s="219"/>
      <c r="AL7" s="219"/>
      <c r="AM7" s="219"/>
      <c r="AN7" s="219"/>
      <c r="AO7" s="219"/>
      <c r="AP7" s="219"/>
      <c r="AQ7" s="219"/>
      <c r="AR7" s="219"/>
      <c r="AS7" s="219"/>
      <c r="AT7" s="219"/>
      <c r="AV7" s="219"/>
      <c r="AW7" s="2"/>
      <c r="AX7" s="17">
        <f ca="1">IF($CX$97="",IF(OR(Ergebnisse!H7="",Ergebnisse!J7=""),0,IF(AND(H7=Ergebnisse!H7,J7=Ergebnisse!J7),7,MIN(7,(H7-J7=Ergebnisse!H7-Ergebnisse!J7)*4+(AND(H7-J7&lt;&gt;Ergebnisse!H7-Ergebnisse!J7,SIGN(H7-J7)=SIGN(Ergebnisse!H7-Ergebnisse!J7)))*2+(H7=Ergebnisse!H7)+(J7=Ergebnisse!J7)))),INT(RAND()*8))</f>
        <v>3</v>
      </c>
      <c r="AY7" s="17" t="str">
        <f ca="1">IF(Ergebnisse!K7=Ergebnisse!$B$98,Ergebnisse!K7,"")</f>
        <v>ok</v>
      </c>
      <c r="AZ7" s="2"/>
      <c r="BA7" s="2">
        <v>59</v>
      </c>
      <c r="BB7" s="6">
        <f>VLOOKUP(BA7,Spiele!$A$1:$L$116,2,FALSE)</f>
        <v>46198.791666666664</v>
      </c>
      <c r="BC7" s="6" t="str">
        <f>VLOOKUP(BA7,Spiele!$A$1:$L$116,9,FALSE)</f>
        <v>Los Angeles</v>
      </c>
      <c r="BD7" s="56" t="str">
        <f>BY5</f>
        <v>Türkei</v>
      </c>
      <c r="BE7" s="40" t="s">
        <v>24</v>
      </c>
      <c r="BF7" s="56" t="str">
        <f>BY2</f>
        <v>USA</v>
      </c>
      <c r="BG7" s="55"/>
      <c r="BH7" s="107">
        <f t="shared" ca="1" si="2"/>
        <v>2</v>
      </c>
      <c r="BI7" s="11" t="s">
        <v>25</v>
      </c>
      <c r="BJ7" s="107">
        <f t="shared" ca="1" si="3"/>
        <v>1</v>
      </c>
      <c r="BK7" s="7" t="s">
        <v>26</v>
      </c>
      <c r="BM7" s="177" t="str">
        <f ca="1">IF(BN2&gt;0,BM2,"")</f>
        <v>Türkei</v>
      </c>
      <c r="BN7" s="2" t="s">
        <v>41</v>
      </c>
      <c r="BP7" s="29"/>
      <c r="BS7" s="61">
        <f ca="1">IF(BK3=$B$98,BJ3,0)</f>
        <v>1</v>
      </c>
      <c r="BT7" s="60"/>
      <c r="BU7" s="61">
        <f ca="1">IF(BK7=$B$98,BH8,0)</f>
        <v>2</v>
      </c>
      <c r="BV7" s="61">
        <f ca="1">IF(BK6=$B$98,BJ6,0)</f>
        <v>1</v>
      </c>
      <c r="CD7" s="2" t="s">
        <v>140</v>
      </c>
      <c r="CE7" s="8"/>
      <c r="CF7" s="220"/>
      <c r="CG7" s="220"/>
      <c r="CH7" s="220"/>
      <c r="CI7" s="220"/>
      <c r="CJ7" s="220"/>
      <c r="CK7" s="220"/>
      <c r="CL7" s="220"/>
      <c r="CM7" s="220"/>
      <c r="CN7" s="220"/>
      <c r="CO7" s="220"/>
      <c r="CP7" s="220"/>
      <c r="CQ7" s="220"/>
      <c r="CR7" s="220"/>
      <c r="CS7" s="220"/>
      <c r="CT7" s="220"/>
      <c r="CV7" s="220"/>
      <c r="CX7" s="17">
        <f ca="1">IF($CX$97="",IF(OR(Ergebnisse!BH7="",Ergebnisse!BJ7=""),0,IF(AND(BH7=Ergebnisse!BH7,BJ7=Ergebnisse!BJ7),7,MIN(7,(BH7-BJ7=Ergebnisse!BH7-Ergebnisse!BJ7)*4+(AND(BH7-BJ7&lt;&gt;Ergebnisse!BH7-Ergebnisse!BJ7,SIGN(BH7-BJ7)=SIGN(Ergebnisse!BH7-Ergebnisse!BJ7)))*2+(BH7=Ergebnisse!BH7)+(BJ7=Ergebnisse!BJ7)))),INT(RAND()*8))</f>
        <v>7</v>
      </c>
      <c r="CY7" s="17" t="str">
        <f ca="1">IF(Ergebnisse!BK7=Ergebnisse!$B$98,Ergebnisse!BK7,"")</f>
        <v>ok</v>
      </c>
      <c r="DA7" s="168" t="s">
        <v>452</v>
      </c>
      <c r="DB7" s="169">
        <v>72</v>
      </c>
    </row>
    <row r="8" spans="1:106">
      <c r="A8" s="2">
        <v>54</v>
      </c>
      <c r="B8" s="6">
        <f>VLOOKUP(A8,Spiele!$A$1:$L$116,2,FALSE)</f>
        <v>46197.833333333336</v>
      </c>
      <c r="C8" s="6" t="str">
        <f>VLOOKUP(A8,Spiele!$A$1:$L$116,9,FALSE)</f>
        <v>Monterrey</v>
      </c>
      <c r="D8" s="56" t="str">
        <f>Y3</f>
        <v>Südafrika</v>
      </c>
      <c r="E8" s="40" t="s">
        <v>24</v>
      </c>
      <c r="F8" s="56" t="str">
        <f>Y4</f>
        <v>Südkorea</v>
      </c>
      <c r="G8" s="55"/>
      <c r="H8" s="107">
        <f t="shared" ca="1" si="0"/>
        <v>2</v>
      </c>
      <c r="I8" s="11" t="s">
        <v>25</v>
      </c>
      <c r="J8" s="107">
        <f t="shared" ca="1" si="1"/>
        <v>1</v>
      </c>
      <c r="K8" s="7" t="s">
        <v>26</v>
      </c>
      <c r="M8" s="36" t="str">
        <f ca="1">IF(N3&gt;0,M3,"")</f>
        <v>Mexiko</v>
      </c>
      <c r="N8" s="2" t="s">
        <v>29</v>
      </c>
      <c r="O8" s="30"/>
      <c r="P8" s="205" t="s">
        <v>11</v>
      </c>
      <c r="S8" s="61">
        <f ca="1">IF(K5=$B$98,J5,0)</f>
        <v>1</v>
      </c>
      <c r="T8" s="61">
        <f ca="1">IF(K7=$B$98,J8,0)</f>
        <v>1</v>
      </c>
      <c r="U8" s="60"/>
      <c r="V8" s="61">
        <f ca="1">IF(K4=$B$98,H4,0)</f>
        <v>2</v>
      </c>
      <c r="AD8" s="55" t="s">
        <v>141</v>
      </c>
      <c r="AE8" s="108"/>
      <c r="AF8" s="219"/>
      <c r="AG8" s="219"/>
      <c r="AH8" s="219"/>
      <c r="AI8" s="219"/>
      <c r="AJ8" s="219"/>
      <c r="AK8" s="219"/>
      <c r="AL8" s="219"/>
      <c r="AM8" s="219"/>
      <c r="AN8" s="219"/>
      <c r="AO8" s="219"/>
      <c r="AP8" s="219"/>
      <c r="AQ8" s="219"/>
      <c r="AR8" s="219"/>
      <c r="AS8" s="219"/>
      <c r="AT8" s="219"/>
      <c r="AV8" s="219"/>
      <c r="AW8" s="2"/>
      <c r="AX8" s="17">
        <f ca="1">IF($CX$97="",IF(OR(Ergebnisse!H8="",Ergebnisse!J8=""),0,IF(AND(H8=Ergebnisse!H8,J8=Ergebnisse!J8),7,MIN(7,(H8-J8=Ergebnisse!H8-Ergebnisse!J8)*4+(AND(H8-J8&lt;&gt;Ergebnisse!H8-Ergebnisse!J8,SIGN(H8-J8)=SIGN(Ergebnisse!H8-Ergebnisse!J8)))*2+(H8=Ergebnisse!H8)+(J8=Ergebnisse!J8)))),INT(RAND()*8))</f>
        <v>2</v>
      </c>
      <c r="AY8" s="17" t="str">
        <f ca="1">IF(Ergebnisse!K8=Ergebnisse!$B$98,Ergebnisse!K8,"")</f>
        <v>ok</v>
      </c>
      <c r="AZ8" s="2"/>
      <c r="BA8" s="2">
        <v>60</v>
      </c>
      <c r="BB8" s="6">
        <f>VLOOKUP(BA8,Spiele!$A$1:$L$116,2,FALSE)</f>
        <v>46198.791666666664</v>
      </c>
      <c r="BC8" s="6" t="str">
        <f>VLOOKUP(BA8,Spiele!$A$1:$L$116,9,FALSE)</f>
        <v>San Francisco</v>
      </c>
      <c r="BD8" s="56" t="str">
        <f>BY3</f>
        <v>Paraguay</v>
      </c>
      <c r="BE8" s="40" t="s">
        <v>24</v>
      </c>
      <c r="BF8" s="56" t="str">
        <f>BY4</f>
        <v>Australien</v>
      </c>
      <c r="BG8" s="55"/>
      <c r="BH8" s="107">
        <f t="shared" ca="1" si="2"/>
        <v>2</v>
      </c>
      <c r="BI8" s="11" t="s">
        <v>25</v>
      </c>
      <c r="BJ8" s="107">
        <f t="shared" ca="1" si="3"/>
        <v>1</v>
      </c>
      <c r="BK8" s="7" t="s">
        <v>26</v>
      </c>
      <c r="BM8" s="177" t="str">
        <f ca="1">IF(BN3&gt;0,BM3,"")</f>
        <v>USA</v>
      </c>
      <c r="BN8" s="2" t="s">
        <v>42</v>
      </c>
      <c r="BO8" s="30"/>
      <c r="BP8" s="205" t="s">
        <v>11</v>
      </c>
      <c r="BS8" s="61">
        <f ca="1">IF(BK5=$B$98,BJ5,0)</f>
        <v>1</v>
      </c>
      <c r="BT8" s="61">
        <f ca="1">IF(BK7=$B$98,BJ8,0)</f>
        <v>1</v>
      </c>
      <c r="BU8" s="60"/>
      <c r="BV8" s="61">
        <f ca="1">IF(BK4=$B$98,BH4,0)</f>
        <v>2</v>
      </c>
      <c r="CD8" s="2" t="s">
        <v>141</v>
      </c>
      <c r="CE8" s="8"/>
      <c r="CF8" s="220"/>
      <c r="CG8" s="220"/>
      <c r="CH8" s="220"/>
      <c r="CI8" s="220"/>
      <c r="CJ8" s="220"/>
      <c r="CK8" s="220"/>
      <c r="CL8" s="220"/>
      <c r="CM8" s="220"/>
      <c r="CN8" s="220"/>
      <c r="CO8" s="220"/>
      <c r="CP8" s="220"/>
      <c r="CQ8" s="220"/>
      <c r="CR8" s="220"/>
      <c r="CS8" s="220"/>
      <c r="CT8" s="220"/>
      <c r="CV8" s="220"/>
      <c r="CX8" s="17">
        <f ca="1">IF($CX$97="",IF(OR(Ergebnisse!BH8="",Ergebnisse!BJ8=""),0,IF(AND(BH8=Ergebnisse!BH8,BJ8=Ergebnisse!BJ8),7,MIN(7,(BH8-BJ8=Ergebnisse!BH8-Ergebnisse!BJ8)*4+(AND(BH8-BJ8&lt;&gt;Ergebnisse!BH8-Ergebnisse!BJ8,SIGN(BH8-BJ8)=SIGN(Ergebnisse!BH8-Ergebnisse!BJ8)))*2+(BH8=Ergebnisse!BH8)+(BJ8=Ergebnisse!BJ8)))),INT(RAND()*8))</f>
        <v>0</v>
      </c>
      <c r="CY8" s="17" t="str">
        <f ca="1">IF(Ergebnisse!BK8=Ergebnisse!$B$98,Ergebnisse!BK8,"")</f>
        <v>ok</v>
      </c>
      <c r="DA8" s="163"/>
      <c r="DB8" s="164"/>
    </row>
    <row r="9" spans="1:106">
      <c r="E9" s="55"/>
      <c r="F9" s="55"/>
      <c r="G9" s="55"/>
      <c r="M9" s="36" t="str">
        <f ca="1">IF(N4&gt;0,M4,"")</f>
        <v>Südafrika</v>
      </c>
      <c r="N9" s="2" t="s">
        <v>142</v>
      </c>
      <c r="S9" s="61">
        <f ca="1">IF(K8=$B$98,H7,0)</f>
        <v>2</v>
      </c>
      <c r="T9" s="61">
        <f ca="1">IF(K6=$B$98,H6,0)</f>
        <v>2</v>
      </c>
      <c r="U9" s="61">
        <f ca="1">IF(K4=$B$98,J4,0)</f>
        <v>1</v>
      </c>
      <c r="V9" s="60"/>
      <c r="AD9" s="55" t="s">
        <v>143</v>
      </c>
      <c r="AE9" s="108"/>
      <c r="AF9" s="219"/>
      <c r="AG9" s="219"/>
      <c r="AH9" s="219"/>
      <c r="AI9" s="219"/>
      <c r="AJ9" s="219"/>
      <c r="AK9" s="219"/>
      <c r="AL9" s="219"/>
      <c r="AM9" s="219"/>
      <c r="AN9" s="219"/>
      <c r="AO9" s="219"/>
      <c r="AP9" s="219"/>
      <c r="AQ9" s="219"/>
      <c r="AR9" s="219"/>
      <c r="AS9" s="219"/>
      <c r="AT9" s="219"/>
      <c r="AV9" s="219"/>
      <c r="AW9" s="2"/>
      <c r="AX9" s="28">
        <f ca="1">IF($CX$97="",2*COUNTIF(Ergebnisse!$D$63:'Ergebnisse'!$F$78,M9),2*INT(RAND()*2))</f>
        <v>2</v>
      </c>
      <c r="AY9" s="17" t="str">
        <f ca="1">IF(COUNTIF(Ergebnisse!K3:'Ergebnisse'!K8,Ergebnisse!$B$98)=6,"ok","")</f>
        <v>ok</v>
      </c>
      <c r="AZ9" s="2"/>
      <c r="BE9" s="55"/>
      <c r="BF9" s="55"/>
      <c r="BG9" s="55"/>
      <c r="BM9" s="177" t="str">
        <f ca="1">IF(BN4&gt;0,BM4,"")</f>
        <v>Paraguay</v>
      </c>
      <c r="BN9" s="2" t="s">
        <v>150</v>
      </c>
      <c r="BS9" s="61">
        <f ca="1">IF(BK8=$B$98,BH7,0)</f>
        <v>2</v>
      </c>
      <c r="BT9" s="61">
        <f ca="1">IF(BK6=$B$98,BH6,0)</f>
        <v>2</v>
      </c>
      <c r="BU9" s="61">
        <f ca="1">IF(BK4=$B$98,BJ4,0)</f>
        <v>1</v>
      </c>
      <c r="BV9" s="60"/>
      <c r="CD9" s="2" t="s">
        <v>143</v>
      </c>
      <c r="CE9" s="8"/>
      <c r="CF9" s="220"/>
      <c r="CG9" s="220"/>
      <c r="CH9" s="220"/>
      <c r="CI9" s="220"/>
      <c r="CJ9" s="220"/>
      <c r="CK9" s="220"/>
      <c r="CL9" s="220"/>
      <c r="CM9" s="220"/>
      <c r="CN9" s="220"/>
      <c r="CO9" s="220"/>
      <c r="CP9" s="220"/>
      <c r="CQ9" s="220"/>
      <c r="CR9" s="220"/>
      <c r="CS9" s="220"/>
      <c r="CT9" s="220"/>
      <c r="CV9" s="220"/>
      <c r="CX9" s="76">
        <f ca="1">IF($CX$97="",2*COUNTIF(Ergebnisse!$D$63:'Ergebnisse'!$F$78,BM9),2*INT(RAND()*2))</f>
        <v>0</v>
      </c>
      <c r="CY9" s="17" t="str">
        <f ca="1">IF(COUNTIF(Ergebnisse!BK3:'Ergebnisse'!BK8,Ergebnisse!$B$98)=6,"ok","")</f>
        <v>ok</v>
      </c>
      <c r="DA9" s="165" t="s">
        <v>81</v>
      </c>
      <c r="DB9" s="166">
        <f>DB12*DB11</f>
        <v>64</v>
      </c>
    </row>
    <row r="10" spans="1:106" ht="6" customHeight="1">
      <c r="D10" s="55"/>
      <c r="E10" s="58"/>
      <c r="F10" s="59"/>
      <c r="G10" s="59"/>
      <c r="H10" s="55"/>
      <c r="I10" s="55"/>
      <c r="J10" s="55"/>
      <c r="AE10" s="108"/>
      <c r="AF10" s="219"/>
      <c r="AG10" s="219"/>
      <c r="AH10" s="219"/>
      <c r="AI10" s="219"/>
      <c r="AJ10" s="219"/>
      <c r="AK10" s="219"/>
      <c r="AL10" s="219"/>
      <c r="AM10" s="219"/>
      <c r="AN10" s="219"/>
      <c r="AO10" s="219"/>
      <c r="AP10" s="219"/>
      <c r="AQ10" s="219"/>
      <c r="AR10" s="219"/>
      <c r="AS10" s="219"/>
      <c r="AT10" s="219"/>
      <c r="AV10" s="219"/>
      <c r="AW10" s="2"/>
      <c r="AX10" s="17"/>
      <c r="AZ10" s="2"/>
      <c r="BD10" s="55"/>
      <c r="BE10" s="58"/>
      <c r="BF10" s="59"/>
      <c r="BG10" s="59"/>
      <c r="BH10" s="55"/>
      <c r="BI10" s="55"/>
      <c r="BJ10" s="55"/>
      <c r="BS10" s="55"/>
      <c r="BT10" s="55"/>
      <c r="BU10" s="55"/>
      <c r="BV10" s="55"/>
      <c r="CE10" s="8"/>
      <c r="CF10" s="220"/>
      <c r="CG10" s="220"/>
      <c r="CH10" s="220"/>
      <c r="CI10" s="220"/>
      <c r="CJ10" s="220"/>
      <c r="CK10" s="220"/>
      <c r="CL10" s="220"/>
      <c r="CM10" s="220"/>
      <c r="CN10" s="220"/>
      <c r="CO10" s="220"/>
      <c r="CP10" s="220"/>
      <c r="CQ10" s="220"/>
      <c r="CR10" s="220"/>
      <c r="CS10" s="220"/>
      <c r="CT10" s="220"/>
      <c r="CV10" s="220"/>
      <c r="DA10" s="163"/>
      <c r="DB10" s="164"/>
    </row>
    <row r="11" spans="1:106" s="10" customFormat="1">
      <c r="B11" s="31" t="s">
        <v>0</v>
      </c>
      <c r="C11" s="32" t="s">
        <v>31</v>
      </c>
      <c r="D11" s="53" t="s">
        <v>2</v>
      </c>
      <c r="E11" s="54"/>
      <c r="F11" s="53"/>
      <c r="G11" s="53"/>
      <c r="H11" s="20"/>
      <c r="I11" s="19"/>
      <c r="J11" s="20"/>
      <c r="K11" s="180"/>
      <c r="L11" s="17"/>
      <c r="M11" s="35" t="s">
        <v>3</v>
      </c>
      <c r="N11" s="17" t="s">
        <v>4</v>
      </c>
      <c r="O11" s="17" t="s">
        <v>5</v>
      </c>
      <c r="P11" s="17" t="s">
        <v>6</v>
      </c>
      <c r="Q11" s="17" t="s">
        <v>7</v>
      </c>
      <c r="R11" s="17"/>
      <c r="S11" s="55"/>
      <c r="T11" s="55"/>
      <c r="U11" s="55"/>
      <c r="V11" s="55"/>
      <c r="W11" s="53"/>
      <c r="X11" s="53" t="s">
        <v>8</v>
      </c>
      <c r="Y11" s="56" t="s">
        <v>9</v>
      </c>
      <c r="Z11" s="53" t="s">
        <v>4</v>
      </c>
      <c r="AA11" s="53" t="s">
        <v>5</v>
      </c>
      <c r="AB11" s="53" t="s">
        <v>6</v>
      </c>
      <c r="AC11" s="53" t="s">
        <v>7</v>
      </c>
      <c r="AD11" s="53"/>
      <c r="AE11" s="19" t="s">
        <v>10</v>
      </c>
      <c r="AF11" s="40" t="s">
        <v>11</v>
      </c>
      <c r="AG11" s="40"/>
      <c r="AH11" s="40"/>
      <c r="AI11" s="40"/>
      <c r="AJ11" s="40" t="s">
        <v>12</v>
      </c>
      <c r="AK11" s="56" t="s">
        <v>13</v>
      </c>
      <c r="AL11" s="40" t="s">
        <v>14</v>
      </c>
      <c r="AM11" s="40"/>
      <c r="AN11" s="40"/>
      <c r="AO11" s="40"/>
      <c r="AP11" s="40" t="s">
        <v>15</v>
      </c>
      <c r="AQ11" s="40" t="s">
        <v>16</v>
      </c>
      <c r="AR11" s="40"/>
      <c r="AS11" s="40"/>
      <c r="AT11" s="40"/>
      <c r="AU11" s="58" t="s">
        <v>17</v>
      </c>
      <c r="AV11" s="56" t="s">
        <v>18</v>
      </c>
      <c r="AX11" s="31">
        <f ca="1">IF($CX$97="",2*COUNTIF(Ergebnisse!$D$63:'Ergebnisse'!$F$78,M17),2*INT(RAND()*2))</f>
        <v>2</v>
      </c>
      <c r="AY11" s="17" t="str">
        <f ca="1">IF(COUNTIF(Ergebnisse!K13:'Ergebnisse'!K18,Ergebnisse!$B$98)=6,"ok","")</f>
        <v>ok</v>
      </c>
      <c r="BB11" s="72" t="s">
        <v>0</v>
      </c>
      <c r="BC11" s="73" t="s">
        <v>21</v>
      </c>
      <c r="BD11" s="53" t="s">
        <v>2</v>
      </c>
      <c r="BE11" s="54"/>
      <c r="BF11" s="53"/>
      <c r="BG11" s="53"/>
      <c r="BH11" s="20"/>
      <c r="BI11" s="19"/>
      <c r="BJ11" s="20"/>
      <c r="BK11" s="180"/>
      <c r="BL11" s="17"/>
      <c r="BM11" s="35" t="s">
        <v>3</v>
      </c>
      <c r="BN11" s="17" t="s">
        <v>4</v>
      </c>
      <c r="BO11" s="17" t="s">
        <v>5</v>
      </c>
      <c r="BP11" s="17" t="s">
        <v>6</v>
      </c>
      <c r="BQ11" s="17" t="s">
        <v>7</v>
      </c>
      <c r="BR11" s="17"/>
      <c r="BS11" s="55"/>
      <c r="BT11" s="55"/>
      <c r="BU11" s="55"/>
      <c r="BV11" s="55"/>
      <c r="BW11" s="17"/>
      <c r="BX11" s="17" t="s">
        <v>8</v>
      </c>
      <c r="BY11" s="56" t="s">
        <v>9</v>
      </c>
      <c r="BZ11" s="17" t="s">
        <v>4</v>
      </c>
      <c r="CA11" s="17" t="s">
        <v>5</v>
      </c>
      <c r="CB11" s="17" t="s">
        <v>6</v>
      </c>
      <c r="CC11" s="17" t="s">
        <v>7</v>
      </c>
      <c r="CD11" s="17"/>
      <c r="CE11" s="180" t="s">
        <v>10</v>
      </c>
      <c r="CF11" s="15" t="s">
        <v>11</v>
      </c>
      <c r="CG11" s="15"/>
      <c r="CH11" s="15"/>
      <c r="CI11" s="15"/>
      <c r="CJ11" s="15" t="s">
        <v>12</v>
      </c>
      <c r="CK11" s="21" t="s">
        <v>13</v>
      </c>
      <c r="CL11" s="15" t="s">
        <v>14</v>
      </c>
      <c r="CM11" s="15"/>
      <c r="CN11" s="15"/>
      <c r="CO11" s="15"/>
      <c r="CP11" s="15" t="s">
        <v>15</v>
      </c>
      <c r="CQ11" s="15" t="s">
        <v>16</v>
      </c>
      <c r="CR11" s="15"/>
      <c r="CS11" s="15"/>
      <c r="CT11" s="15"/>
      <c r="CU11" s="16" t="s">
        <v>17</v>
      </c>
      <c r="CV11" s="21" t="s">
        <v>18</v>
      </c>
      <c r="CX11" s="72">
        <f ca="1">IF($CX$97="",2*COUNTIF(Ergebnisse!$D$63:'Ergebnisse'!$F$78,BM17),2*INT(RAND()*2))</f>
        <v>2</v>
      </c>
      <c r="CY11" s="17" t="str">
        <f ca="1">IF(COUNTIF(Ergebnisse!BK13:'Ergebnisse'!BK18,Ergebnisse!$B$98)=6,"ok","")</f>
        <v>ok</v>
      </c>
      <c r="DA11" s="163" t="s">
        <v>157</v>
      </c>
      <c r="DB11" s="270">
        <v>2</v>
      </c>
    </row>
    <row r="12" spans="1:106">
      <c r="B12" s="3" t="s">
        <v>22</v>
      </c>
      <c r="C12" s="3" t="s">
        <v>23</v>
      </c>
      <c r="D12" s="55"/>
      <c r="E12" s="55"/>
      <c r="F12" s="55"/>
      <c r="G12" s="55"/>
      <c r="L12" s="1"/>
      <c r="M12" s="9" t="str">
        <f ca="1">VLOOKUP(1,$X$12:$AC$15,2,FALSE)</f>
        <v>Schweiz</v>
      </c>
      <c r="N12" s="2">
        <f ca="1">VLOOKUP(1,$X$12:$AC$15,3,FALSE)</f>
        <v>6</v>
      </c>
      <c r="O12" s="2">
        <f ca="1">VLOOKUP(1,$X$12:$AC$15,4,FALSE)</f>
        <v>5</v>
      </c>
      <c r="P12" s="2">
        <f ca="1">VLOOKUP(1,$X$12:$AC$15,5,FALSE)</f>
        <v>4</v>
      </c>
      <c r="Q12" s="2">
        <f ca="1">VLOOKUP(1,$X$12:$AC$15,6,FALSE)</f>
        <v>1</v>
      </c>
      <c r="S12" s="60"/>
      <c r="T12" s="61">
        <f ca="1">IF(H13="",0,IF(K13=$B$98,IF(H13&gt;J13,3,IF(H13=J13,1,0)),0))</f>
        <v>3</v>
      </c>
      <c r="U12" s="61">
        <f ca="1">IF(H15="",0,IF(K15=$B$98,IF(H15&gt;J15,3,IF(H15=J15,1,0)),0))</f>
        <v>3</v>
      </c>
      <c r="V12" s="61">
        <f ca="1">IF(J17="",0,IF(K18=$B$98,IF(H17&lt;J17,3,IF(H17=J17,1,0)),0))</f>
        <v>0</v>
      </c>
      <c r="W12" s="62"/>
      <c r="X12" s="62">
        <f ca="1">RANK(AD12,$AD$12:$AD$15)</f>
        <v>2</v>
      </c>
      <c r="Y12" s="40" t="s">
        <v>207</v>
      </c>
      <c r="Z12" s="62">
        <f ca="1">SUM(S12:V12)</f>
        <v>6</v>
      </c>
      <c r="AA12" s="62">
        <f ca="1">SUM(S16:V16)</f>
        <v>5</v>
      </c>
      <c r="AB12" s="62">
        <f ca="1">SUM(S16:S19)</f>
        <v>4</v>
      </c>
      <c r="AC12" s="62">
        <f ca="1">AA12-AB12</f>
        <v>1</v>
      </c>
      <c r="AD12" s="24">
        <f ca="1">IF(P$18="",(((((((AE12*10+Z12)*100+AC12)*100+AA12)*10+AK12)*10+AJ12)*100+AP12)*100+AU12)*10+AV12,(((((((AE12*10+Z12)*10+AK12)*10+AJ12)*100+AP12)*100+AU12)*100+AC12)*100+AA12)*10+AV12)</f>
        <v>596990101054</v>
      </c>
      <c r="AE12" s="203"/>
      <c r="AF12" s="217"/>
      <c r="AG12" s="217">
        <f ca="1">IF($Z12=$Z13,$T12-$S13,0)</f>
        <v>0</v>
      </c>
      <c r="AH12" s="217">
        <f ca="1">IF($Z12=$Z14,$U12-$S14,0)</f>
        <v>0</v>
      </c>
      <c r="AI12" s="217">
        <f ca="1">IF($Z12=$Z15,$V12-$S15,0)</f>
        <v>-3</v>
      </c>
      <c r="AJ12" s="217">
        <f ca="1">SUM(AF12:AI12)</f>
        <v>-3</v>
      </c>
      <c r="AK12" s="203"/>
      <c r="AL12" s="217"/>
      <c r="AM12" s="217">
        <f ca="1">IF($Z12=$Z13,$T16-$S17,0)</f>
        <v>0</v>
      </c>
      <c r="AN12" s="217">
        <f ca="1">IF($Z12=$Z14,$U16-$S18,0)</f>
        <v>0</v>
      </c>
      <c r="AO12" s="217">
        <f ca="1">IF($Z12=$Z15,$V16-$S19,0)</f>
        <v>-1</v>
      </c>
      <c r="AP12" s="217">
        <f ca="1">SUM(AL12:AO12)</f>
        <v>-1</v>
      </c>
      <c r="AQ12" s="217"/>
      <c r="AR12" s="217">
        <f ca="1">IF($Z12=$Z13,$T16,0)</f>
        <v>0</v>
      </c>
      <c r="AS12" s="217">
        <f ca="1">IF($Z12=$Z14,$U16,0)</f>
        <v>0</v>
      </c>
      <c r="AT12" s="217">
        <f ca="1">IF($Z12=$Z15,$V16,0)</f>
        <v>1</v>
      </c>
      <c r="AU12" s="217">
        <f ca="1">SUM(AQ12:AT12)</f>
        <v>1</v>
      </c>
      <c r="AV12" s="203">
        <v>4</v>
      </c>
      <c r="AW12" s="2"/>
      <c r="AX12" s="31">
        <f ca="1">IF($CX$97="",2*COUNTIF(Ergebnisse!$D$63:'Ergebnisse'!$F$78,M18),2*INT(RAND()*2))</f>
        <v>2</v>
      </c>
      <c r="AY12" s="17" t="str">
        <f ca="1">IF(COUNTIF(Ergebnisse!K13:'Ergebnisse'!K18,Ergebnisse!$B$98)=6,"ok","")</f>
        <v>ok</v>
      </c>
      <c r="AZ12" s="2"/>
      <c r="BB12" s="3" t="s">
        <v>22</v>
      </c>
      <c r="BC12" s="3" t="s">
        <v>23</v>
      </c>
      <c r="BD12" s="55"/>
      <c r="BE12" s="55"/>
      <c r="BF12" s="55"/>
      <c r="BG12" s="55"/>
      <c r="BL12" s="1"/>
      <c r="BM12" s="9" t="str">
        <f ca="1">VLOOKUP(1,$BX$12:$CC$15,2,FALSE)</f>
        <v>Ecuador</v>
      </c>
      <c r="BN12" s="2">
        <f ca="1">VLOOKUP(1,$BX$12:$CC$15,3,FALSE)</f>
        <v>6</v>
      </c>
      <c r="BO12" s="2">
        <f ca="1">VLOOKUP(1,$BX$12:$CC$15,4,FALSE)</f>
        <v>5</v>
      </c>
      <c r="BP12" s="2">
        <f ca="1">VLOOKUP(1,$BX$12:$CC$15,5,FALSE)</f>
        <v>4</v>
      </c>
      <c r="BQ12" s="2">
        <f ca="1">VLOOKUP(1,$BX$12:$CC$15,6,FALSE)</f>
        <v>1</v>
      </c>
      <c r="BS12" s="60"/>
      <c r="BT12" s="61">
        <f ca="1">IF(BH13="",0,IF(BK13=$B$98,IF(BH13&gt;BJ13,3,IF(BH13=BJ13,1,0)),0))</f>
        <v>3</v>
      </c>
      <c r="BU12" s="61">
        <f ca="1">IF(BH15="",0,IF(BK15=$B$98,IF(BH15&gt;BJ15,3,IF(BH15=BJ15,1,0)),0))</f>
        <v>3</v>
      </c>
      <c r="BV12" s="61">
        <f ca="1">IF(BJ17="",0,IF(BK18=$B$98,IF(BH17&lt;BJ17,3,IF(BH17=BJ17,1,0)),0))</f>
        <v>0</v>
      </c>
      <c r="BW12" s="1"/>
      <c r="BX12" s="1">
        <f ca="1">RANK(CD12,$CD$12:$CD$15)</f>
        <v>2</v>
      </c>
      <c r="BY12" s="40" t="s">
        <v>67</v>
      </c>
      <c r="BZ12" s="1">
        <f ca="1">SUM(BS12:BV12)</f>
        <v>6</v>
      </c>
      <c r="CA12" s="1">
        <f ca="1">SUM(BS16:BV16)</f>
        <v>5</v>
      </c>
      <c r="CB12" s="1">
        <f ca="1">SUM(BS16:BS19)</f>
        <v>4</v>
      </c>
      <c r="CC12" s="1">
        <f ca="1">CA12-CB12</f>
        <v>1</v>
      </c>
      <c r="CD12" s="24">
        <f ca="1">IF(BP$18="",(((((((CE12*10+BZ12)*100+CC12)*100+CA12)*10+CK12)*10+CJ12)*100+CP12)*100+CU12)*10+CV12,(((((((CE12*10+BZ12)*10+CK12)*10+CJ12)*100+CP12)*100+CU12)*100+CC12)*100+CA12)*10+CV12)</f>
        <v>596990101054</v>
      </c>
      <c r="CE12" s="207"/>
      <c r="CF12" s="218"/>
      <c r="CG12" s="218">
        <f ca="1">IF($BZ12=$BZ13,$BT12-$BS13,0)</f>
        <v>0</v>
      </c>
      <c r="CH12" s="218">
        <f ca="1">IF($BZ12=$BZ14,$BU12-$BS14,0)</f>
        <v>0</v>
      </c>
      <c r="CI12" s="218">
        <f ca="1">IF($BZ12=$BZ15,$BV12-$BS15,0)</f>
        <v>-3</v>
      </c>
      <c r="CJ12" s="218">
        <f ca="1">SUM(CF12:CI12)</f>
        <v>-3</v>
      </c>
      <c r="CK12" s="207"/>
      <c r="CL12" s="218"/>
      <c r="CM12" s="218">
        <f ca="1">IF($BZ12=$BZ13,$BT16-$BS17,0)</f>
        <v>0</v>
      </c>
      <c r="CN12" s="218">
        <f ca="1">IF($BZ12=$BZ14,$BU16-$BS18,0)</f>
        <v>0</v>
      </c>
      <c r="CO12" s="218">
        <f ca="1">IF($BZ12=$BZ15,$BV16-$BS19,0)</f>
        <v>-1</v>
      </c>
      <c r="CP12" s="218">
        <f ca="1">SUM(CL12:CO12)</f>
        <v>-1</v>
      </c>
      <c r="CQ12" s="218"/>
      <c r="CR12" s="218">
        <f ca="1">IF($BZ12=$BZ13,$BT16,0)</f>
        <v>0</v>
      </c>
      <c r="CS12" s="218">
        <f ca="1">IF($BZ12=$BZ14,$BU16,0)</f>
        <v>0</v>
      </c>
      <c r="CT12" s="218">
        <f ca="1">IF($BZ12=$BZ15,$BV16,0)</f>
        <v>1</v>
      </c>
      <c r="CU12" s="218">
        <f ca="1">SUM(CQ12:CT12)</f>
        <v>1</v>
      </c>
      <c r="CV12" s="207">
        <v>4</v>
      </c>
      <c r="CX12" s="72">
        <f ca="1">IF($CX$97="",2*COUNTIF(Ergebnisse!$D$63:'Ergebnisse'!$F$78,BM18),2*INT(RAND()*2))</f>
        <v>0</v>
      </c>
      <c r="CY12" s="17" t="str">
        <f ca="1">IF(COUNTIF(Ergebnisse!BK13:'Ergebnisse'!BK18,Ergebnisse!$B$98)=6,"ok","")</f>
        <v>ok</v>
      </c>
      <c r="DA12" s="168" t="s">
        <v>453</v>
      </c>
      <c r="DB12" s="188">
        <v>32</v>
      </c>
    </row>
    <row r="13" spans="1:106">
      <c r="A13" s="16">
        <v>3</v>
      </c>
      <c r="B13" s="6">
        <f>VLOOKUP(A13,Spiele!$A$1:$L$116,2,FALSE)</f>
        <v>46185.625</v>
      </c>
      <c r="C13" s="6" t="str">
        <f>VLOOKUP(A13,Spiele!$A$1:$L$116,9,FALSE)</f>
        <v>Toronto</v>
      </c>
      <c r="D13" s="56" t="str">
        <f>Y12</f>
        <v>Kanada</v>
      </c>
      <c r="E13" s="40" t="s">
        <v>24</v>
      </c>
      <c r="F13" s="56" t="str">
        <f>Y13</f>
        <v>Bosnien/Herzg.</v>
      </c>
      <c r="G13" s="53"/>
      <c r="H13" s="107">
        <f t="shared" ref="H13:H18" ca="1" si="4">IF($B$99="",2,INT(RAND()*5)+INT(RAND()*3)*INT(RAND()*2))</f>
        <v>2</v>
      </c>
      <c r="I13" s="11" t="s">
        <v>25</v>
      </c>
      <c r="J13" s="107">
        <f t="shared" ref="J13:J18" ca="1" si="5">IF($B$99="",1,INT(RAND()*5)+INT(RAND()*3)*INT(RAND()*2))</f>
        <v>1</v>
      </c>
      <c r="K13" s="7" t="s">
        <v>26</v>
      </c>
      <c r="L13" s="1"/>
      <c r="M13" s="9" t="str">
        <f ca="1">VLOOKUP(2,$X$12:$AC$15,2,FALSE)</f>
        <v>Kanada</v>
      </c>
      <c r="N13" s="2">
        <f ca="1">VLOOKUP(2,$X$12:$AC$15,3,FALSE)</f>
        <v>6</v>
      </c>
      <c r="O13" s="2">
        <f ca="1">VLOOKUP(2,$X$12:$AC$15,4,FALSE)</f>
        <v>5</v>
      </c>
      <c r="P13" s="2">
        <f ca="1">VLOOKUP(2,$X$12:$AC$15,5,FALSE)</f>
        <v>4</v>
      </c>
      <c r="Q13" s="2">
        <f ca="1">VLOOKUP(2,$X$12:$AC$15,6,FALSE)</f>
        <v>1</v>
      </c>
      <c r="S13" s="61">
        <f ca="1">IF(J13="",0,IF(K13=$B$98,IF(H13&lt;J13,3,IF(H13=J13,1,0)),0))</f>
        <v>0</v>
      </c>
      <c r="T13" s="60"/>
      <c r="U13" s="61">
        <f ca="1">IF(H18="",0,IF(K17=$B$98,IF(H18&gt;J18,3,IF(H18=J18,1,0)),0))</f>
        <v>3</v>
      </c>
      <c r="V13" s="61">
        <f ca="1">IF(J16="",0,IF(K16=$B$98,IF(J16&gt;H16,3,IF(J16=H16,1,0)),0))</f>
        <v>0</v>
      </c>
      <c r="W13" s="62"/>
      <c r="X13" s="62">
        <f ca="1">RANK(AD13,$AD$12:$AD$15)</f>
        <v>3</v>
      </c>
      <c r="Y13" s="40" t="s">
        <v>208</v>
      </c>
      <c r="Z13" s="62">
        <f ca="1">SUM(S13:V13)</f>
        <v>3</v>
      </c>
      <c r="AA13" s="62">
        <f ca="1">SUM(S17:V17)</f>
        <v>4</v>
      </c>
      <c r="AB13" s="62">
        <f ca="1">SUM(T16:T19)</f>
        <v>5</v>
      </c>
      <c r="AC13" s="62">
        <f ca="1">AA13-AB13</f>
        <v>-1</v>
      </c>
      <c r="AD13" s="24">
        <f ca="1">IF(P$18="",(((((((AE13*10+Z13)*100+AC13)*100+AA13)*10+AK13)*10+AJ13)*100+AP13)*100+AU13)*10+AV13,(((((((AE13*10+Z13)*10+AK13)*10+AJ13)*100+AP13)*100+AU13)*100+AC13)*100+AA13)*10+AV13)</f>
        <v>303010199043</v>
      </c>
      <c r="AE13" s="203"/>
      <c r="AF13" s="217">
        <f ca="1">IF($Z13=$Z12,$S13-$T12,0)</f>
        <v>0</v>
      </c>
      <c r="AG13" s="217"/>
      <c r="AH13" s="217">
        <f ca="1">IF($Z13=$Z14,$U13-$T14,0)</f>
        <v>3</v>
      </c>
      <c r="AI13" s="217">
        <f ca="1">IF($Z13=$Z15,$V13-$T15,0)</f>
        <v>0</v>
      </c>
      <c r="AJ13" s="217">
        <f ca="1">SUM(AF13:AI13)</f>
        <v>3</v>
      </c>
      <c r="AK13" s="203"/>
      <c r="AL13" s="217">
        <f ca="1">IF($Z13=$Z12,$S17-$T16,0)</f>
        <v>0</v>
      </c>
      <c r="AM13" s="217"/>
      <c r="AN13" s="217">
        <f ca="1">IF($Z13=$Z14,$U17-$T18,0)</f>
        <v>1</v>
      </c>
      <c r="AO13" s="217">
        <f ca="1">IF($Z13=$Z15,$V17-$T19,0)</f>
        <v>0</v>
      </c>
      <c r="AP13" s="217">
        <f ca="1">SUM(AL13:AO13)</f>
        <v>1</v>
      </c>
      <c r="AQ13" s="217">
        <f ca="1">IF($Z13=$Z12,$S17,0)</f>
        <v>0</v>
      </c>
      <c r="AR13" s="217"/>
      <c r="AS13" s="217">
        <f ca="1">IF($Z13=$Z14,$U17,0)</f>
        <v>2</v>
      </c>
      <c r="AT13" s="217">
        <f ca="1">IF($Z13=$Z15,$V17,0)</f>
        <v>0</v>
      </c>
      <c r="AU13" s="217">
        <f ca="1">SUM(AQ13:AT13)</f>
        <v>2</v>
      </c>
      <c r="AV13" s="203">
        <v>3</v>
      </c>
      <c r="AW13" s="2"/>
      <c r="AX13" s="17">
        <f ca="1">IF($CX$97="",IF(OR(Ergebnisse!H13="",Ergebnisse!J13=""),0,IF(AND(H13=Ergebnisse!H13,J13=Ergebnisse!J13),7,MIN(7,(H13-J13=Ergebnisse!H13-Ergebnisse!J13)*4+(AND(H13-J13&lt;&gt;Ergebnisse!H13-Ergebnisse!J13,SIGN(H13-J13)=SIGN(Ergebnisse!H13-Ergebnisse!J13)))*2+(H13=Ergebnisse!H13)+(J13=Ergebnisse!J13)))),INT(RAND()*8))</f>
        <v>0</v>
      </c>
      <c r="AY13" s="17" t="str">
        <f ca="1">IF(Ergebnisse!K13=Ergebnisse!$B$98,Ergebnisse!K13,"")</f>
        <v>ok</v>
      </c>
      <c r="AZ13" s="2"/>
      <c r="BA13" s="2">
        <v>10</v>
      </c>
      <c r="BB13" s="6">
        <f>VLOOKUP(BA13,Spiele!$A$1:$L$116,2,FALSE)</f>
        <v>46187.5</v>
      </c>
      <c r="BC13" s="6" t="str">
        <f>VLOOKUP(BA13,Spiele!$A$1:$L$116,9,FALSE)</f>
        <v>Houston</v>
      </c>
      <c r="BD13" s="56" t="str">
        <f>BY12</f>
        <v>Deutschland</v>
      </c>
      <c r="BE13" s="40" t="s">
        <v>24</v>
      </c>
      <c r="BF13" s="56" t="str">
        <f>BY13</f>
        <v>Curaçao</v>
      </c>
      <c r="BG13" s="53"/>
      <c r="BH13" s="107">
        <f t="shared" ref="BH13:BH18" ca="1" si="6">IF($B$99="",2,INT(RAND()*5)+INT(RAND()*3)*INT(RAND()*2))</f>
        <v>2</v>
      </c>
      <c r="BI13" s="11" t="s">
        <v>25</v>
      </c>
      <c r="BJ13" s="107">
        <f t="shared" ref="BJ13:BJ18" ca="1" si="7">IF($B$99="",1,INT(RAND()*5)+INT(RAND()*3)*INT(RAND()*2))</f>
        <v>1</v>
      </c>
      <c r="BK13" s="7" t="s">
        <v>26</v>
      </c>
      <c r="BL13" s="1"/>
      <c r="BM13" s="9" t="str">
        <f ca="1">VLOOKUP(2,$BX$12:$CC$15,2,FALSE)</f>
        <v>Deutschland</v>
      </c>
      <c r="BN13" s="2">
        <f ca="1">VLOOKUP(2,$BX$12:$CC$15,3,FALSE)</f>
        <v>6</v>
      </c>
      <c r="BO13" s="2">
        <f ca="1">VLOOKUP(2,$BX$12:$CC$15,4,FALSE)</f>
        <v>5</v>
      </c>
      <c r="BP13" s="2">
        <f ca="1">VLOOKUP(2,$BX$12:$CC$15,5,FALSE)</f>
        <v>4</v>
      </c>
      <c r="BQ13" s="2">
        <f ca="1">VLOOKUP(2,$BX$12:$CC$15,6,FALSE)</f>
        <v>1</v>
      </c>
      <c r="BS13" s="61">
        <f ca="1">IF(BJ13="",0,IF(BK13=$B$98,IF(BH13&lt;BJ13,3,IF(BH13=BJ13,1,0)),0))</f>
        <v>0</v>
      </c>
      <c r="BT13" s="60"/>
      <c r="BU13" s="61">
        <f ca="1">IF(BH18="",0,IF(BK17=$B$98,IF(BH18&gt;BJ18,3,IF(BH18=BJ18,1,0)),0))</f>
        <v>3</v>
      </c>
      <c r="BV13" s="61">
        <f ca="1">IF(BJ16="",0,IF(BK16=$B$98,IF(BJ16&gt;BH16,3,IF(BJ16=BH16,1,0)),0))</f>
        <v>0</v>
      </c>
      <c r="BW13" s="1"/>
      <c r="BX13" s="1">
        <f ca="1">RANK(CD13,$CD$12:$CD$15)</f>
        <v>3</v>
      </c>
      <c r="BY13" s="40" t="s">
        <v>209</v>
      </c>
      <c r="BZ13" s="1">
        <f ca="1">SUM(BS13:BV13)</f>
        <v>3</v>
      </c>
      <c r="CA13" s="1">
        <f ca="1">SUM(BS17:BV17)</f>
        <v>4</v>
      </c>
      <c r="CB13" s="1">
        <f ca="1">SUM(BT16:BT19)</f>
        <v>5</v>
      </c>
      <c r="CC13" s="1">
        <f ca="1">CA13-CB13</f>
        <v>-1</v>
      </c>
      <c r="CD13" s="24">
        <f ca="1">IF(BP$18="",(((((((CE13*10+BZ13)*100+CC13)*100+CA13)*10+CK13)*10+CJ13)*100+CP13)*100+CU13)*10+CV13,(((((((CE13*10+BZ13)*10+CK13)*10+CJ13)*100+CP13)*100+CU13)*100+CC13)*100+CA13)*10+CV13)</f>
        <v>303010199043</v>
      </c>
      <c r="CE13" s="207"/>
      <c r="CF13" s="218">
        <f ca="1">IF($BZ13=$BZ12,$BS13-$BT12,0)</f>
        <v>0</v>
      </c>
      <c r="CG13" s="218"/>
      <c r="CH13" s="218">
        <f ca="1">IF($BZ13=$BZ14,$BU13-$BT14,0)</f>
        <v>3</v>
      </c>
      <c r="CI13" s="218">
        <f ca="1">IF($BZ13=$BZ15,$BV13-$BT15,0)</f>
        <v>0</v>
      </c>
      <c r="CJ13" s="218">
        <f ca="1">SUM(CF13:CI13)</f>
        <v>3</v>
      </c>
      <c r="CK13" s="207"/>
      <c r="CL13" s="218">
        <f ca="1">IF($BZ13=$BZ12,$BS17-$BT16,0)</f>
        <v>0</v>
      </c>
      <c r="CM13" s="218"/>
      <c r="CN13" s="218">
        <f ca="1">IF($BZ13=$BZ14,$BU17-$BT18,0)</f>
        <v>1</v>
      </c>
      <c r="CO13" s="218">
        <f ca="1">IF($BZ13=$BZ15,$BV17-$BT19,0)</f>
        <v>0</v>
      </c>
      <c r="CP13" s="218">
        <f ca="1">SUM(CL13:CO13)</f>
        <v>1</v>
      </c>
      <c r="CQ13" s="218">
        <f ca="1">IF($BZ13=$BZ12,$BS17,0)</f>
        <v>0</v>
      </c>
      <c r="CR13" s="218"/>
      <c r="CS13" s="218">
        <f ca="1">IF($BZ13=$BZ14,$BU17,0)</f>
        <v>2</v>
      </c>
      <c r="CT13" s="218">
        <f ca="1">IF($BZ13=$BZ15,$BV17,0)</f>
        <v>0</v>
      </c>
      <c r="CU13" s="218">
        <f ca="1">SUM(CQ13:CT13)</f>
        <v>2</v>
      </c>
      <c r="CV13" s="207">
        <v>3</v>
      </c>
      <c r="CX13" s="17">
        <f ca="1">IF($CX$97="",IF(OR(Ergebnisse!BH13="",Ergebnisse!BJ13=""),0,IF(AND(BH13=Ergebnisse!BH13,BJ13=Ergebnisse!BJ13),7,MIN(7,(BH13-BJ13=Ergebnisse!BH13-Ergebnisse!BJ13)*4+(AND(BH13-BJ13&lt;&gt;Ergebnisse!BH13-Ergebnisse!BJ13,SIGN(BH13-BJ13)=SIGN(Ergebnisse!BH13-Ergebnisse!BJ13)))*2+(BH13=Ergebnisse!BH13)+(BJ13=Ergebnisse!BJ13)))),INT(RAND()*8))</f>
        <v>1</v>
      </c>
      <c r="CY13" s="17" t="str">
        <f ca="1">IF(Ergebnisse!BK13=Ergebnisse!$B$98,Ergebnisse!BK13,"")</f>
        <v>ok</v>
      </c>
      <c r="DA13" s="168"/>
      <c r="DB13" s="164"/>
    </row>
    <row r="14" spans="1:106">
      <c r="A14" s="2">
        <v>8</v>
      </c>
      <c r="B14" s="6">
        <f>VLOOKUP(A14,Spiele!$A$1:$L$116,2,FALSE)</f>
        <v>46186.5</v>
      </c>
      <c r="C14" s="6" t="str">
        <f>VLOOKUP(A14,Spiele!$A$1:$L$116,9,FALSE)</f>
        <v>San Francisco</v>
      </c>
      <c r="D14" s="56" t="str">
        <f>Y14</f>
        <v>Katar</v>
      </c>
      <c r="E14" s="40" t="s">
        <v>24</v>
      </c>
      <c r="F14" s="56" t="str">
        <f>Y15</f>
        <v>Schweiz</v>
      </c>
      <c r="G14" s="53"/>
      <c r="H14" s="107">
        <f t="shared" ca="1" si="4"/>
        <v>2</v>
      </c>
      <c r="I14" s="11" t="s">
        <v>25</v>
      </c>
      <c r="J14" s="107">
        <f t="shared" ca="1" si="5"/>
        <v>1</v>
      </c>
      <c r="K14" s="7" t="s">
        <v>26</v>
      </c>
      <c r="L14" s="1"/>
      <c r="M14" s="9" t="str">
        <f ca="1">VLOOKUP(3,$X$12:$AC$15,2,FALSE)</f>
        <v>Bosnien/Herzg.</v>
      </c>
      <c r="N14" s="2">
        <f ca="1">VLOOKUP(3,$X$12:$AC$15,3,FALSE)</f>
        <v>3</v>
      </c>
      <c r="O14" s="2">
        <f ca="1">VLOOKUP(3,$X$12:$AC$15,4,FALSE)</f>
        <v>4</v>
      </c>
      <c r="P14" s="2">
        <f ca="1">VLOOKUP(3,$X$12:$AC$15,5,FALSE)</f>
        <v>5</v>
      </c>
      <c r="Q14" s="2">
        <f ca="1">VLOOKUP(3,$X$12:$AC$15,6,FALSE)</f>
        <v>-1</v>
      </c>
      <c r="S14" s="61">
        <f ca="1">IF(J15="",0,IF(K15=$B$98,IF(H15&lt;J15,3,IF(H15=J15,1,0)),0))</f>
        <v>0</v>
      </c>
      <c r="T14" s="61">
        <f ca="1">IF(J18="",0,IF(K17=$B$98,IF(H18&lt;J18,3,IF(H18=J18,1,0)),0))</f>
        <v>0</v>
      </c>
      <c r="U14" s="60"/>
      <c r="V14" s="61">
        <f ca="1">IF(H14="",0,IF(K14=$B$98,IF(H14&gt;J14,3,IF(H14=J14,1,0)),0))</f>
        <v>3</v>
      </c>
      <c r="W14" s="62"/>
      <c r="X14" s="62">
        <f ca="1">RANK(AD14,$AD$12:$AD$15)</f>
        <v>4</v>
      </c>
      <c r="Y14" s="40" t="s">
        <v>210</v>
      </c>
      <c r="Z14" s="62">
        <f ca="1">SUM(S14:V14)</f>
        <v>3</v>
      </c>
      <c r="AA14" s="62">
        <f ca="1">SUM(S18:V18)</f>
        <v>4</v>
      </c>
      <c r="AB14" s="62">
        <f ca="1">SUM(U16:U19)</f>
        <v>5</v>
      </c>
      <c r="AC14" s="62">
        <f ca="1">AA14-AB14</f>
        <v>-1</v>
      </c>
      <c r="AD14" s="24">
        <f ca="1">IF(P$18="",(((((((AE14*10+Z14)*100+AC14)*100+AA14)*10+AK14)*10+AJ14)*100+AP14)*100+AU14)*10+AV14,(((((((AE14*10+Z14)*10+AK14)*10+AJ14)*100+AP14)*100+AU14)*100+AC14)*100+AA14)*10+AV14)</f>
        <v>296990099042</v>
      </c>
      <c r="AE14" s="203"/>
      <c r="AF14" s="217">
        <f ca="1">IF($Z14=$Z12,$S14-$U12,0)</f>
        <v>0</v>
      </c>
      <c r="AG14" s="217">
        <f ca="1">IF($Z14=$Z13,$T14-$U13,0)</f>
        <v>-3</v>
      </c>
      <c r="AH14" s="217"/>
      <c r="AI14" s="217">
        <f ca="1">IF($Z14=$Z15,$V14-$U15,0)</f>
        <v>0</v>
      </c>
      <c r="AJ14" s="217">
        <f ca="1">SUM(AF14:AI14)</f>
        <v>-3</v>
      </c>
      <c r="AK14" s="203"/>
      <c r="AL14" s="217">
        <f ca="1">IF($Z14=$Z12,$S18-$U16,0)</f>
        <v>0</v>
      </c>
      <c r="AM14" s="217">
        <f ca="1">IF($Z14=$Z13,$T18-$U17,0)</f>
        <v>-1</v>
      </c>
      <c r="AN14" s="217"/>
      <c r="AO14" s="217">
        <f ca="1">IF($Z14=$Z15,$V18-$U19,0)</f>
        <v>0</v>
      </c>
      <c r="AP14" s="217">
        <f ca="1">SUM(AL14:AO14)</f>
        <v>-1</v>
      </c>
      <c r="AQ14" s="217">
        <f ca="1">IF($Z14=$Z12,$S18,0)</f>
        <v>0</v>
      </c>
      <c r="AR14" s="217">
        <f ca="1">IF($Z14=$Z13,$T18,0)</f>
        <v>1</v>
      </c>
      <c r="AS14" s="217"/>
      <c r="AT14" s="217">
        <f ca="1">IF($Z14=$Z15,$V18,0)</f>
        <v>0</v>
      </c>
      <c r="AU14" s="217">
        <f ca="1">SUM(AQ14:AT14)</f>
        <v>1</v>
      </c>
      <c r="AV14" s="203">
        <v>2</v>
      </c>
      <c r="AW14" s="2"/>
      <c r="AX14" s="17">
        <f ca="1">IF($CX$97="",IF(OR(Ergebnisse!H14="",Ergebnisse!J14=""),0,IF(AND(H14=Ergebnisse!H14,J14=Ergebnisse!J14),7,MIN(7,(H14-J14=Ergebnisse!H14-Ergebnisse!J14)*4+(AND(H14-J14&lt;&gt;Ergebnisse!H14-Ergebnisse!J14,SIGN(H14-J14)=SIGN(Ergebnisse!H14-Ergebnisse!J14)))*2+(H14=Ergebnisse!H14)+(J14=Ergebnisse!J14)))),INT(RAND()*8))</f>
        <v>0</v>
      </c>
      <c r="AY14" s="17" t="str">
        <f ca="1">IF(Ergebnisse!K14=Ergebnisse!$B$98,Ergebnisse!K14,"")</f>
        <v>ok</v>
      </c>
      <c r="AZ14" s="2"/>
      <c r="BA14" s="2">
        <v>9</v>
      </c>
      <c r="BB14" s="6">
        <f>VLOOKUP(BA14,Spiele!$A$1:$L$116,2,FALSE)</f>
        <v>46187.791666666664</v>
      </c>
      <c r="BC14" s="6" t="str">
        <f>VLOOKUP(BA14,Spiele!$A$1:$L$116,9,FALSE)</f>
        <v>Philadelphia</v>
      </c>
      <c r="BD14" s="56" t="str">
        <f>BY14</f>
        <v>Elfenbeinküste</v>
      </c>
      <c r="BE14" s="40" t="s">
        <v>24</v>
      </c>
      <c r="BF14" s="56" t="str">
        <f>BY15</f>
        <v>Ecuador</v>
      </c>
      <c r="BG14" s="53"/>
      <c r="BH14" s="107">
        <f t="shared" ca="1" si="6"/>
        <v>2</v>
      </c>
      <c r="BI14" s="11" t="s">
        <v>25</v>
      </c>
      <c r="BJ14" s="107">
        <f t="shared" ca="1" si="7"/>
        <v>1</v>
      </c>
      <c r="BK14" s="7" t="s">
        <v>26</v>
      </c>
      <c r="BL14" s="1"/>
      <c r="BM14" s="9" t="str">
        <f ca="1">VLOOKUP(3,$BX$12:$CC$15,2,FALSE)</f>
        <v>Curaçao</v>
      </c>
      <c r="BN14" s="2">
        <f ca="1">VLOOKUP(3,$BX$12:$CC$15,3,FALSE)</f>
        <v>3</v>
      </c>
      <c r="BO14" s="2">
        <f ca="1">VLOOKUP(3,$BX$12:$CC$15,4,FALSE)</f>
        <v>4</v>
      </c>
      <c r="BP14" s="2">
        <f ca="1">VLOOKUP(3,$BX$12:$CC$15,5,FALSE)</f>
        <v>5</v>
      </c>
      <c r="BQ14" s="2">
        <f ca="1">VLOOKUP(3,$BX$12:$CC$15,6,FALSE)</f>
        <v>-1</v>
      </c>
      <c r="BS14" s="61">
        <f ca="1">IF(BJ15="",0,IF(BK15=$B$98,IF(BH15&lt;BJ15,3,IF(BH15=BJ15,1,0)),0))</f>
        <v>0</v>
      </c>
      <c r="BT14" s="61">
        <f ca="1">IF(BJ18="",0,IF(BK17=$B$98,IF(BH18&lt;BJ18,3,IF(BH18=BJ18,1,0)),0))</f>
        <v>0</v>
      </c>
      <c r="BU14" s="60"/>
      <c r="BV14" s="61">
        <f ca="1">IF(BH14="",0,IF(BK14=$B$98,IF(BH14&gt;BJ14,3,IF(BH14=BJ14,1,0)),0))</f>
        <v>3</v>
      </c>
      <c r="BW14" s="1"/>
      <c r="BX14" s="1">
        <f ca="1">RANK(CD14,$CD$12:$CD$15)</f>
        <v>4</v>
      </c>
      <c r="BY14" s="40" t="s">
        <v>211</v>
      </c>
      <c r="BZ14" s="1">
        <f ca="1">SUM(BS14:BV14)</f>
        <v>3</v>
      </c>
      <c r="CA14" s="1">
        <f ca="1">SUM(BS18:BV18)</f>
        <v>4</v>
      </c>
      <c r="CB14" s="1">
        <f ca="1">SUM(BU16:BU19)</f>
        <v>5</v>
      </c>
      <c r="CC14" s="1">
        <f ca="1">CA14-CB14</f>
        <v>-1</v>
      </c>
      <c r="CD14" s="24">
        <f ca="1">IF(BP$18="",(((((((CE14*10+BZ14)*100+CC14)*100+CA14)*10+CK14)*10+CJ14)*100+CP14)*100+CU14)*10+CV14,(((((((CE14*10+BZ14)*10+CK14)*10+CJ14)*100+CP14)*100+CU14)*100+CC14)*100+CA14)*10+CV14)</f>
        <v>296990099042</v>
      </c>
      <c r="CE14" s="207"/>
      <c r="CF14" s="218">
        <f ca="1">IF($BZ14=$BZ12,$BS14-$BU12,0)</f>
        <v>0</v>
      </c>
      <c r="CG14" s="218">
        <f ca="1">IF($BZ14=$BZ13,$BT14-$BU13,0)</f>
        <v>-3</v>
      </c>
      <c r="CH14" s="218"/>
      <c r="CI14" s="218">
        <f ca="1">IF($BZ14=$BZ15,$BV14-$BU15,0)</f>
        <v>0</v>
      </c>
      <c r="CJ14" s="218">
        <f ca="1">SUM(CF14:CI14)</f>
        <v>-3</v>
      </c>
      <c r="CK14" s="207"/>
      <c r="CL14" s="218">
        <f ca="1">IF($BZ14=$BZ12,$BS18-$BU16,0)</f>
        <v>0</v>
      </c>
      <c r="CM14" s="218">
        <f ca="1">IF($BZ14=$BZ13,$BT18-$BU17,0)</f>
        <v>-1</v>
      </c>
      <c r="CN14" s="218"/>
      <c r="CO14" s="218">
        <f ca="1">IF($BZ14=$BZ15,$BV18-$BU19,0)</f>
        <v>0</v>
      </c>
      <c r="CP14" s="218">
        <f ca="1">SUM(CL14:CO14)</f>
        <v>-1</v>
      </c>
      <c r="CQ14" s="218">
        <f ca="1">IF($BZ14=$BZ12,$BS18,0)</f>
        <v>0</v>
      </c>
      <c r="CR14" s="218">
        <f ca="1">IF($BZ14=$BZ13,$BT18,0)</f>
        <v>1</v>
      </c>
      <c r="CS14" s="218"/>
      <c r="CT14" s="218">
        <f ca="1">IF($BZ14=$BZ15,$BV18,0)</f>
        <v>0</v>
      </c>
      <c r="CU14" s="218">
        <f ca="1">SUM(CQ14:CT14)</f>
        <v>1</v>
      </c>
      <c r="CV14" s="207">
        <v>2</v>
      </c>
      <c r="CX14" s="17">
        <f ca="1">IF($CX$97="",IF(OR(Ergebnisse!BH14="",Ergebnisse!BJ14=""),0,IF(AND(BH14=Ergebnisse!BH14,BJ14=Ergebnisse!BJ14),7,MIN(7,(BH14-BJ14=Ergebnisse!BH14-Ergebnisse!BJ14)*4+(AND(BH14-BJ14&lt;&gt;Ergebnisse!BH14-Ergebnisse!BJ14,SIGN(BH14-BJ14)=SIGN(Ergebnisse!BH14-Ergebnisse!BJ14)))*2+(BH14=Ergebnisse!BH14)+(BJ14=Ergebnisse!BJ14)))),INT(RAND()*8))</f>
        <v>0</v>
      </c>
      <c r="CY14" s="17" t="str">
        <f ca="1">IF(Ergebnisse!BK14=Ergebnisse!$B$98,Ergebnisse!BK14,"")</f>
        <v>ok</v>
      </c>
      <c r="DA14" s="170" t="s">
        <v>454</v>
      </c>
      <c r="DB14" s="166">
        <f>DB17*(DB16+2*DB15)</f>
        <v>144</v>
      </c>
    </row>
    <row r="15" spans="1:106">
      <c r="A15" s="2">
        <v>27</v>
      </c>
      <c r="B15" s="6">
        <f>VLOOKUP(A15,Spiele!$A$1:$L$116,2,FALSE)</f>
        <v>46191.625</v>
      </c>
      <c r="C15" s="6" t="str">
        <f>VLOOKUP(A15,Spiele!$A$1:$L$116,9,FALSE)</f>
        <v>Vancouver</v>
      </c>
      <c r="D15" s="56" t="str">
        <f>Y12</f>
        <v>Kanada</v>
      </c>
      <c r="E15" s="40" t="s">
        <v>24</v>
      </c>
      <c r="F15" s="56" t="str">
        <f>Y14</f>
        <v>Katar</v>
      </c>
      <c r="G15" s="53"/>
      <c r="H15" s="107">
        <f t="shared" ca="1" si="4"/>
        <v>2</v>
      </c>
      <c r="I15" s="11" t="s">
        <v>25</v>
      </c>
      <c r="J15" s="107">
        <f t="shared" ca="1" si="5"/>
        <v>1</v>
      </c>
      <c r="K15" s="7" t="s">
        <v>26</v>
      </c>
      <c r="L15" s="1"/>
      <c r="M15" s="9" t="str">
        <f ca="1">VLOOKUP(4,$X$12:$AC$15,2,FALSE)</f>
        <v>Katar</v>
      </c>
      <c r="N15" s="2">
        <f ca="1">VLOOKUP(4,$X$12:$AC$15,3,FALSE)</f>
        <v>3</v>
      </c>
      <c r="O15" s="2">
        <f ca="1">VLOOKUP(4,$X$12:$AC$15,4,FALSE)</f>
        <v>4</v>
      </c>
      <c r="P15" s="2">
        <f ca="1">VLOOKUP(4,$X$12:$AC$15,5,FALSE)</f>
        <v>5</v>
      </c>
      <c r="Q15" s="2">
        <f ca="1">VLOOKUP(4,$X$12:$AC$15,6,FALSE)</f>
        <v>-1</v>
      </c>
      <c r="S15" s="61">
        <f ca="1">IF(H17="",0,IF(K18=$B$98,IF(H17&gt;J17,3,IF(H17=J17,1,0)),0))</f>
        <v>3</v>
      </c>
      <c r="T15" s="61">
        <f ca="1">IF(H16="",0,IF(K16=$B$98,IF(J16&lt;H16,3,IF(J16=H16,1,0)),0))</f>
        <v>3</v>
      </c>
      <c r="U15" s="61">
        <f ca="1">IF(J14="",0,IF(K14=$B$98,IF(H14&lt;J14,3,IF(H14=J14,1,0)),0))</f>
        <v>0</v>
      </c>
      <c r="V15" s="60"/>
      <c r="W15" s="62"/>
      <c r="X15" s="62">
        <f ca="1">RANK(AD15,$AD$12:$AD$15)</f>
        <v>1</v>
      </c>
      <c r="Y15" s="40" t="s">
        <v>68</v>
      </c>
      <c r="Z15" s="62">
        <f ca="1">SUM(S15:V15)</f>
        <v>6</v>
      </c>
      <c r="AA15" s="62">
        <f ca="1">SUM(S19:V19)</f>
        <v>5</v>
      </c>
      <c r="AB15" s="62">
        <f ca="1">SUM(V16:V19)</f>
        <v>4</v>
      </c>
      <c r="AC15" s="62">
        <f ca="1">AA15-AB15</f>
        <v>1</v>
      </c>
      <c r="AD15" s="24">
        <f ca="1">IF(P$18="",(((((((AE15*10+Z15)*100+AC15)*100+AA15)*10+AK15)*10+AJ15)*100+AP15)*100+AU15)*10+AV15,(((((((AE15*10+Z15)*10+AK15)*10+AJ15)*100+AP15)*100+AU15)*100+AC15)*100+AA15)*10+AV15)</f>
        <v>603010201051</v>
      </c>
      <c r="AE15" s="203"/>
      <c r="AF15" s="217">
        <f ca="1">IF($Z15=$Z12,$S15-$V12,0)</f>
        <v>3</v>
      </c>
      <c r="AG15" s="217">
        <f ca="1">IF($Z15=$Z13,$T15-$V13,0)</f>
        <v>0</v>
      </c>
      <c r="AH15" s="217">
        <f ca="1">IF($Z15=$Z14,$U15-$V14,0)</f>
        <v>0</v>
      </c>
      <c r="AI15" s="217"/>
      <c r="AJ15" s="217">
        <f ca="1">SUM(AF15:AI15)</f>
        <v>3</v>
      </c>
      <c r="AK15" s="203"/>
      <c r="AL15" s="217">
        <f ca="1">IF($Z15=$Z12,$S19-$V16,0)</f>
        <v>1</v>
      </c>
      <c r="AM15" s="217">
        <f ca="1">IF($Z15=$Z13,$T19-$V17,0)</f>
        <v>0</v>
      </c>
      <c r="AN15" s="217">
        <f ca="1">IF($Z15=$Z14,$U19-$V18,0)</f>
        <v>0</v>
      </c>
      <c r="AO15" s="217"/>
      <c r="AP15" s="217">
        <f ca="1">SUM(AL15:AO15)</f>
        <v>1</v>
      </c>
      <c r="AQ15" s="217">
        <f ca="1">IF($Z15=$Z12,$S19,0)</f>
        <v>2</v>
      </c>
      <c r="AR15" s="217">
        <f ca="1">IF($Z15=$Z13,$T19,0)</f>
        <v>0</v>
      </c>
      <c r="AS15" s="217">
        <f ca="1">IF($Z15=$Z14,$U19,0)</f>
        <v>0</v>
      </c>
      <c r="AT15" s="217"/>
      <c r="AU15" s="217">
        <f ca="1">SUM(AQ15:AT15)</f>
        <v>2</v>
      </c>
      <c r="AV15" s="203">
        <v>1</v>
      </c>
      <c r="AW15" s="2"/>
      <c r="AX15" s="17">
        <f ca="1">IF($CX$97="",IF(OR(Ergebnisse!H15="",Ergebnisse!J15=""),0,IF(AND(H15=Ergebnisse!H15,J15=Ergebnisse!J15),7,MIN(7,(H15-J15=Ergebnisse!H15-Ergebnisse!J15)*4+(AND(H15-J15&lt;&gt;Ergebnisse!H15-Ergebnisse!J15,SIGN(H15-J15)=SIGN(Ergebnisse!H15-Ergebnisse!J15)))*2+(H15=Ergebnisse!H15)+(J15=Ergebnisse!J15)))),INT(RAND()*8))</f>
        <v>2</v>
      </c>
      <c r="AY15" s="17" t="str">
        <f ca="1">IF(Ergebnisse!K15=Ergebnisse!$B$98,Ergebnisse!K15,"")</f>
        <v>ok</v>
      </c>
      <c r="AZ15" s="2"/>
      <c r="BA15" s="2">
        <v>33</v>
      </c>
      <c r="BB15" s="6">
        <f>VLOOKUP(BA15,Spiele!$A$1:$L$116,2,FALSE)</f>
        <v>46193.666666666664</v>
      </c>
      <c r="BC15" s="6" t="str">
        <f>VLOOKUP(BA15,Spiele!$A$1:$L$116,9,FALSE)</f>
        <v>Toronto</v>
      </c>
      <c r="BD15" s="56" t="str">
        <f>BY12</f>
        <v>Deutschland</v>
      </c>
      <c r="BE15" s="40" t="s">
        <v>24</v>
      </c>
      <c r="BF15" s="56" t="str">
        <f>BY14</f>
        <v>Elfenbeinküste</v>
      </c>
      <c r="BG15" s="53"/>
      <c r="BH15" s="107">
        <f t="shared" ca="1" si="6"/>
        <v>2</v>
      </c>
      <c r="BI15" s="11" t="s">
        <v>25</v>
      </c>
      <c r="BJ15" s="107">
        <f t="shared" ca="1" si="7"/>
        <v>1</v>
      </c>
      <c r="BK15" s="7" t="s">
        <v>26</v>
      </c>
      <c r="BL15" s="1"/>
      <c r="BM15" s="9" t="str">
        <f ca="1">VLOOKUP(4,$BX$12:CC$15,2,FALSE)</f>
        <v>Elfenbeinküste</v>
      </c>
      <c r="BN15" s="2">
        <f ca="1">VLOOKUP(4,$BX$12:$CC$15,3,FALSE)</f>
        <v>3</v>
      </c>
      <c r="BO15" s="2">
        <f ca="1">VLOOKUP(4,$BX$12:$CC$15,4,FALSE)</f>
        <v>4</v>
      </c>
      <c r="BP15" s="2">
        <f ca="1">VLOOKUP(4,$BX$12:$CC$15,5,FALSE)</f>
        <v>5</v>
      </c>
      <c r="BQ15" s="2">
        <f ca="1">VLOOKUP(4,$BX$12:$CC$15,6,FALSE)</f>
        <v>-1</v>
      </c>
      <c r="BS15" s="61">
        <f ca="1">IF(BH17="",0,IF(BK18=$B$98,IF(BH17&gt;BJ17,3,IF(BH17=BJ17,1,0)),0))</f>
        <v>3</v>
      </c>
      <c r="BT15" s="61">
        <f ca="1">IF(BH16="",0,IF(BK16=$B$98,IF(BJ16&lt;BH16,3,IF(BJ16=BH16,1,0)),0))</f>
        <v>3</v>
      </c>
      <c r="BU15" s="61">
        <f ca="1">IF(BJ14="",0,IF(BK14=$B$98,IF(BH14&lt;BJ14,3,IF(BH14=BJ14,1,0)),0))</f>
        <v>0</v>
      </c>
      <c r="BV15" s="60"/>
      <c r="BW15" s="1"/>
      <c r="BX15" s="1">
        <f ca="1">RANK(CD15,$CD$12:$CD$15)</f>
        <v>1</v>
      </c>
      <c r="BY15" s="40" t="s">
        <v>212</v>
      </c>
      <c r="BZ15" s="1">
        <f ca="1">SUM(BS15:BV15)</f>
        <v>6</v>
      </c>
      <c r="CA15" s="1">
        <f ca="1">SUM(BS19:BV19)</f>
        <v>5</v>
      </c>
      <c r="CB15" s="1">
        <f ca="1">SUM(BV16:BV19)</f>
        <v>4</v>
      </c>
      <c r="CC15" s="1">
        <f ca="1">CA15-CB15</f>
        <v>1</v>
      </c>
      <c r="CD15" s="24">
        <f ca="1">IF(BP$18="",(((((((CE15*10+BZ15)*100+CC15)*100+CA15)*10+CK15)*10+CJ15)*100+CP15)*100+CU15)*10+CV15,(((((((CE15*10+BZ15)*10+CK15)*10+CJ15)*100+CP15)*100+CU15)*100+CC15)*100+CA15)*10+CV15)</f>
        <v>603010201051</v>
      </c>
      <c r="CE15" s="207"/>
      <c r="CF15" s="218">
        <f ca="1">IF($BZ15=$BZ12,$BS15-$BV12,0)</f>
        <v>3</v>
      </c>
      <c r="CG15" s="218">
        <f ca="1">IF($BZ15=$BZ13,$BT15-$BV13,0)</f>
        <v>0</v>
      </c>
      <c r="CH15" s="218">
        <f ca="1">IF($BZ15=$BZ14,$BU15-$BV14,0)</f>
        <v>0</v>
      </c>
      <c r="CI15" s="218"/>
      <c r="CJ15" s="218">
        <f ca="1">SUM(CF15:CI15)</f>
        <v>3</v>
      </c>
      <c r="CK15" s="207"/>
      <c r="CL15" s="218">
        <f ca="1">IF($BZ15=$BZ12,$BS19-$BV16,0)</f>
        <v>1</v>
      </c>
      <c r="CM15" s="218">
        <f ca="1">IF($BZ15=$BZ13,$BT19-$BV17,0)</f>
        <v>0</v>
      </c>
      <c r="CN15" s="218">
        <f ca="1">IF($BZ15=$BZ14,$BU19-$BV18,0)</f>
        <v>0</v>
      </c>
      <c r="CO15" s="218"/>
      <c r="CP15" s="218">
        <f ca="1">SUM(CL15:CO15)</f>
        <v>1</v>
      </c>
      <c r="CQ15" s="218">
        <f ca="1">IF($BZ15=$BZ12,$BS19,0)</f>
        <v>2</v>
      </c>
      <c r="CR15" s="218">
        <f ca="1">IF($BZ15=$BZ13,$BT19,0)</f>
        <v>0</v>
      </c>
      <c r="CS15" s="218">
        <f ca="1">IF($BZ15=$BZ14,$BU19,0)</f>
        <v>0</v>
      </c>
      <c r="CT15" s="218"/>
      <c r="CU15" s="218">
        <f ca="1">SUM(CQ15:CT15)</f>
        <v>2</v>
      </c>
      <c r="CV15" s="207">
        <v>1</v>
      </c>
      <c r="CX15" s="17">
        <f ca="1">IF($CX$97="",IF(OR(Ergebnisse!BH15="",Ergebnisse!BJ15=""),0,IF(AND(BH15=Ergebnisse!BH15,BJ15=Ergebnisse!BJ15),7,MIN(7,(BH15-BJ15=Ergebnisse!BH15-Ergebnisse!BJ15)*4+(AND(BH15-BJ15&lt;&gt;Ergebnisse!BH15-Ergebnisse!BJ15,SIGN(BH15-BJ15)=SIGN(Ergebnisse!BH15-Ergebnisse!BJ15)))*2+(BH15=Ergebnisse!BH15)+(BJ15=Ergebnisse!BJ15)))),INT(RAND()*8))</f>
        <v>1</v>
      </c>
      <c r="CY15" s="17" t="str">
        <f ca="1">IF(Ergebnisse!BK15=Ergebnisse!$B$98,Ergebnisse!BK15,"")</f>
        <v>ok</v>
      </c>
      <c r="DA15" s="167" t="s">
        <v>455</v>
      </c>
      <c r="DB15" s="270">
        <v>1</v>
      </c>
    </row>
    <row r="16" spans="1:106">
      <c r="A16" s="2">
        <v>26</v>
      </c>
      <c r="B16" s="6">
        <f>VLOOKUP(A16,Spiele!$A$1:$L$116,2,FALSE)</f>
        <v>46191.5</v>
      </c>
      <c r="C16" s="6" t="str">
        <f>VLOOKUP(A16,Spiele!$A$1:$L$116,9,FALSE)</f>
        <v>Los Angeles</v>
      </c>
      <c r="D16" s="56" t="str">
        <f>Y15</f>
        <v>Schweiz</v>
      </c>
      <c r="E16" s="40" t="s">
        <v>24</v>
      </c>
      <c r="F16" s="56" t="str">
        <f>Y13</f>
        <v>Bosnien/Herzg.</v>
      </c>
      <c r="G16" s="53"/>
      <c r="H16" s="107">
        <f t="shared" ca="1" si="4"/>
        <v>2</v>
      </c>
      <c r="I16" s="11" t="s">
        <v>25</v>
      </c>
      <c r="J16" s="107">
        <f t="shared" ca="1" si="5"/>
        <v>1</v>
      </c>
      <c r="K16" s="7" t="s">
        <v>26</v>
      </c>
      <c r="L16" s="1"/>
      <c r="N16" s="1"/>
      <c r="O16" s="1"/>
      <c r="P16" s="1"/>
      <c r="S16" s="60"/>
      <c r="T16" s="61">
        <f ca="1">IF(K13=$B$98,H13,0)</f>
        <v>2</v>
      </c>
      <c r="U16" s="61">
        <f ca="1">IF(K15=$B$98,H15,0)</f>
        <v>2</v>
      </c>
      <c r="V16" s="61">
        <f ca="1">IF(K18=$B$98,J17,0)</f>
        <v>1</v>
      </c>
      <c r="W16" s="62"/>
      <c r="X16" s="62"/>
      <c r="Y16" s="62"/>
      <c r="Z16" s="62"/>
      <c r="AA16" s="62"/>
      <c r="AB16" s="62"/>
      <c r="AC16" s="62"/>
      <c r="AD16" s="66"/>
      <c r="AE16" s="204"/>
      <c r="AF16" s="217"/>
      <c r="AG16" s="217"/>
      <c r="AH16" s="217"/>
      <c r="AI16" s="217"/>
      <c r="AJ16" s="217"/>
      <c r="AK16" s="217"/>
      <c r="AL16" s="217"/>
      <c r="AM16" s="217"/>
      <c r="AN16" s="217"/>
      <c r="AO16" s="217"/>
      <c r="AP16" s="217"/>
      <c r="AQ16" s="217"/>
      <c r="AR16" s="217"/>
      <c r="AS16" s="217"/>
      <c r="AT16" s="217"/>
      <c r="AV16" s="217"/>
      <c r="AW16" s="2"/>
      <c r="AX16" s="17">
        <f ca="1">IF($CX$97="",IF(OR(Ergebnisse!H16="",Ergebnisse!J16=""),0,IF(AND(H16=Ergebnisse!H16,J16=Ergebnisse!J16),7,MIN(7,(H16-J16=Ergebnisse!H16-Ergebnisse!J16)*4+(AND(H16-J16&lt;&gt;Ergebnisse!H16-Ergebnisse!J16,SIGN(H16-J16)=SIGN(Ergebnisse!H16-Ergebnisse!J16)))*2+(H16=Ergebnisse!H16)+(J16=Ergebnisse!J16)))),INT(RAND()*8))</f>
        <v>1</v>
      </c>
      <c r="AY16" s="17" t="str">
        <f ca="1">IF(Ergebnisse!K16=Ergebnisse!$B$98,Ergebnisse!K16,"")</f>
        <v>ok</v>
      </c>
      <c r="AZ16" s="2"/>
      <c r="BA16" s="2">
        <v>34</v>
      </c>
      <c r="BB16" s="6">
        <f>VLOOKUP(BA16,Spiele!$A$1:$L$116,2,FALSE)</f>
        <v>46193.791666666672</v>
      </c>
      <c r="BC16" s="6" t="str">
        <f>VLOOKUP(BA16,Spiele!$A$1:$L$116,9,FALSE)</f>
        <v>Kansas City</v>
      </c>
      <c r="BD16" s="56" t="str">
        <f>BY15</f>
        <v>Ecuador</v>
      </c>
      <c r="BE16" s="40" t="s">
        <v>24</v>
      </c>
      <c r="BF16" s="56" t="str">
        <f>BY13</f>
        <v>Curaçao</v>
      </c>
      <c r="BG16" s="53"/>
      <c r="BH16" s="107">
        <f t="shared" ca="1" si="6"/>
        <v>2</v>
      </c>
      <c r="BI16" s="11" t="s">
        <v>25</v>
      </c>
      <c r="BJ16" s="107">
        <f t="shared" ca="1" si="7"/>
        <v>1</v>
      </c>
      <c r="BK16" s="7" t="s">
        <v>26</v>
      </c>
      <c r="BL16" s="1"/>
      <c r="BN16" s="1"/>
      <c r="BO16" s="1"/>
      <c r="BP16" s="1"/>
      <c r="BS16" s="60"/>
      <c r="BT16" s="61">
        <f ca="1">IF(BK13=$B$98,BH13,0)</f>
        <v>2</v>
      </c>
      <c r="BU16" s="61">
        <f ca="1">IF(BK15=$B$98,BH15,0)</f>
        <v>2</v>
      </c>
      <c r="BV16" s="61">
        <f ca="1">IF(BK18=$B$98,BJ17,0)</f>
        <v>1</v>
      </c>
      <c r="BW16" s="1"/>
      <c r="BX16" s="1"/>
      <c r="BY16" s="62"/>
      <c r="BZ16" s="1"/>
      <c r="CA16" s="1"/>
      <c r="CB16" s="1"/>
      <c r="CC16" s="1"/>
      <c r="CD16" s="5"/>
      <c r="CE16" s="7"/>
      <c r="CF16" s="218"/>
      <c r="CG16" s="218"/>
      <c r="CH16" s="218"/>
      <c r="CI16" s="218"/>
      <c r="CJ16" s="218"/>
      <c r="CK16" s="218"/>
      <c r="CL16" s="218"/>
      <c r="CM16" s="218"/>
      <c r="CN16" s="218"/>
      <c r="CO16" s="218"/>
      <c r="CP16" s="218"/>
      <c r="CQ16" s="218"/>
      <c r="CR16" s="218"/>
      <c r="CS16" s="218"/>
      <c r="CT16" s="218"/>
      <c r="CV16" s="218"/>
      <c r="CX16" s="17">
        <f ca="1">IF($CX$97="",IF(OR(Ergebnisse!BH16="",Ergebnisse!BJ16=""),0,IF(AND(BH16=Ergebnisse!BH16,BJ16=Ergebnisse!BJ16),7,MIN(7,(BH16-BJ16=Ergebnisse!BH16-Ergebnisse!BJ16)*4+(AND(BH16-BJ16&lt;&gt;Ergebnisse!BH16-Ergebnisse!BJ16,SIGN(BH16-BJ16)=SIGN(Ergebnisse!BH16-Ergebnisse!BJ16)))*2+(BH16=Ergebnisse!BH16)+(BJ16=Ergebnisse!BJ16)))),INT(RAND()*8))</f>
        <v>2</v>
      </c>
      <c r="CY16" s="17" t="str">
        <f ca="1">IF(Ergebnisse!BK16=Ergebnisse!$B$98,Ergebnisse!BK16,"")</f>
        <v>ok</v>
      </c>
      <c r="DA16" s="171" t="s">
        <v>83</v>
      </c>
      <c r="DB16" s="270">
        <v>7</v>
      </c>
    </row>
    <row r="17" spans="1:106">
      <c r="A17" s="2">
        <v>51</v>
      </c>
      <c r="B17" s="6">
        <f>VLOOKUP(A17,Spiele!$A$1:$L$116,2,FALSE)</f>
        <v>46197.5</v>
      </c>
      <c r="C17" s="6" t="str">
        <f>VLOOKUP(A17,Spiele!$A$1:$L$116,9,FALSE)</f>
        <v>Vancouver</v>
      </c>
      <c r="D17" s="56" t="str">
        <f>Y15</f>
        <v>Schweiz</v>
      </c>
      <c r="E17" s="40" t="s">
        <v>24</v>
      </c>
      <c r="F17" s="56" t="str">
        <f>Y12</f>
        <v>Kanada</v>
      </c>
      <c r="G17" s="55"/>
      <c r="H17" s="107">
        <f t="shared" ca="1" si="4"/>
        <v>2</v>
      </c>
      <c r="I17" s="11" t="s">
        <v>25</v>
      </c>
      <c r="J17" s="107">
        <f t="shared" ca="1" si="5"/>
        <v>1</v>
      </c>
      <c r="K17" s="7" t="s">
        <v>26</v>
      </c>
      <c r="M17" s="37" t="str">
        <f ca="1">IF(N12&gt;0,M12,"")</f>
        <v>Schweiz</v>
      </c>
      <c r="N17" s="2" t="s">
        <v>33</v>
      </c>
      <c r="P17" s="29"/>
      <c r="S17" s="61">
        <f ca="1">IF(K13=$B$98,J13,0)</f>
        <v>1</v>
      </c>
      <c r="T17" s="60"/>
      <c r="U17" s="61">
        <f ca="1">IF(K17=$B$98,H18,0)</f>
        <v>2</v>
      </c>
      <c r="V17" s="61">
        <f ca="1">IF(K16=$B$98,J16,0)</f>
        <v>1</v>
      </c>
      <c r="AD17" s="55" t="s">
        <v>140</v>
      </c>
      <c r="AE17" s="108"/>
      <c r="AF17" s="219"/>
      <c r="AG17" s="219"/>
      <c r="AH17" s="219"/>
      <c r="AI17" s="219"/>
      <c r="AJ17" s="219"/>
      <c r="AK17" s="219"/>
      <c r="AL17" s="219"/>
      <c r="AM17" s="219"/>
      <c r="AN17" s="219"/>
      <c r="AO17" s="219"/>
      <c r="AP17" s="219"/>
      <c r="AQ17" s="219"/>
      <c r="AR17" s="219"/>
      <c r="AS17" s="219"/>
      <c r="AT17" s="219"/>
      <c r="AV17" s="219"/>
      <c r="AW17" s="2"/>
      <c r="AX17" s="17">
        <f ca="1">IF($CX$97="",IF(OR(Ergebnisse!H17="",Ergebnisse!J17=""),0,IF(AND(H17=Ergebnisse!H17,J17=Ergebnisse!J17),7,MIN(7,(H17-J17=Ergebnisse!H17-Ergebnisse!J17)*4+(AND(H17-J17&lt;&gt;Ergebnisse!H17-Ergebnisse!J17,SIGN(H17-J17)=SIGN(Ergebnisse!H17-Ergebnisse!J17)))*2+(H17=Ergebnisse!H17)+(J17=Ergebnisse!J17)))),INT(RAND()*8))</f>
        <v>0</v>
      </c>
      <c r="AY17" s="17" t="str">
        <f ca="1">IF(Ergebnisse!K17=Ergebnisse!$B$98,Ergebnisse!K17,"")</f>
        <v>ok</v>
      </c>
      <c r="AZ17" s="2"/>
      <c r="BA17" s="2">
        <v>57</v>
      </c>
      <c r="BB17" s="6">
        <f>VLOOKUP(BA17,Spiele!$A$1:$L$116,2,FALSE)</f>
        <v>46198.75</v>
      </c>
      <c r="BC17" s="6" t="str">
        <f>VLOOKUP(BA17,Spiele!$A$1:$L$116,9,FALSE)</f>
        <v>Dallas</v>
      </c>
      <c r="BD17" s="56" t="str">
        <f>BY15</f>
        <v>Ecuador</v>
      </c>
      <c r="BE17" s="40" t="s">
        <v>24</v>
      </c>
      <c r="BF17" s="56" t="str">
        <f>BY12</f>
        <v>Deutschland</v>
      </c>
      <c r="BG17" s="55"/>
      <c r="BH17" s="107">
        <f t="shared" ca="1" si="6"/>
        <v>2</v>
      </c>
      <c r="BI17" s="11" t="s">
        <v>25</v>
      </c>
      <c r="BJ17" s="107">
        <f t="shared" ca="1" si="7"/>
        <v>1</v>
      </c>
      <c r="BK17" s="7" t="s">
        <v>26</v>
      </c>
      <c r="BM17" s="73" t="str">
        <f ca="1">IF(BN12&gt;0,BM12,"")</f>
        <v>Ecuador</v>
      </c>
      <c r="BN17" s="2" t="s">
        <v>28</v>
      </c>
      <c r="BP17" s="29"/>
      <c r="BS17" s="61">
        <f ca="1">IF(BK13=$B$98,BJ13,0)</f>
        <v>1</v>
      </c>
      <c r="BT17" s="60"/>
      <c r="BU17" s="61">
        <f ca="1">IF(BK17=$B$98,BH18,0)</f>
        <v>2</v>
      </c>
      <c r="BV17" s="61">
        <f ca="1">IF(BK16=$B$98,BJ16,0)</f>
        <v>1</v>
      </c>
      <c r="CD17" s="2" t="s">
        <v>140</v>
      </c>
      <c r="CE17" s="8"/>
      <c r="CF17" s="220"/>
      <c r="CG17" s="220"/>
      <c r="CH17" s="220"/>
      <c r="CI17" s="220"/>
      <c r="CJ17" s="220"/>
      <c r="CK17" s="220"/>
      <c r="CL17" s="220"/>
      <c r="CM17" s="220"/>
      <c r="CN17" s="220"/>
      <c r="CO17" s="220"/>
      <c r="CP17" s="220"/>
      <c r="CQ17" s="220"/>
      <c r="CR17" s="220"/>
      <c r="CS17" s="220"/>
      <c r="CT17" s="220"/>
      <c r="CV17" s="220"/>
      <c r="CX17" s="17">
        <f ca="1">IF($CX$97="",IF(OR(Ergebnisse!BH17="",Ergebnisse!BJ17=""),0,IF(AND(BH17=Ergebnisse!BH17,BJ17=Ergebnisse!BJ17),7,MIN(7,(BH17-BJ17=Ergebnisse!BH17-Ergebnisse!BJ17)*4+(AND(BH17-BJ17&lt;&gt;Ergebnisse!BH17-Ergebnisse!BJ17,SIGN(BH17-BJ17)=SIGN(Ergebnisse!BH17-Ergebnisse!BJ17)))*2+(BH17=Ergebnisse!BH17)+(BJ17=Ergebnisse!BJ17)))),INT(RAND()*8))</f>
        <v>4</v>
      </c>
      <c r="CY17" s="17" t="str">
        <f ca="1">IF(Ergebnisse!BK17=Ergebnisse!$B$98,Ergebnisse!BK17,"")</f>
        <v>ok</v>
      </c>
      <c r="DA17" s="168" t="s">
        <v>76</v>
      </c>
      <c r="DB17" s="169">
        <v>16</v>
      </c>
    </row>
    <row r="18" spans="1:106">
      <c r="A18" s="2">
        <v>52</v>
      </c>
      <c r="B18" s="6">
        <f>VLOOKUP(A18,Spiele!$A$1:$L$116,2,FALSE)</f>
        <v>46197.5</v>
      </c>
      <c r="C18" s="6" t="str">
        <f>VLOOKUP(A18,Spiele!$A$1:$L$116,9,FALSE)</f>
        <v>Seattle</v>
      </c>
      <c r="D18" s="56" t="str">
        <f>Y13</f>
        <v>Bosnien/Herzg.</v>
      </c>
      <c r="E18" s="40" t="s">
        <v>24</v>
      </c>
      <c r="F18" s="56" t="str">
        <f>Y14</f>
        <v>Katar</v>
      </c>
      <c r="G18" s="55"/>
      <c r="H18" s="107">
        <f t="shared" ca="1" si="4"/>
        <v>2</v>
      </c>
      <c r="I18" s="11" t="s">
        <v>25</v>
      </c>
      <c r="J18" s="107">
        <f t="shared" ca="1" si="5"/>
        <v>1</v>
      </c>
      <c r="K18" s="7" t="s">
        <v>26</v>
      </c>
      <c r="M18" s="37" t="str">
        <f ca="1">IF(N13&gt;0,M13,"")</f>
        <v>Kanada</v>
      </c>
      <c r="N18" s="2" t="s">
        <v>35</v>
      </c>
      <c r="O18" s="30"/>
      <c r="P18" s="205" t="s">
        <v>11</v>
      </c>
      <c r="S18" s="61">
        <f ca="1">IF(K15=$B$98,J15,0)</f>
        <v>1</v>
      </c>
      <c r="T18" s="61">
        <f ca="1">IF(K17=$B$98,J18,0)</f>
        <v>1</v>
      </c>
      <c r="U18" s="60"/>
      <c r="V18" s="61">
        <f ca="1">IF(K14=$B$98,H14,0)</f>
        <v>2</v>
      </c>
      <c r="AD18" s="55" t="s">
        <v>141</v>
      </c>
      <c r="AE18" s="108"/>
      <c r="AF18" s="219"/>
      <c r="AG18" s="219"/>
      <c r="AH18" s="219"/>
      <c r="AI18" s="219"/>
      <c r="AJ18" s="219"/>
      <c r="AK18" s="219"/>
      <c r="AL18" s="219"/>
      <c r="AM18" s="219"/>
      <c r="AN18" s="219"/>
      <c r="AO18" s="219"/>
      <c r="AP18" s="219"/>
      <c r="AQ18" s="219"/>
      <c r="AR18" s="219"/>
      <c r="AS18" s="219"/>
      <c r="AT18" s="219"/>
      <c r="AV18" s="219"/>
      <c r="AW18" s="2"/>
      <c r="AX18" s="17">
        <f ca="1">IF($CX$97="",IF(OR(Ergebnisse!H18="",Ergebnisse!J18=""),0,IF(AND(H18=Ergebnisse!H18,J18=Ergebnisse!J18),7,MIN(7,(H18-J18=Ergebnisse!H18-Ergebnisse!J18)*4+(AND(H18-J18&lt;&gt;Ergebnisse!H18-Ergebnisse!J18,SIGN(H18-J18)=SIGN(Ergebnisse!H18-Ergebnisse!J18)))*2+(H18=Ergebnisse!H18)+(J18=Ergebnisse!J18)))),INT(RAND()*8))</f>
        <v>1</v>
      </c>
      <c r="AY18" s="17" t="str">
        <f ca="1">IF(Ergebnisse!K18=Ergebnisse!$B$98,Ergebnisse!K18,"")</f>
        <v>ok</v>
      </c>
      <c r="AZ18" s="2"/>
      <c r="BA18" s="2">
        <v>58</v>
      </c>
      <c r="BB18" s="6">
        <f>VLOOKUP(BA18,Spiele!$A$1:$L$116,2,FALSE)</f>
        <v>46198.75</v>
      </c>
      <c r="BC18" s="6" t="str">
        <f>VLOOKUP(BA18,Spiele!$A$1:$L$116,9,FALSE)</f>
        <v>Kansas City</v>
      </c>
      <c r="BD18" s="56" t="str">
        <f>BY13</f>
        <v>Curaçao</v>
      </c>
      <c r="BE18" s="40" t="s">
        <v>24</v>
      </c>
      <c r="BF18" s="56" t="str">
        <f>BY14</f>
        <v>Elfenbeinküste</v>
      </c>
      <c r="BG18" s="55"/>
      <c r="BH18" s="107">
        <f t="shared" ca="1" si="6"/>
        <v>2</v>
      </c>
      <c r="BI18" s="11" t="s">
        <v>25</v>
      </c>
      <c r="BJ18" s="107">
        <f t="shared" ca="1" si="7"/>
        <v>1</v>
      </c>
      <c r="BK18" s="7" t="s">
        <v>26</v>
      </c>
      <c r="BM18" s="73" t="str">
        <f ca="1">IF(BN13&gt;0,BM13,"")</f>
        <v>Deutschland</v>
      </c>
      <c r="BN18" s="2" t="s">
        <v>30</v>
      </c>
      <c r="BO18" s="30"/>
      <c r="BP18" s="205" t="s">
        <v>11</v>
      </c>
      <c r="BS18" s="61">
        <f ca="1">IF(BK15=$B$98,BJ15,0)</f>
        <v>1</v>
      </c>
      <c r="BT18" s="61">
        <f ca="1">IF(BK17=$B$98,BJ18,0)</f>
        <v>1</v>
      </c>
      <c r="BU18" s="60"/>
      <c r="BV18" s="61">
        <f ca="1">IF(BK14=$B$98,BH14,0)</f>
        <v>2</v>
      </c>
      <c r="CD18" s="2" t="s">
        <v>141</v>
      </c>
      <c r="CE18" s="8"/>
      <c r="CF18" s="220"/>
      <c r="CG18" s="220"/>
      <c r="CH18" s="220"/>
      <c r="CI18" s="220"/>
      <c r="CJ18" s="220"/>
      <c r="CK18" s="220"/>
      <c r="CL18" s="220"/>
      <c r="CM18" s="220"/>
      <c r="CN18" s="220"/>
      <c r="CO18" s="220"/>
      <c r="CP18" s="220"/>
      <c r="CQ18" s="220"/>
      <c r="CR18" s="220"/>
      <c r="CS18" s="220"/>
      <c r="CT18" s="220"/>
      <c r="CV18" s="220"/>
      <c r="CX18" s="17">
        <f ca="1">IF($CX$97="",IF(OR(Ergebnisse!BH18="",Ergebnisse!BJ18=""),0,IF(AND(BH18=Ergebnisse!BH18,BJ18=Ergebnisse!BJ18),7,MIN(7,(BH18-BJ18=Ergebnisse!BH18-Ergebnisse!BJ18)*4+(AND(BH18-BJ18&lt;&gt;Ergebnisse!BH18-Ergebnisse!BJ18,SIGN(BH18-BJ18)=SIGN(Ergebnisse!BH18-Ergebnisse!BJ18)))*2+(BH18=Ergebnisse!BH18)+(BJ18=Ergebnisse!BJ18)))),INT(RAND()*8))</f>
        <v>1</v>
      </c>
      <c r="CY18" s="17" t="str">
        <f ca="1">IF(Ergebnisse!BK18=Ergebnisse!$B$98,Ergebnisse!BK18,"")</f>
        <v>ok</v>
      </c>
      <c r="DA18" s="163"/>
      <c r="DB18" s="164"/>
    </row>
    <row r="19" spans="1:106">
      <c r="D19" s="55"/>
      <c r="E19" s="55"/>
      <c r="G19" s="55"/>
      <c r="M19" s="37" t="str">
        <f ca="1">IF(N14&gt;0,M14,"")</f>
        <v>Bosnien/Herzg.</v>
      </c>
      <c r="N19" s="2" t="s">
        <v>144</v>
      </c>
      <c r="S19" s="61">
        <f ca="1">IF(K18=$B$98,H17,0)</f>
        <v>2</v>
      </c>
      <c r="T19" s="61">
        <f ca="1">IF(K16=$B$98,H16,0)</f>
        <v>2</v>
      </c>
      <c r="U19" s="61">
        <f ca="1">IF(K14=$B$98,J14,0)</f>
        <v>1</v>
      </c>
      <c r="V19" s="60"/>
      <c r="AD19" s="55" t="s">
        <v>143</v>
      </c>
      <c r="AE19" s="108"/>
      <c r="AF19" s="219"/>
      <c r="AG19" s="219"/>
      <c r="AH19" s="219"/>
      <c r="AI19" s="219"/>
      <c r="AJ19" s="219"/>
      <c r="AK19" s="219"/>
      <c r="AL19" s="219"/>
      <c r="AM19" s="219"/>
      <c r="AN19" s="219"/>
      <c r="AO19" s="219"/>
      <c r="AP19" s="219"/>
      <c r="AQ19" s="219"/>
      <c r="AR19" s="219"/>
      <c r="AS19" s="219"/>
      <c r="AT19" s="219"/>
      <c r="AV19" s="219"/>
      <c r="AW19" s="2"/>
      <c r="AX19" s="31">
        <f ca="1">IF($CX$97="",2*COUNTIF(Ergebnisse!$D$63:'Ergebnisse'!$F$78,M19),2*INT(RAND()*2))</f>
        <v>0</v>
      </c>
      <c r="AY19" s="17" t="str">
        <f ca="1">IF(COUNTIF(Ergebnisse!K13:'Ergebnisse'!K18,Ergebnisse!$B$98)=6,"ok","")</f>
        <v>ok</v>
      </c>
      <c r="AZ19" s="2"/>
      <c r="BB19" s="2" t="s">
        <v>2</v>
      </c>
      <c r="BE19" s="55"/>
      <c r="BF19" s="55"/>
      <c r="BG19" s="55"/>
      <c r="BM19" s="73" t="str">
        <f ca="1">IF(BN14&gt;0,BM14,"")</f>
        <v>Curaçao</v>
      </c>
      <c r="BN19" s="2" t="s">
        <v>151</v>
      </c>
      <c r="BS19" s="61">
        <f ca="1">IF(BK18=$B$98,BH17,0)</f>
        <v>2</v>
      </c>
      <c r="BT19" s="61">
        <f ca="1">IF(BK16=$B$98,BH16,0)</f>
        <v>2</v>
      </c>
      <c r="BU19" s="61">
        <f ca="1">IF(BK14=$B$98,BJ14,0)</f>
        <v>1</v>
      </c>
      <c r="BV19" s="60"/>
      <c r="CD19" s="2" t="s">
        <v>143</v>
      </c>
      <c r="CE19" s="8"/>
      <c r="CF19" s="220"/>
      <c r="CG19" s="220"/>
      <c r="CH19" s="220"/>
      <c r="CI19" s="220"/>
      <c r="CJ19" s="220"/>
      <c r="CK19" s="220"/>
      <c r="CL19" s="220"/>
      <c r="CM19" s="220"/>
      <c r="CN19" s="220"/>
      <c r="CO19" s="220"/>
      <c r="CP19" s="220"/>
      <c r="CQ19" s="220"/>
      <c r="CR19" s="220"/>
      <c r="CS19" s="220"/>
      <c r="CT19" s="220"/>
      <c r="CV19" s="220"/>
      <c r="CX19" s="72">
        <f ca="1">IF($CX$97="",2*COUNTIF(Ergebnisse!$D$63:'Ergebnisse'!$F$78,BM19),2*INT(RAND()*2))</f>
        <v>2</v>
      </c>
      <c r="CY19" s="17" t="str">
        <f ca="1">IF(COUNTIF(Ergebnisse!BK13:'Ergebnisse'!BK18,Ergebnisse!$B$98)=6,"ok","")</f>
        <v>ok</v>
      </c>
      <c r="DA19" s="170" t="s">
        <v>82</v>
      </c>
      <c r="DB19" s="166">
        <f>DB23*(DB22+2*DB21)</f>
        <v>88</v>
      </c>
    </row>
    <row r="20" spans="1:106" ht="6" customHeight="1">
      <c r="D20" s="55"/>
      <c r="E20" s="58"/>
      <c r="F20" s="59"/>
      <c r="G20" s="59"/>
      <c r="H20" s="55"/>
      <c r="I20" s="55"/>
      <c r="J20" s="55"/>
      <c r="AE20" s="108"/>
      <c r="AF20" s="219"/>
      <c r="AG20" s="219"/>
      <c r="AH20" s="219"/>
      <c r="AI20" s="219"/>
      <c r="AJ20" s="219"/>
      <c r="AK20" s="219"/>
      <c r="AL20" s="219"/>
      <c r="AM20" s="219"/>
      <c r="AN20" s="219"/>
      <c r="AO20" s="219"/>
      <c r="AP20" s="219"/>
      <c r="AQ20" s="219"/>
      <c r="AR20" s="219"/>
      <c r="AS20" s="219"/>
      <c r="AT20" s="219"/>
      <c r="AV20" s="219"/>
      <c r="AW20" s="2"/>
      <c r="AX20" s="17"/>
      <c r="AZ20" s="2"/>
      <c r="BD20" s="55"/>
      <c r="BE20" s="58"/>
      <c r="BF20" s="59"/>
      <c r="BG20" s="59"/>
      <c r="BH20" s="55"/>
      <c r="BI20" s="55"/>
      <c r="BJ20" s="55"/>
      <c r="BS20" s="55"/>
      <c r="BT20" s="55"/>
      <c r="BU20" s="55"/>
      <c r="BV20" s="55"/>
      <c r="CE20" s="8"/>
      <c r="CF20" s="220"/>
      <c r="CG20" s="220"/>
      <c r="CH20" s="220"/>
      <c r="CI20" s="220"/>
      <c r="CJ20" s="220"/>
      <c r="CK20" s="220"/>
      <c r="CL20" s="220"/>
      <c r="CM20" s="220"/>
      <c r="CN20" s="220"/>
      <c r="CO20" s="220"/>
      <c r="CP20" s="220"/>
      <c r="CQ20" s="220"/>
      <c r="CR20" s="220"/>
      <c r="CS20" s="220"/>
      <c r="CT20" s="220"/>
      <c r="CV20" s="220"/>
    </row>
    <row r="21" spans="1:106" s="10" customFormat="1">
      <c r="B21" s="27" t="s">
        <v>0</v>
      </c>
      <c r="C21" s="25" t="s">
        <v>37</v>
      </c>
      <c r="D21" s="53" t="s">
        <v>2</v>
      </c>
      <c r="E21" s="54"/>
      <c r="F21" s="53"/>
      <c r="G21" s="53"/>
      <c r="H21" s="20"/>
      <c r="I21" s="19"/>
      <c r="J21" s="20"/>
      <c r="K21" s="180"/>
      <c r="L21" s="17"/>
      <c r="M21" s="35" t="s">
        <v>3</v>
      </c>
      <c r="N21" s="17" t="s">
        <v>4</v>
      </c>
      <c r="O21" s="17" t="s">
        <v>5</v>
      </c>
      <c r="P21" s="17" t="s">
        <v>6</v>
      </c>
      <c r="Q21" s="17" t="s">
        <v>7</v>
      </c>
      <c r="R21" s="17"/>
      <c r="S21" s="55"/>
      <c r="T21" s="55"/>
      <c r="U21" s="55"/>
      <c r="V21" s="55"/>
      <c r="W21" s="53"/>
      <c r="X21" s="53" t="s">
        <v>8</v>
      </c>
      <c r="Y21" s="56" t="s">
        <v>9</v>
      </c>
      <c r="Z21" s="53" t="s">
        <v>4</v>
      </c>
      <c r="AA21" s="53" t="s">
        <v>5</v>
      </c>
      <c r="AB21" s="53" t="s">
        <v>6</v>
      </c>
      <c r="AC21" s="53" t="s">
        <v>7</v>
      </c>
      <c r="AD21" s="53"/>
      <c r="AE21" s="19" t="s">
        <v>10</v>
      </c>
      <c r="AF21" s="40" t="s">
        <v>11</v>
      </c>
      <c r="AG21" s="40"/>
      <c r="AH21" s="40"/>
      <c r="AI21" s="40"/>
      <c r="AJ21" s="40" t="s">
        <v>12</v>
      </c>
      <c r="AK21" s="56" t="s">
        <v>13</v>
      </c>
      <c r="AL21" s="40" t="s">
        <v>14</v>
      </c>
      <c r="AM21" s="40"/>
      <c r="AN21" s="40"/>
      <c r="AO21" s="40"/>
      <c r="AP21" s="40" t="s">
        <v>15</v>
      </c>
      <c r="AQ21" s="40" t="s">
        <v>16</v>
      </c>
      <c r="AR21" s="40"/>
      <c r="AS21" s="40"/>
      <c r="AT21" s="40"/>
      <c r="AU21" s="58" t="s">
        <v>17</v>
      </c>
      <c r="AV21" s="56" t="s">
        <v>18</v>
      </c>
      <c r="AX21" s="27">
        <f ca="1">IF($CX$97="",2*COUNTIF(Ergebnisse!$D$63:'Ergebnisse'!$F$78,M27),2*INT(RAND()*2))</f>
        <v>2</v>
      </c>
      <c r="AY21" s="17" t="str">
        <f ca="1">IF(COUNTIF(Ergebnisse!K23:'Ergebnisse'!K28,Ergebnisse!$B$98)=6,"ok","")</f>
        <v>ok</v>
      </c>
      <c r="BB21" s="221" t="s">
        <v>0</v>
      </c>
      <c r="BC21" s="222" t="s">
        <v>32</v>
      </c>
      <c r="BD21" s="53" t="s">
        <v>2</v>
      </c>
      <c r="BE21" s="54"/>
      <c r="BF21" s="53"/>
      <c r="BG21" s="53"/>
      <c r="BH21" s="20"/>
      <c r="BI21" s="19"/>
      <c r="BJ21" s="20"/>
      <c r="BK21" s="180"/>
      <c r="BL21" s="17"/>
      <c r="BM21" s="35" t="s">
        <v>3</v>
      </c>
      <c r="BN21" s="17" t="s">
        <v>4</v>
      </c>
      <c r="BO21" s="17" t="s">
        <v>5</v>
      </c>
      <c r="BP21" s="17" t="s">
        <v>6</v>
      </c>
      <c r="BQ21" s="17" t="s">
        <v>7</v>
      </c>
      <c r="BR21" s="17"/>
      <c r="BS21" s="55"/>
      <c r="BT21" s="55"/>
      <c r="BU21" s="55"/>
      <c r="BV21" s="55"/>
      <c r="BW21" s="17"/>
      <c r="BX21" s="17" t="s">
        <v>8</v>
      </c>
      <c r="BY21" s="56" t="s">
        <v>9</v>
      </c>
      <c r="BZ21" s="17" t="s">
        <v>4</v>
      </c>
      <c r="CA21" s="17" t="s">
        <v>5</v>
      </c>
      <c r="CB21" s="17" t="s">
        <v>6</v>
      </c>
      <c r="CC21" s="17" t="s">
        <v>7</v>
      </c>
      <c r="CD21" s="17"/>
      <c r="CE21" s="180" t="s">
        <v>10</v>
      </c>
      <c r="CF21" s="15" t="s">
        <v>11</v>
      </c>
      <c r="CG21" s="15"/>
      <c r="CH21" s="15"/>
      <c r="CI21" s="15"/>
      <c r="CJ21" s="15" t="s">
        <v>12</v>
      </c>
      <c r="CK21" s="21" t="s">
        <v>13</v>
      </c>
      <c r="CL21" s="15" t="s">
        <v>14</v>
      </c>
      <c r="CM21" s="15"/>
      <c r="CN21" s="15"/>
      <c r="CO21" s="15"/>
      <c r="CP21" s="15" t="s">
        <v>15</v>
      </c>
      <c r="CQ21" s="15" t="s">
        <v>16</v>
      </c>
      <c r="CR21" s="15"/>
      <c r="CS21" s="15"/>
      <c r="CT21" s="15"/>
      <c r="CU21" s="16" t="s">
        <v>17</v>
      </c>
      <c r="CV21" s="21" t="s">
        <v>18</v>
      </c>
      <c r="CX21" s="221">
        <f ca="1">IF($CX$97="",2*COUNTIF(Ergebnisse!$D$63:'Ergebnisse'!$F$78,BM27),2*INT(RAND()*2))</f>
        <v>2</v>
      </c>
      <c r="CY21" s="17" t="str">
        <f ca="1">IF(COUNTIF(Ergebnisse!BK23:'Ergebnisse'!BK28,Ergebnisse!$B$98)=6,"ok","")</f>
        <v>ok</v>
      </c>
      <c r="DA21" s="167" t="s">
        <v>125</v>
      </c>
      <c r="DB21" s="164">
        <v>2</v>
      </c>
    </row>
    <row r="22" spans="1:106">
      <c r="B22" s="3" t="s">
        <v>22</v>
      </c>
      <c r="C22" s="3" t="s">
        <v>23</v>
      </c>
      <c r="D22" s="55"/>
      <c r="E22" s="55"/>
      <c r="F22" s="55"/>
      <c r="G22" s="55"/>
      <c r="L22" s="1"/>
      <c r="M22" s="9" t="str">
        <f ca="1">VLOOKUP(1,$X$22:$AC$25,2,FALSE)</f>
        <v>Schottland</v>
      </c>
      <c r="N22" s="2">
        <f ca="1">VLOOKUP(1,$X$22:$AC$25,3,FALSE)</f>
        <v>6</v>
      </c>
      <c r="O22" s="2">
        <f ca="1">VLOOKUP(1,$X$22:$AC$25,4,FALSE)</f>
        <v>5</v>
      </c>
      <c r="P22" s="2">
        <f ca="1">VLOOKUP(1,$X$22:$AC$25,5,FALSE)</f>
        <v>4</v>
      </c>
      <c r="Q22" s="2">
        <f ca="1">VLOOKUP(1,$X$22:$AC$25,6,FALSE)</f>
        <v>1</v>
      </c>
      <c r="S22" s="60"/>
      <c r="T22" s="61">
        <f ca="1">IF(H23="",0,IF(K23=$B$98,IF(H23&gt;J23,3,IF(H23=J23,1,0)),0))</f>
        <v>3</v>
      </c>
      <c r="U22" s="61">
        <f ca="1">IF(H25="",0,IF(K25=$B$98,IF(H25&gt;J25,3,IF(H25=J25,1,0)),0))</f>
        <v>3</v>
      </c>
      <c r="V22" s="61">
        <f ca="1">IF(J27="",0,IF(K28=$B$98,IF(H27&lt;J27,3,IF(H27=J27,1,0)),0))</f>
        <v>0</v>
      </c>
      <c r="W22" s="62"/>
      <c r="X22" s="62">
        <f ca="1">RANK(AD22,$AD$22:$AD$25)</f>
        <v>2</v>
      </c>
      <c r="Y22" s="40" t="s">
        <v>213</v>
      </c>
      <c r="Z22" s="62">
        <f ca="1">SUM(S22:V22)</f>
        <v>6</v>
      </c>
      <c r="AA22" s="62">
        <f ca="1">SUM(S26:V26)</f>
        <v>5</v>
      </c>
      <c r="AB22" s="62">
        <f ca="1">SUM(S26:S29)</f>
        <v>4</v>
      </c>
      <c r="AC22" s="62">
        <f ca="1">AA22-AB22</f>
        <v>1</v>
      </c>
      <c r="AD22" s="24">
        <f ca="1">IF(P$28="",(((((((AE22*10+Z22)*100+AC22)*100+AA22)*10+AK22)*10+AJ22)*100+AP22)*100+AU22)*10+AV22,(((((((AE22*10+Z22)*10+AK22)*10+AJ22)*100+AP22)*100+AU22)*100+AC22)*100+AA22)*10+AV22)</f>
        <v>596990101054</v>
      </c>
      <c r="AE22" s="203"/>
      <c r="AF22" s="217"/>
      <c r="AG22" s="217">
        <f ca="1">IF($Z22=$Z23,$T22-$S23,0)</f>
        <v>0</v>
      </c>
      <c r="AH22" s="217">
        <f ca="1">IF($Z22=$Z24,$U22-$S24,0)</f>
        <v>0</v>
      </c>
      <c r="AI22" s="217">
        <f ca="1">IF($Z22=$Z25,$V22-$S25,0)</f>
        <v>-3</v>
      </c>
      <c r="AJ22" s="217">
        <f ca="1">SUM(AF22:AI22)</f>
        <v>-3</v>
      </c>
      <c r="AK22" s="203"/>
      <c r="AL22" s="217"/>
      <c r="AM22" s="217">
        <f ca="1">IF($Z22=$Z23,$T26-$S27,0)</f>
        <v>0</v>
      </c>
      <c r="AN22" s="217">
        <f ca="1">IF($Z22=$Z24,$U26-$S28,0)</f>
        <v>0</v>
      </c>
      <c r="AO22" s="217">
        <f ca="1">IF($Z22=$Z25,$V26-$S29,0)</f>
        <v>-1</v>
      </c>
      <c r="AP22" s="217">
        <f ca="1">SUM(AL22:AO22)</f>
        <v>-1</v>
      </c>
      <c r="AQ22" s="217"/>
      <c r="AR22" s="217">
        <f ca="1">IF($Z22=$Z23,$T26,0)</f>
        <v>0</v>
      </c>
      <c r="AS22" s="217">
        <f ca="1">IF($Z22=$Z24,$U26,0)</f>
        <v>0</v>
      </c>
      <c r="AT22" s="217">
        <f ca="1">IF($Z22=$Z25,$V26,0)</f>
        <v>1</v>
      </c>
      <c r="AU22" s="217">
        <f ca="1">SUM(AQ22:AT22)</f>
        <v>1</v>
      </c>
      <c r="AV22" s="203">
        <v>4</v>
      </c>
      <c r="AW22" s="2"/>
      <c r="AX22" s="27">
        <f ca="1">IF($CX$97="",2*COUNTIF(Ergebnisse!$D$63:'Ergebnisse'!$F$78,M28),2*INT(RAND()*2))</f>
        <v>2</v>
      </c>
      <c r="AY22" s="17" t="str">
        <f ca="1">IF(COUNTIF(Ergebnisse!K23:'Ergebnisse'!K28,Ergebnisse!$B$98)=6,"ok","")</f>
        <v>ok</v>
      </c>
      <c r="AZ22" s="2"/>
      <c r="BB22" s="3" t="s">
        <v>22</v>
      </c>
      <c r="BC22" s="3" t="s">
        <v>23</v>
      </c>
      <c r="BD22" s="55"/>
      <c r="BE22" s="55"/>
      <c r="BF22" s="55"/>
      <c r="BG22" s="55"/>
      <c r="BL22" s="1"/>
      <c r="BM22" s="9" t="str">
        <f ca="1">VLOOKUP(1,$BX$22:$CC$25,2,FALSE)</f>
        <v>Tunesien</v>
      </c>
      <c r="BN22" s="2">
        <f ca="1">VLOOKUP(1,$BX$22:$CC$25,3,FALSE)</f>
        <v>6</v>
      </c>
      <c r="BO22" s="2">
        <f ca="1">VLOOKUP(1,$BX$22:$CC$25,4,FALSE)</f>
        <v>5</v>
      </c>
      <c r="BP22" s="2">
        <f ca="1">VLOOKUP(1,$BX$22:$CC$25,5,FALSE)</f>
        <v>4</v>
      </c>
      <c r="BQ22" s="2">
        <f ca="1">VLOOKUP(1,$BX$22:$CC$25,6,FALSE)</f>
        <v>1</v>
      </c>
      <c r="BS22" s="60"/>
      <c r="BT22" s="61">
        <f ca="1">IF(BH23="",0,IF(BK23=$B$98,IF(BH23&gt;BJ23,3,IF(BH23=BJ23,1,0)),0))</f>
        <v>3</v>
      </c>
      <c r="BU22" s="61">
        <f ca="1">IF(BH25="",0,IF(BK25=$B$98,IF(BH25&gt;BJ25,3,IF(BH25=BJ25,1,0)),0))</f>
        <v>3</v>
      </c>
      <c r="BV22" s="61">
        <f ca="1">IF(BJ27="",0,IF(BK28=$B$98,IF(BH27&lt;BJ27,3,IF(BH27=BJ27,1,0)),0))</f>
        <v>0</v>
      </c>
      <c r="BW22" s="1"/>
      <c r="BX22" s="1">
        <f ca="1">RANK(CD22,$CD$22:$CD$25)</f>
        <v>2</v>
      </c>
      <c r="BY22" s="40" t="s">
        <v>71</v>
      </c>
      <c r="BZ22" s="1">
        <f ca="1">SUM(BS22:BV22)</f>
        <v>6</v>
      </c>
      <c r="CA22" s="1">
        <f ca="1">SUM(BS26:BV26)</f>
        <v>5</v>
      </c>
      <c r="CB22" s="1">
        <f ca="1">SUM(BS26:BS29)</f>
        <v>4</v>
      </c>
      <c r="CC22" s="1">
        <f ca="1">CA22-CB22</f>
        <v>1</v>
      </c>
      <c r="CD22" s="24">
        <f ca="1">IF(BP$28="",(((((((CE22*10+BZ22)*100+CC22)*100+CA22)*10+CK22)*10+CJ22)*100+CP22)*100+CU22)*10+CV22,(((((((CE22*10+BZ22)*10+CK22)*10+CJ22)*100+CP22)*100+CU22)*100+CC22)*100+CA22)*10+CV22)</f>
        <v>596990101054</v>
      </c>
      <c r="CE22" s="207"/>
      <c r="CF22" s="218"/>
      <c r="CG22" s="218">
        <f ca="1">IF($BZ22=$BZ23,$BT22-$BS23,0)</f>
        <v>0</v>
      </c>
      <c r="CH22" s="218">
        <f ca="1">IF($BZ22=$BZ24,$BU22-$BS24,0)</f>
        <v>0</v>
      </c>
      <c r="CI22" s="218">
        <f ca="1">IF($BZ22=$BZ25,$BV22-$BS25,0)</f>
        <v>-3</v>
      </c>
      <c r="CJ22" s="218">
        <f ca="1">SUM(CF22:CI22)</f>
        <v>-3</v>
      </c>
      <c r="CK22" s="207"/>
      <c r="CL22" s="218"/>
      <c r="CM22" s="218">
        <f ca="1">IF($BZ22=$BZ23,$BT26-$BS27,0)</f>
        <v>0</v>
      </c>
      <c r="CN22" s="218">
        <f ca="1">IF($BZ22=$BZ24,$BU26-$BS28,0)</f>
        <v>0</v>
      </c>
      <c r="CO22" s="218">
        <f ca="1">IF($BZ22=$BZ25,$BV26-$BS29,0)</f>
        <v>-1</v>
      </c>
      <c r="CP22" s="218">
        <f ca="1">SUM(CL22:CO22)</f>
        <v>-1</v>
      </c>
      <c r="CQ22" s="218"/>
      <c r="CR22" s="218">
        <f ca="1">IF($BZ22=$BZ23,$BT26,0)</f>
        <v>0</v>
      </c>
      <c r="CS22" s="218">
        <f ca="1">IF($BZ22=$BZ24,$BU26,0)</f>
        <v>0</v>
      </c>
      <c r="CT22" s="218">
        <f ca="1">IF($BZ22=$BZ25,$BV26,0)</f>
        <v>1</v>
      </c>
      <c r="CU22" s="218">
        <f ca="1">SUM(CQ22:CT22)</f>
        <v>1</v>
      </c>
      <c r="CV22" s="207">
        <v>4</v>
      </c>
      <c r="CX22" s="221">
        <f ca="1">IF($CX$97="",2*COUNTIF(Ergebnisse!$D$63:'Ergebnisse'!$F$78,BM28),2*INT(RAND()*2))</f>
        <v>2</v>
      </c>
      <c r="CY22" s="17" t="str">
        <f ca="1">IF(COUNTIF(Ergebnisse!BK23:'Ergebnisse'!BK28,Ergebnisse!$B$98)=6,"ok","")</f>
        <v>ok</v>
      </c>
      <c r="DA22" s="171" t="s">
        <v>83</v>
      </c>
      <c r="DB22" s="270">
        <v>7</v>
      </c>
    </row>
    <row r="23" spans="1:106">
      <c r="A23" s="2">
        <v>7</v>
      </c>
      <c r="B23" s="6">
        <f>VLOOKUP(A23,Spiele!$A$1:$L$116,2,FALSE)</f>
        <v>46186.75</v>
      </c>
      <c r="C23" s="6" t="str">
        <f>VLOOKUP(A23,Spiele!$A$1:$L$116,9,FALSE)</f>
        <v>New York</v>
      </c>
      <c r="D23" s="56" t="str">
        <f>Y22</f>
        <v>Brasilien</v>
      </c>
      <c r="E23" s="40" t="s">
        <v>24</v>
      </c>
      <c r="F23" s="56" t="str">
        <f>Y23</f>
        <v>Marokko</v>
      </c>
      <c r="G23" s="53"/>
      <c r="H23" s="107">
        <f t="shared" ref="H23:H28" ca="1" si="8">IF($B$99="",2,INT(RAND()*5)+INT(RAND()*3)*INT(RAND()*2))</f>
        <v>2</v>
      </c>
      <c r="I23" s="11" t="s">
        <v>25</v>
      </c>
      <c r="J23" s="107">
        <f t="shared" ref="J23:J28" ca="1" si="9">IF($B$99="",1,INT(RAND()*5)+INT(RAND()*3)*INT(RAND()*2))</f>
        <v>1</v>
      </c>
      <c r="K23" s="7" t="s">
        <v>26</v>
      </c>
      <c r="L23" s="1"/>
      <c r="M23" s="9" t="str">
        <f ca="1">VLOOKUP(2,$X$22:$AC$25,2,FALSE)</f>
        <v>Brasilien</v>
      </c>
      <c r="N23" s="2">
        <f ca="1">VLOOKUP(2,$X$22:$AC$25,3,FALSE)</f>
        <v>6</v>
      </c>
      <c r="O23" s="2">
        <f ca="1">VLOOKUP(2,$X$22:$AC$25,4,FALSE)</f>
        <v>5</v>
      </c>
      <c r="P23" s="2">
        <f ca="1">VLOOKUP(2,$X$22:$AC$25,5,FALSE)</f>
        <v>4</v>
      </c>
      <c r="Q23" s="2">
        <f ca="1">VLOOKUP(2,$X$22:$AC$25,6,FALSE)</f>
        <v>1</v>
      </c>
      <c r="S23" s="61">
        <f ca="1">IF(J23="",0,IF(K23=$B$98,IF(H23&lt;J23,3,IF(H23=J23,1,0)),0))</f>
        <v>0</v>
      </c>
      <c r="T23" s="60"/>
      <c r="U23" s="61">
        <f ca="1">IF(H28="",0,IF(K27=$B$98,IF(H28&gt;J28,3,IF(H28=J28,1,0)),0))</f>
        <v>3</v>
      </c>
      <c r="V23" s="61">
        <f ca="1">IF(J26="",0,IF(K26=$B$98,IF(J26&gt;H26,3,IF(J26=H26,1,0)),0))</f>
        <v>0</v>
      </c>
      <c r="W23" s="62"/>
      <c r="X23" s="62">
        <f ca="1">RANK(AD23,$AD$22:$AD$25)</f>
        <v>3</v>
      </c>
      <c r="Y23" s="40" t="s">
        <v>214</v>
      </c>
      <c r="Z23" s="62">
        <f ca="1">SUM(S23:V23)</f>
        <v>3</v>
      </c>
      <c r="AA23" s="62">
        <f ca="1">SUM(S27:V27)</f>
        <v>4</v>
      </c>
      <c r="AB23" s="62">
        <f ca="1">SUM(T26:T29)</f>
        <v>5</v>
      </c>
      <c r="AC23" s="62">
        <f ca="1">AA23-AB23</f>
        <v>-1</v>
      </c>
      <c r="AD23" s="24">
        <f ca="1">IF(P$28="",(((((((AE23*10+Z23)*100+AC23)*100+AA23)*10+AK23)*10+AJ23)*100+AP23)*100+AU23)*10+AV23,(((((((AE23*10+Z23)*10+AK23)*10+AJ23)*100+AP23)*100+AU23)*100+AC23)*100+AA23)*10+AV23)</f>
        <v>303010199043</v>
      </c>
      <c r="AE23" s="203"/>
      <c r="AF23" s="217">
        <f ca="1">IF($Z23=$Z22,$S23-$T22,0)</f>
        <v>0</v>
      </c>
      <c r="AG23" s="217"/>
      <c r="AH23" s="217">
        <f ca="1">IF($Z23=$Z24,$U23-$T24,0)</f>
        <v>3</v>
      </c>
      <c r="AI23" s="217">
        <f ca="1">IF($Z23=$Z25,$V23-$T25,0)</f>
        <v>0</v>
      </c>
      <c r="AJ23" s="217">
        <f ca="1">SUM(AF23:AI23)</f>
        <v>3</v>
      </c>
      <c r="AK23" s="203"/>
      <c r="AL23" s="217">
        <f ca="1">IF($Z23=$Z22,$S27-$T26,0)</f>
        <v>0</v>
      </c>
      <c r="AM23" s="217"/>
      <c r="AN23" s="217">
        <f ca="1">IF($Z23=$Z24,$U27-$T28,0)</f>
        <v>1</v>
      </c>
      <c r="AO23" s="217">
        <f ca="1">IF($Z23=$Z25,$V27-$T29,0)</f>
        <v>0</v>
      </c>
      <c r="AP23" s="217">
        <f ca="1">SUM(AL23:AO23)</f>
        <v>1</v>
      </c>
      <c r="AQ23" s="217">
        <f ca="1">IF($Z23=$Z22,$S27,0)</f>
        <v>0</v>
      </c>
      <c r="AR23" s="217"/>
      <c r="AS23" s="217">
        <f ca="1">IF($Z23=$Z24,$U27,0)</f>
        <v>2</v>
      </c>
      <c r="AT23" s="217">
        <f ca="1">IF($Z23=$Z25,$V27,0)</f>
        <v>0</v>
      </c>
      <c r="AU23" s="217">
        <f ca="1">SUM(AQ23:AT23)</f>
        <v>2</v>
      </c>
      <c r="AV23" s="203">
        <v>3</v>
      </c>
      <c r="AW23" s="2"/>
      <c r="AX23" s="17">
        <f ca="1">IF($CX$97="",IF(OR(Ergebnisse!H23="",Ergebnisse!J23=""),0,IF(AND(H23=Ergebnisse!H23,J23=Ergebnisse!J23),7,MIN(7,(H23-J23=Ergebnisse!H23-Ergebnisse!J23)*4+(AND(H23-J23&lt;&gt;Ergebnisse!H23-Ergebnisse!J23,SIGN(H23-J23)=SIGN(Ergebnisse!H23-Ergebnisse!J23)))*2+(H23=Ergebnisse!H23)+(J23=Ergebnisse!J23)))),INT(RAND()*8))</f>
        <v>3</v>
      </c>
      <c r="AY23" s="17" t="str">
        <f ca="1">IF(Ergebnisse!K23=Ergebnisse!$B$98,Ergebnisse!K23,"")</f>
        <v>ok</v>
      </c>
      <c r="AZ23" s="2"/>
      <c r="BA23" s="2">
        <v>11</v>
      </c>
      <c r="BB23" s="6">
        <f>VLOOKUP(BA23,Spiele!$A$1:$L$116,2,FALSE)</f>
        <v>46187.625</v>
      </c>
      <c r="BC23" s="6" t="str">
        <f>VLOOKUP(BA23,Spiele!$A$1:$L$116,9,FALSE)</f>
        <v>Dallas</v>
      </c>
      <c r="BD23" s="56" t="str">
        <f>BY22</f>
        <v>Niederlande</v>
      </c>
      <c r="BE23" s="40" t="s">
        <v>24</v>
      </c>
      <c r="BF23" s="56" t="str">
        <f>BY23</f>
        <v>Japan</v>
      </c>
      <c r="BG23" s="53"/>
      <c r="BH23" s="107">
        <f t="shared" ref="BH23:BH28" ca="1" si="10">IF($B$99="",2,INT(RAND()*5)+INT(RAND()*3)*INT(RAND()*2))</f>
        <v>2</v>
      </c>
      <c r="BI23" s="11" t="s">
        <v>25</v>
      </c>
      <c r="BJ23" s="107">
        <f t="shared" ref="BJ23:BJ28" ca="1" si="11">IF($B$99="",1,INT(RAND()*5)+INT(RAND()*3)*INT(RAND()*2))</f>
        <v>1</v>
      </c>
      <c r="BK23" s="7" t="s">
        <v>26</v>
      </c>
      <c r="BL23" s="1"/>
      <c r="BM23" s="9" t="str">
        <f ca="1">VLOOKUP(2,$BX$22:$CC$25,2,FALSE)</f>
        <v>Niederlande</v>
      </c>
      <c r="BN23" s="2">
        <f ca="1">VLOOKUP(2,$BX$22:$CC$25,3,FALSE)</f>
        <v>6</v>
      </c>
      <c r="BO23" s="2">
        <f ca="1">VLOOKUP(2,$BX$22:$CC$25,4,FALSE)</f>
        <v>5</v>
      </c>
      <c r="BP23" s="2">
        <f ca="1">VLOOKUP(2,$BX$22:$CC$25,5,FALSE)</f>
        <v>4</v>
      </c>
      <c r="BQ23" s="2">
        <f ca="1">VLOOKUP(2,$BX$22:$CC$25,6,FALSE)</f>
        <v>1</v>
      </c>
      <c r="BS23" s="61">
        <f ca="1">IF(BJ23="",0,IF(BK23=$B$98,IF(BH23&lt;BJ23,3,IF(BH23=BJ23,1,0)),0))</f>
        <v>0</v>
      </c>
      <c r="BT23" s="60"/>
      <c r="BU23" s="61">
        <f ca="1">IF(BH28="",0,IF(BK27=$B$98,IF(BH28&gt;BJ28,3,IF(BH28=BJ28,1,0)),0))</f>
        <v>3</v>
      </c>
      <c r="BV23" s="61">
        <f ca="1">IF(BJ26="",0,IF(BK26=$B$98,IF(BJ26&gt;BH26,3,IF(BJ26=BH26,1,0)),0))</f>
        <v>0</v>
      </c>
      <c r="BW23" s="1"/>
      <c r="BX23" s="1">
        <f ca="1">RANK(CD23,$CD$22:$CD$25)</f>
        <v>3</v>
      </c>
      <c r="BY23" s="40" t="s">
        <v>215</v>
      </c>
      <c r="BZ23" s="1">
        <f ca="1">SUM(BS23:BV23)</f>
        <v>3</v>
      </c>
      <c r="CA23" s="1">
        <f ca="1">SUM(BS27:BV27)</f>
        <v>4</v>
      </c>
      <c r="CB23" s="1">
        <f ca="1">SUM(BT26:BT29)</f>
        <v>5</v>
      </c>
      <c r="CC23" s="1">
        <f ca="1">CA23-CB23</f>
        <v>-1</v>
      </c>
      <c r="CD23" s="24">
        <f ca="1">IF(BP$28="",(((((((CE23*10+BZ23)*100+CC23)*100+CA23)*10+CK23)*10+CJ23)*100+CP23)*100+CU23)*10+CV23,(((((((CE23*10+BZ23)*10+CK23)*10+CJ23)*100+CP23)*100+CU23)*100+CC23)*100+CA23)*10+CV23)</f>
        <v>303010199043</v>
      </c>
      <c r="CE23" s="207"/>
      <c r="CF23" s="218">
        <f ca="1">IF($BZ23=$BZ22,$BS23-$BT22,0)</f>
        <v>0</v>
      </c>
      <c r="CG23" s="218"/>
      <c r="CH23" s="218">
        <f ca="1">IF($BZ23=$BZ24,$BU23-$BT24,0)</f>
        <v>3</v>
      </c>
      <c r="CI23" s="218">
        <f ca="1">IF($BZ23=$BZ25,$BV23-$BT25,0)</f>
        <v>0</v>
      </c>
      <c r="CJ23" s="218">
        <f ca="1">SUM(CF23:CI23)</f>
        <v>3</v>
      </c>
      <c r="CK23" s="207"/>
      <c r="CL23" s="218">
        <f ca="1">IF($BZ23=$BZ22,$BS27-$BT26,0)</f>
        <v>0</v>
      </c>
      <c r="CM23" s="218"/>
      <c r="CN23" s="218">
        <f ca="1">IF($BZ23=$BZ24,$BU27-$BT28,0)</f>
        <v>1</v>
      </c>
      <c r="CO23" s="218">
        <f ca="1">IF($BZ23=$BZ25,$BV27-$BT29,0)</f>
        <v>0</v>
      </c>
      <c r="CP23" s="218">
        <f ca="1">SUM(CL23:CO23)</f>
        <v>1</v>
      </c>
      <c r="CQ23" s="218">
        <f ca="1">IF($BZ23=$BZ22,$BS27,0)</f>
        <v>0</v>
      </c>
      <c r="CR23" s="218"/>
      <c r="CS23" s="218">
        <f ca="1">IF($BZ23=$BZ24,$BU27,0)</f>
        <v>2</v>
      </c>
      <c r="CT23" s="218">
        <f ca="1">IF($BZ23=$BZ25,$BV27,0)</f>
        <v>0</v>
      </c>
      <c r="CU23" s="218">
        <f ca="1">SUM(CQ23:CT23)</f>
        <v>2</v>
      </c>
      <c r="CV23" s="207">
        <v>3</v>
      </c>
      <c r="CX23" s="17">
        <f ca="1">IF($CX$97="",IF(OR(Ergebnisse!BH23="",Ergebnisse!BJ23=""),0,IF(AND(BH23=Ergebnisse!BH23,BJ23=Ergebnisse!BJ23),7,MIN(7,(BH23-BJ23=Ergebnisse!BH23-Ergebnisse!BJ23)*4+(AND(BH23-BJ23&lt;&gt;Ergebnisse!BH23-Ergebnisse!BJ23,SIGN(BH23-BJ23)=SIGN(Ergebnisse!BH23-Ergebnisse!BJ23)))*2+(BH23=Ergebnisse!BH23)+(BJ23=Ergebnisse!BJ23)))),INT(RAND()*8))</f>
        <v>2</v>
      </c>
      <c r="CY23" s="17" t="str">
        <f ca="1">IF(Ergebnisse!BK23=Ergebnisse!$B$98,Ergebnisse!BK23,"")</f>
        <v>ok</v>
      </c>
      <c r="DA23" s="168" t="s">
        <v>76</v>
      </c>
      <c r="DB23" s="169">
        <v>8</v>
      </c>
    </row>
    <row r="24" spans="1:106">
      <c r="A24" s="2">
        <v>5</v>
      </c>
      <c r="B24" s="6">
        <f>VLOOKUP(A24,Spiele!$A$1:$L$116,2,FALSE)</f>
        <v>46186.875</v>
      </c>
      <c r="C24" s="6" t="str">
        <f>VLOOKUP(A24,Spiele!$A$1:$L$116,9,FALSE)</f>
        <v>Boston</v>
      </c>
      <c r="D24" s="56" t="str">
        <f>Y24</f>
        <v>Haiti</v>
      </c>
      <c r="E24" s="40" t="s">
        <v>24</v>
      </c>
      <c r="F24" s="56" t="str">
        <f>Y25</f>
        <v>Schottland</v>
      </c>
      <c r="G24" s="53"/>
      <c r="H24" s="107">
        <f t="shared" ca="1" si="8"/>
        <v>2</v>
      </c>
      <c r="I24" s="11" t="s">
        <v>25</v>
      </c>
      <c r="J24" s="107">
        <f t="shared" ca="1" si="9"/>
        <v>1</v>
      </c>
      <c r="K24" s="7" t="s">
        <v>26</v>
      </c>
      <c r="L24" s="1"/>
      <c r="M24" s="9" t="str">
        <f ca="1">VLOOKUP(3,$X$22:$AC$25,2,FALSE)</f>
        <v>Marokko</v>
      </c>
      <c r="N24" s="2">
        <f ca="1">VLOOKUP(3,$X$22:$AC$25,3,FALSE)</f>
        <v>3</v>
      </c>
      <c r="O24" s="2">
        <f ca="1">VLOOKUP(3,$X$22:$AC$25,4,FALSE)</f>
        <v>4</v>
      </c>
      <c r="P24" s="2">
        <f ca="1">VLOOKUP(3,$X$22:$AC$25,5,FALSE)</f>
        <v>5</v>
      </c>
      <c r="Q24" s="2">
        <f ca="1">VLOOKUP(3,$X$22:$AC$25,6,FALSE)</f>
        <v>-1</v>
      </c>
      <c r="S24" s="61">
        <f ca="1">IF(J25="",0,IF(K25=$B$98,IF(H25&lt;J25,3,IF(H25=J25,1,0)),0))</f>
        <v>0</v>
      </c>
      <c r="T24" s="61">
        <f ca="1">IF(J28="",0,IF(K27=$B$98,IF(H28&lt;J28,3,IF(H28=J28,1,0)),0))</f>
        <v>0</v>
      </c>
      <c r="U24" s="60"/>
      <c r="V24" s="61">
        <f ca="1">IF(H24="",0,IF(K24=$B$98,IF(H24&gt;J24,3,IF(H24=J24,1,0)),0))</f>
        <v>3</v>
      </c>
      <c r="W24" s="62"/>
      <c r="X24" s="62">
        <f ca="1">RANK(AD24,$AD$22:$AD$25)</f>
        <v>4</v>
      </c>
      <c r="Y24" s="40" t="s">
        <v>216</v>
      </c>
      <c r="Z24" s="62">
        <f ca="1">SUM(S24:V24)</f>
        <v>3</v>
      </c>
      <c r="AA24" s="62">
        <f ca="1">SUM(S28:V28)</f>
        <v>4</v>
      </c>
      <c r="AB24" s="62">
        <f ca="1">SUM(U26:U29)</f>
        <v>5</v>
      </c>
      <c r="AC24" s="62">
        <f ca="1">AA24-AB24</f>
        <v>-1</v>
      </c>
      <c r="AD24" s="24">
        <f ca="1">IF(P$28="",(((((((AE24*10+Z24)*100+AC24)*100+AA24)*10+AK24)*10+AJ24)*100+AP24)*100+AU24)*10+AV24,(((((((AE24*10+Z24)*10+AK24)*10+AJ24)*100+AP24)*100+AU24)*100+AC24)*100+AA24)*10+AV24)</f>
        <v>296990099042</v>
      </c>
      <c r="AE24" s="203"/>
      <c r="AF24" s="217">
        <f ca="1">IF($Z24=$Z22,$S24-$U22,0)</f>
        <v>0</v>
      </c>
      <c r="AG24" s="217">
        <f ca="1">IF($Z24=$Z23,$T24-$U23,0)</f>
        <v>-3</v>
      </c>
      <c r="AH24" s="217"/>
      <c r="AI24" s="217">
        <f ca="1">IF($Z24=$Z25,$V24-$U25,0)</f>
        <v>0</v>
      </c>
      <c r="AJ24" s="217">
        <f ca="1">SUM(AF24:AI24)</f>
        <v>-3</v>
      </c>
      <c r="AK24" s="203"/>
      <c r="AL24" s="217">
        <f ca="1">IF($Z24=$Z22,$S28-$U26,0)</f>
        <v>0</v>
      </c>
      <c r="AM24" s="217">
        <f ca="1">IF($Z24=$Z23,$T28-$U27,0)</f>
        <v>-1</v>
      </c>
      <c r="AN24" s="217"/>
      <c r="AO24" s="217">
        <f ca="1">IF($Z24=$Z25,$V28-$U29,0)</f>
        <v>0</v>
      </c>
      <c r="AP24" s="217">
        <f ca="1">SUM(AL24:AO24)</f>
        <v>-1</v>
      </c>
      <c r="AQ24" s="217">
        <f ca="1">IF($Z24=$Z22,$S28,0)</f>
        <v>0</v>
      </c>
      <c r="AR24" s="217">
        <f ca="1">IF($Z24=$Z23,$T28,0)</f>
        <v>1</v>
      </c>
      <c r="AS24" s="217"/>
      <c r="AT24" s="217">
        <f ca="1">IF($Z24=$Z25,$V28,0)</f>
        <v>0</v>
      </c>
      <c r="AU24" s="217">
        <f ca="1">SUM(AQ24:AT24)</f>
        <v>1</v>
      </c>
      <c r="AV24" s="203">
        <v>2</v>
      </c>
      <c r="AW24" s="2"/>
      <c r="AX24" s="17">
        <f ca="1">IF($CX$97="",IF(OR(Ergebnisse!H24="",Ergebnisse!J24=""),0,IF(AND(H24=Ergebnisse!H24,J24=Ergebnisse!J24),7,MIN(7,(H24-J24=Ergebnisse!H24-Ergebnisse!J24)*4+(AND(H24-J24&lt;&gt;Ergebnisse!H24-Ergebnisse!J24,SIGN(H24-J24)=SIGN(Ergebnisse!H24-Ergebnisse!J24)))*2+(H24=Ergebnisse!H24)+(J24=Ergebnisse!J24)))),INT(RAND()*8))</f>
        <v>0</v>
      </c>
      <c r="AY24" s="17" t="str">
        <f ca="1">IF(Ergebnisse!K24=Ergebnisse!$B$98,Ergebnisse!K24,"")</f>
        <v>ok</v>
      </c>
      <c r="AZ24" s="2"/>
      <c r="BA24" s="2">
        <v>12</v>
      </c>
      <c r="BB24" s="6">
        <f>VLOOKUP(BA24,Spiele!$A$1:$L$116,2,FALSE)</f>
        <v>46187.875</v>
      </c>
      <c r="BC24" s="6" t="str">
        <f>VLOOKUP(BA24,Spiele!$A$1:$L$116,9,FALSE)</f>
        <v>Monterrey</v>
      </c>
      <c r="BD24" s="56" t="str">
        <f>BY24</f>
        <v>Schweden</v>
      </c>
      <c r="BE24" s="40" t="s">
        <v>24</v>
      </c>
      <c r="BF24" s="56" t="str">
        <f>BY25</f>
        <v>Tunesien</v>
      </c>
      <c r="BG24" s="53"/>
      <c r="BH24" s="107">
        <f t="shared" ca="1" si="10"/>
        <v>2</v>
      </c>
      <c r="BI24" s="11" t="s">
        <v>25</v>
      </c>
      <c r="BJ24" s="107">
        <f t="shared" ca="1" si="11"/>
        <v>1</v>
      </c>
      <c r="BK24" s="7" t="s">
        <v>26</v>
      </c>
      <c r="BL24" s="1"/>
      <c r="BM24" s="9" t="str">
        <f ca="1">VLOOKUP(3,$BX$22:$CC$25,2,FALSE)</f>
        <v>Japan</v>
      </c>
      <c r="BN24" s="2">
        <f ca="1">VLOOKUP(3,$BX$22:$CC$25,3,FALSE)</f>
        <v>3</v>
      </c>
      <c r="BO24" s="2">
        <f ca="1">VLOOKUP(3,$BX$22:$CC$25,4,FALSE)</f>
        <v>4</v>
      </c>
      <c r="BP24" s="2">
        <f ca="1">VLOOKUP(3,$BX$22:$CC$25,5,FALSE)</f>
        <v>5</v>
      </c>
      <c r="BQ24" s="2">
        <f ca="1">VLOOKUP(3,$BX$22:$CC$25,6,FALSE)</f>
        <v>-1</v>
      </c>
      <c r="BS24" s="61">
        <f ca="1">IF(BJ25="",0,IF(BK25=$B$98,IF(BH25&lt;BJ25,3,IF(BH25=BJ25,1,0)),0))</f>
        <v>0</v>
      </c>
      <c r="BT24" s="61">
        <f ca="1">IF(BJ28="",0,IF(BK27=$B$98,IF(BH28&lt;BJ28,3,IF(BH28=BJ28,1,0)),0))</f>
        <v>0</v>
      </c>
      <c r="BU24" s="60"/>
      <c r="BV24" s="61">
        <f ca="1">IF(BH24="",0,IF(BK24=$B$98,IF(BH24&gt;BJ24,3,IF(BH24=BJ24,1,0)),0))</f>
        <v>3</v>
      </c>
      <c r="BW24" s="1"/>
      <c r="BX24" s="1">
        <f ca="1">RANK(CD24,$CD$22:$CD$25)</f>
        <v>4</v>
      </c>
      <c r="BY24" s="40" t="s">
        <v>217</v>
      </c>
      <c r="BZ24" s="1">
        <f ca="1">SUM(BS24:BV24)</f>
        <v>3</v>
      </c>
      <c r="CA24" s="1">
        <f ca="1">SUM(BS28:BV28)</f>
        <v>4</v>
      </c>
      <c r="CB24" s="1">
        <f ca="1">SUM(BU26:BU29)</f>
        <v>5</v>
      </c>
      <c r="CC24" s="1">
        <f ca="1">CA24-CB24</f>
        <v>-1</v>
      </c>
      <c r="CD24" s="24">
        <f ca="1">IF(BP$28="",(((((((CE24*10+BZ24)*100+CC24)*100+CA24)*10+CK24)*10+CJ24)*100+CP24)*100+CU24)*10+CV24,(((((((CE24*10+BZ24)*10+CK24)*10+CJ24)*100+CP24)*100+CU24)*100+CC24)*100+CA24)*10+CV24)</f>
        <v>296990099042</v>
      </c>
      <c r="CE24" s="207"/>
      <c r="CF24" s="218">
        <f ca="1">IF($BZ24=$BZ22,$BS24-$BU22,0)</f>
        <v>0</v>
      </c>
      <c r="CG24" s="218">
        <f ca="1">IF($BZ24=$BZ23,$BT24-$BU23,0)</f>
        <v>-3</v>
      </c>
      <c r="CH24" s="218"/>
      <c r="CI24" s="218">
        <f ca="1">IF($BZ24=$BZ25,$BV24-$BU25,0)</f>
        <v>0</v>
      </c>
      <c r="CJ24" s="218">
        <f ca="1">SUM(CF24:CI24)</f>
        <v>-3</v>
      </c>
      <c r="CK24" s="207"/>
      <c r="CL24" s="218">
        <f ca="1">IF($BZ24=$BZ22,$BS28-$BU26,0)</f>
        <v>0</v>
      </c>
      <c r="CM24" s="218">
        <f ca="1">IF($BZ24=$BZ23,$BT28-$BU27,0)</f>
        <v>-1</v>
      </c>
      <c r="CN24" s="218"/>
      <c r="CO24" s="218">
        <f ca="1">IF($BZ24=$BZ25,$BV28-$BU29,0)</f>
        <v>0</v>
      </c>
      <c r="CP24" s="218">
        <f ca="1">SUM(CL24:CO24)</f>
        <v>-1</v>
      </c>
      <c r="CQ24" s="218">
        <f ca="1">IF($BZ24=$BZ22,$BS28,0)</f>
        <v>0</v>
      </c>
      <c r="CR24" s="218">
        <f ca="1">IF($BZ24=$BZ23,$BT28,0)</f>
        <v>1</v>
      </c>
      <c r="CS24" s="218"/>
      <c r="CT24" s="218">
        <f ca="1">IF($BZ24=$BZ25,$BV28,0)</f>
        <v>0</v>
      </c>
      <c r="CU24" s="218">
        <f ca="1">SUM(CQ24:CT24)</f>
        <v>1</v>
      </c>
      <c r="CV24" s="207">
        <v>2</v>
      </c>
      <c r="CX24" s="17">
        <f ca="1">IF($CX$97="",IF(OR(Ergebnisse!BH24="",Ergebnisse!BJ24=""),0,IF(AND(BH24=Ergebnisse!BH24,BJ24=Ergebnisse!BJ24),7,MIN(7,(BH24-BJ24=Ergebnisse!BH24-Ergebnisse!BJ24)*4+(AND(BH24-BJ24&lt;&gt;Ergebnisse!BH24-Ergebnisse!BJ24,SIGN(BH24-BJ24)=SIGN(Ergebnisse!BH24-Ergebnisse!BJ24)))*2+(BH24=Ergebnisse!BH24)+(BJ24=Ergebnisse!BJ24)))),INT(RAND()*8))</f>
        <v>2</v>
      </c>
      <c r="CY24" s="17" t="str">
        <f ca="1">IF(Ergebnisse!BK24=Ergebnisse!$B$98,Ergebnisse!BK24,"")</f>
        <v>ok</v>
      </c>
    </row>
    <row r="25" spans="1:106">
      <c r="A25" s="2">
        <v>29</v>
      </c>
      <c r="B25" s="6">
        <f>VLOOKUP(A25,Spiele!$A$1:$L$116,2,FALSE)</f>
        <v>46192.875</v>
      </c>
      <c r="C25" s="6" t="str">
        <f>VLOOKUP(A25,Spiele!$A$1:$L$116,9,FALSE)</f>
        <v>Philadelphia</v>
      </c>
      <c r="D25" s="56" t="str">
        <f>Y22</f>
        <v>Brasilien</v>
      </c>
      <c r="E25" s="40" t="s">
        <v>24</v>
      </c>
      <c r="F25" s="56" t="str">
        <f>Y24</f>
        <v>Haiti</v>
      </c>
      <c r="G25" s="53"/>
      <c r="H25" s="107">
        <f t="shared" ca="1" si="8"/>
        <v>2</v>
      </c>
      <c r="I25" s="11" t="s">
        <v>25</v>
      </c>
      <c r="J25" s="107">
        <f t="shared" ca="1" si="9"/>
        <v>1</v>
      </c>
      <c r="K25" s="7" t="s">
        <v>26</v>
      </c>
      <c r="L25" s="1"/>
      <c r="M25" s="9" t="str">
        <f ca="1">VLOOKUP(4,$X$22:$AC$25,2,FALSE)</f>
        <v>Haiti</v>
      </c>
      <c r="N25" s="2">
        <f ca="1">VLOOKUP(4,$X$22:$AC$25,3,FALSE)</f>
        <v>3</v>
      </c>
      <c r="O25" s="2">
        <f ca="1">VLOOKUP(4,$X$22:$AC$25,4,FALSE)</f>
        <v>4</v>
      </c>
      <c r="P25" s="2">
        <f ca="1">VLOOKUP(4,$X$22:$AC$25,5,FALSE)</f>
        <v>5</v>
      </c>
      <c r="Q25" s="2">
        <f ca="1">VLOOKUP(4,$X$22:$AC$25,6,FALSE)</f>
        <v>-1</v>
      </c>
      <c r="S25" s="61">
        <f ca="1">IF(H27="",0,IF(K28=$B$98,IF(H27&gt;J27,3,IF(H27=J27,1,0)),0))</f>
        <v>3</v>
      </c>
      <c r="T25" s="61">
        <f ca="1">IF(H26="",0,IF(K26=$B$98,IF(J26&lt;H26,3,IF(J26=H26,1,0)),0))</f>
        <v>3</v>
      </c>
      <c r="U25" s="61">
        <f ca="1">IF(J24="",0,IF(K24=$B$98,IF(H24&lt;J24,3,IF(H24=J24,1,0)),0))</f>
        <v>0</v>
      </c>
      <c r="V25" s="60"/>
      <c r="W25" s="62"/>
      <c r="X25" s="62">
        <f ca="1">RANK(AD25,$AD$22:$AD$25)</f>
        <v>1</v>
      </c>
      <c r="Y25" s="40" t="s">
        <v>184</v>
      </c>
      <c r="Z25" s="62">
        <f ca="1">SUM(S25:V25)</f>
        <v>6</v>
      </c>
      <c r="AA25" s="62">
        <f ca="1">SUM(S29:V29)</f>
        <v>5</v>
      </c>
      <c r="AB25" s="62">
        <f ca="1">SUM(V26:V29)</f>
        <v>4</v>
      </c>
      <c r="AC25" s="62">
        <f ca="1">AA25-AB25</f>
        <v>1</v>
      </c>
      <c r="AD25" s="24">
        <f ca="1">IF(P$28="",(((((((AE25*10+Z25)*100+AC25)*100+AA25)*10+AK25)*10+AJ25)*100+AP25)*100+AU25)*10+AV25,(((((((AE25*10+Z25)*10+AK25)*10+AJ25)*100+AP25)*100+AU25)*100+AC25)*100+AA25)*10+AV25)</f>
        <v>603010201051</v>
      </c>
      <c r="AE25" s="203"/>
      <c r="AF25" s="217">
        <f ca="1">IF($Z25=$Z22,$S25-$V22,0)</f>
        <v>3</v>
      </c>
      <c r="AG25" s="217">
        <f ca="1">IF($Z25=$Z23,$T25-$V23,0)</f>
        <v>0</v>
      </c>
      <c r="AH25" s="217">
        <f ca="1">IF($Z25=$Z24,$U25-$V24,0)</f>
        <v>0</v>
      </c>
      <c r="AI25" s="217"/>
      <c r="AJ25" s="217">
        <f ca="1">SUM(AF25:AI25)</f>
        <v>3</v>
      </c>
      <c r="AK25" s="203"/>
      <c r="AL25" s="217">
        <f ca="1">IF($Z25=$Z22,$S29-$V26,0)</f>
        <v>1</v>
      </c>
      <c r="AM25" s="217">
        <f ca="1">IF($Z25=$Z23,$T29-$V27,0)</f>
        <v>0</v>
      </c>
      <c r="AN25" s="217">
        <f ca="1">IF($Z25=$Z24,$U29-$V28,0)</f>
        <v>0</v>
      </c>
      <c r="AO25" s="217"/>
      <c r="AP25" s="217">
        <f ca="1">SUM(AL25:AO25)</f>
        <v>1</v>
      </c>
      <c r="AQ25" s="217">
        <f ca="1">IF($Z25=$Z22,$S29,0)</f>
        <v>2</v>
      </c>
      <c r="AR25" s="217">
        <f ca="1">IF($Z25=$Z23,$T29,0)</f>
        <v>0</v>
      </c>
      <c r="AS25" s="217">
        <f ca="1">IF($Z25=$Z24,$U29,0)</f>
        <v>0</v>
      </c>
      <c r="AT25" s="217"/>
      <c r="AU25" s="217">
        <f ca="1">SUM(AQ25:AT25)</f>
        <v>2</v>
      </c>
      <c r="AV25" s="203">
        <v>1</v>
      </c>
      <c r="AW25" s="2"/>
      <c r="AX25" s="17">
        <f ca="1">IF($CX$97="",IF(OR(Ergebnisse!H25="",Ergebnisse!J25=""),0,IF(AND(H25=Ergebnisse!H25,J25=Ergebnisse!J25),7,MIN(7,(H25-J25=Ergebnisse!H25-Ergebnisse!J25)*4+(AND(H25-J25&lt;&gt;Ergebnisse!H25-Ergebnisse!J25,SIGN(H25-J25)=SIGN(Ergebnisse!H25-Ergebnisse!J25)))*2+(H25=Ergebnisse!H25)+(J25=Ergebnisse!J25)))),INT(RAND()*8))</f>
        <v>0</v>
      </c>
      <c r="AY25" s="17" t="str">
        <f ca="1">IF(Ergebnisse!K25=Ergebnisse!$B$98,Ergebnisse!K25,"")</f>
        <v>ok</v>
      </c>
      <c r="AZ25" s="2"/>
      <c r="BA25" s="2">
        <v>35</v>
      </c>
      <c r="BB25" s="6">
        <f>VLOOKUP(BA25,Spiele!$A$1:$L$116,2,FALSE)</f>
        <v>46193.5</v>
      </c>
      <c r="BC25" s="6" t="str">
        <f>VLOOKUP(BA25,Spiele!$A$1:$L$116,9,FALSE)</f>
        <v>Houston</v>
      </c>
      <c r="BD25" s="56" t="str">
        <f>BY22</f>
        <v>Niederlande</v>
      </c>
      <c r="BE25" s="40" t="s">
        <v>24</v>
      </c>
      <c r="BF25" s="56" t="str">
        <f>BY24</f>
        <v>Schweden</v>
      </c>
      <c r="BG25" s="53"/>
      <c r="BH25" s="107">
        <f t="shared" ca="1" si="10"/>
        <v>2</v>
      </c>
      <c r="BI25" s="11" t="s">
        <v>25</v>
      </c>
      <c r="BJ25" s="107">
        <f t="shared" ca="1" si="11"/>
        <v>1</v>
      </c>
      <c r="BK25" s="7" t="s">
        <v>26</v>
      </c>
      <c r="BL25" s="1"/>
      <c r="BM25" s="9" t="str">
        <f ca="1">VLOOKUP(4,$BX$22:$CC$25,2,FALSE)</f>
        <v>Schweden</v>
      </c>
      <c r="BN25" s="2">
        <f ca="1">VLOOKUP(4,$BX$22:$CC$25,3,FALSE)</f>
        <v>3</v>
      </c>
      <c r="BO25" s="2">
        <f ca="1">VLOOKUP(4,$BX$22:$CC$25,4,FALSE)</f>
        <v>4</v>
      </c>
      <c r="BP25" s="2">
        <f ca="1">VLOOKUP(4,$BX$22:$CC$25,5,FALSE)</f>
        <v>5</v>
      </c>
      <c r="BQ25" s="2">
        <f ca="1">VLOOKUP(4,$BX$22:$CC$25,6,FALSE)</f>
        <v>-1</v>
      </c>
      <c r="BS25" s="61">
        <f ca="1">IF(BH27="",0,IF(BK28=$B$98,IF(BH27&gt;BJ27,3,IF(BH27=BJ27,1,0)),0))</f>
        <v>3</v>
      </c>
      <c r="BT25" s="61">
        <f ca="1">IF(BH26="",0,IF(BK26=$B$98,IF(BJ26&lt;BH26,3,IF(BJ26=BH26,1,0)),0))</f>
        <v>3</v>
      </c>
      <c r="BU25" s="61">
        <f ca="1">IF(BJ24="",0,IF(BK24=$B$98,IF(BH24&lt;BJ24,3,IF(BH24=BJ24,1,0)),0))</f>
        <v>0</v>
      </c>
      <c r="BV25" s="60"/>
      <c r="BW25" s="1"/>
      <c r="BX25" s="1">
        <f ca="1">RANK(CD25,$CD$22:$CD$25)</f>
        <v>1</v>
      </c>
      <c r="BY25" s="40" t="s">
        <v>218</v>
      </c>
      <c r="BZ25" s="1">
        <f ca="1">SUM(BS25:BV25)</f>
        <v>6</v>
      </c>
      <c r="CA25" s="1">
        <f ca="1">SUM(BS29:BV29)</f>
        <v>5</v>
      </c>
      <c r="CB25" s="1">
        <f ca="1">SUM(BV26:BV29)</f>
        <v>4</v>
      </c>
      <c r="CC25" s="1">
        <f ca="1">CA25-CB25</f>
        <v>1</v>
      </c>
      <c r="CD25" s="24">
        <f ca="1">IF(BP$28="",(((((((CE25*10+BZ25)*100+CC25)*100+CA25)*10+CK25)*10+CJ25)*100+CP25)*100+CU25)*10+CV25,(((((((CE25*10+BZ25)*10+CK25)*10+CJ25)*100+CP25)*100+CU25)*100+CC25)*100+CA25)*10+CV25)</f>
        <v>603010201051</v>
      </c>
      <c r="CE25" s="207"/>
      <c r="CF25" s="218">
        <f ca="1">IF($BZ25=$BZ22,$BS25-$BV22,0)</f>
        <v>3</v>
      </c>
      <c r="CG25" s="218">
        <f ca="1">IF($BZ25=$BZ23,$BT25-$BV23,0)</f>
        <v>0</v>
      </c>
      <c r="CH25" s="218">
        <f ca="1">IF($BZ25=$BZ24,$BU25-$BV24,0)</f>
        <v>0</v>
      </c>
      <c r="CI25" s="218"/>
      <c r="CJ25" s="218">
        <f ca="1">SUM(CF25:CI25)</f>
        <v>3</v>
      </c>
      <c r="CK25" s="207"/>
      <c r="CL25" s="218">
        <f ca="1">IF($BZ25=$BZ22,$BS29-$BV26,0)</f>
        <v>1</v>
      </c>
      <c r="CM25" s="218">
        <f ca="1">IF($BZ25=$BZ23,$BT29-$BV27,0)</f>
        <v>0</v>
      </c>
      <c r="CN25" s="218">
        <f ca="1">IF($BZ25=$BZ24,$BU29-$BV28,0)</f>
        <v>0</v>
      </c>
      <c r="CO25" s="218"/>
      <c r="CP25" s="218">
        <f ca="1">SUM(CL25:CO25)</f>
        <v>1</v>
      </c>
      <c r="CQ25" s="218">
        <f ca="1">IF($BZ25=$BZ22,$BS29,0)</f>
        <v>2</v>
      </c>
      <c r="CR25" s="218">
        <f ca="1">IF($BZ25=$BZ23,$BT29,0)</f>
        <v>0</v>
      </c>
      <c r="CS25" s="218">
        <f ca="1">IF($BZ25=$BZ24,$BU29,0)</f>
        <v>0</v>
      </c>
      <c r="CT25" s="218"/>
      <c r="CU25" s="218">
        <f ca="1">SUM(CQ25:CT25)</f>
        <v>2</v>
      </c>
      <c r="CV25" s="207">
        <v>1</v>
      </c>
      <c r="CX25" s="17">
        <f ca="1">IF($CX$97="",IF(OR(Ergebnisse!BH25="",Ergebnisse!BJ25=""),0,IF(AND(BH25=Ergebnisse!BH25,BJ25=Ergebnisse!BJ25),7,MIN(7,(BH25-BJ25=Ergebnisse!BH25-Ergebnisse!BJ25)*4+(AND(BH25-BJ25&lt;&gt;Ergebnisse!BH25-Ergebnisse!BJ25,SIGN(BH25-BJ25)=SIGN(Ergebnisse!BH25-Ergebnisse!BJ25)))*2+(BH25=Ergebnisse!BH25)+(BJ25=Ergebnisse!BJ25)))),INT(RAND()*8))</f>
        <v>3</v>
      </c>
      <c r="CY25" s="17" t="str">
        <f ca="1">IF(Ergebnisse!BK25=Ergebnisse!$B$98,Ergebnisse!BK25,"")</f>
        <v>ok</v>
      </c>
      <c r="DA25" s="170" t="s">
        <v>75</v>
      </c>
      <c r="DB25" s="166">
        <f>DB29*(DB28+2*DB26)</f>
        <v>52</v>
      </c>
    </row>
    <row r="26" spans="1:106">
      <c r="A26" s="2">
        <v>30</v>
      </c>
      <c r="B26" s="6">
        <f>VLOOKUP(A26,Spiele!$A$1:$L$116,2,FALSE)</f>
        <v>46192.75</v>
      </c>
      <c r="C26" s="6" t="str">
        <f>VLOOKUP(A26,Spiele!$A$1:$L$116,9,FALSE)</f>
        <v>Boston</v>
      </c>
      <c r="D26" s="56" t="str">
        <f>Y25</f>
        <v>Schottland</v>
      </c>
      <c r="E26" s="40" t="s">
        <v>24</v>
      </c>
      <c r="F26" s="56" t="str">
        <f>Y23</f>
        <v>Marokko</v>
      </c>
      <c r="G26" s="53"/>
      <c r="H26" s="107">
        <f t="shared" ca="1" si="8"/>
        <v>2</v>
      </c>
      <c r="I26" s="11" t="s">
        <v>25</v>
      </c>
      <c r="J26" s="107">
        <f t="shared" ca="1" si="9"/>
        <v>1</v>
      </c>
      <c r="K26" s="7" t="s">
        <v>26</v>
      </c>
      <c r="L26" s="1"/>
      <c r="N26" s="1"/>
      <c r="O26" s="1"/>
      <c r="P26" s="1"/>
      <c r="S26" s="60"/>
      <c r="T26" s="61">
        <f ca="1">IF(K23=$B$98,H23,0)</f>
        <v>2</v>
      </c>
      <c r="U26" s="61">
        <f ca="1">IF(K25=$B$98,H25,0)</f>
        <v>2</v>
      </c>
      <c r="V26" s="61">
        <f ca="1">IF(K28=$B$98,J27,0)</f>
        <v>1</v>
      </c>
      <c r="W26" s="62"/>
      <c r="X26" s="62"/>
      <c r="Y26" s="62"/>
      <c r="Z26" s="62"/>
      <c r="AA26" s="62"/>
      <c r="AB26" s="62"/>
      <c r="AC26" s="62"/>
      <c r="AD26" s="66"/>
      <c r="AE26" s="204"/>
      <c r="AF26" s="217"/>
      <c r="AG26" s="217"/>
      <c r="AH26" s="217"/>
      <c r="AI26" s="217"/>
      <c r="AJ26" s="217"/>
      <c r="AK26" s="217"/>
      <c r="AL26" s="217"/>
      <c r="AM26" s="217"/>
      <c r="AN26" s="217"/>
      <c r="AO26" s="217"/>
      <c r="AP26" s="217"/>
      <c r="AQ26" s="217"/>
      <c r="AR26" s="217"/>
      <c r="AS26" s="217"/>
      <c r="AT26" s="217"/>
      <c r="AV26" s="217"/>
      <c r="AW26" s="2"/>
      <c r="AX26" s="17">
        <f ca="1">IF($CX$97="",IF(OR(Ergebnisse!H26="",Ergebnisse!J26=""),0,IF(AND(H26=Ergebnisse!H26,J26=Ergebnisse!J26),7,MIN(7,(H26-J26=Ergebnisse!H26-Ergebnisse!J26)*4+(AND(H26-J26&lt;&gt;Ergebnisse!H26-Ergebnisse!J26,SIGN(H26-J26)=SIGN(Ergebnisse!H26-Ergebnisse!J26)))*2+(H26=Ergebnisse!H26)+(J26=Ergebnisse!J26)))),INT(RAND()*8))</f>
        <v>1</v>
      </c>
      <c r="AY26" s="17" t="str">
        <f ca="1">IF(Ergebnisse!K26=Ergebnisse!$B$98,Ergebnisse!K26,"")</f>
        <v>ok</v>
      </c>
      <c r="AZ26" s="2"/>
      <c r="BA26" s="2">
        <v>36</v>
      </c>
      <c r="BB26" s="6">
        <f>VLOOKUP(BA26,Spiele!$A$1:$L$116,2,FALSE)</f>
        <v>46193.958333333336</v>
      </c>
      <c r="BC26" s="6" t="str">
        <f>VLOOKUP(BA26,Spiele!$A$1:$L$116,9,FALSE)</f>
        <v>Monterrey</v>
      </c>
      <c r="BD26" s="56" t="str">
        <f>BY25</f>
        <v>Tunesien</v>
      </c>
      <c r="BE26" s="40" t="s">
        <v>24</v>
      </c>
      <c r="BF26" s="56" t="str">
        <f>BY23</f>
        <v>Japan</v>
      </c>
      <c r="BG26" s="53"/>
      <c r="BH26" s="107">
        <f t="shared" ca="1" si="10"/>
        <v>2</v>
      </c>
      <c r="BI26" s="11" t="s">
        <v>25</v>
      </c>
      <c r="BJ26" s="107">
        <f t="shared" ca="1" si="11"/>
        <v>1</v>
      </c>
      <c r="BK26" s="7" t="s">
        <v>26</v>
      </c>
      <c r="BL26" s="1"/>
      <c r="BN26" s="1"/>
      <c r="BO26" s="1"/>
      <c r="BP26" s="1"/>
      <c r="BS26" s="60"/>
      <c r="BT26" s="61">
        <f ca="1">IF(BK23=$B$98,BH23,0)</f>
        <v>2</v>
      </c>
      <c r="BU26" s="61">
        <f ca="1">IF(BK25=$B$98,BH25,0)</f>
        <v>2</v>
      </c>
      <c r="BV26" s="61">
        <f ca="1">IF(BK28=$B$98,BJ27,0)</f>
        <v>1</v>
      </c>
      <c r="BW26" s="1"/>
      <c r="BX26" s="1"/>
      <c r="BY26" s="62"/>
      <c r="BZ26" s="1"/>
      <c r="CA26" s="1"/>
      <c r="CB26" s="1"/>
      <c r="CC26" s="1"/>
      <c r="CD26" s="5"/>
      <c r="CE26" s="7"/>
      <c r="CF26" s="218"/>
      <c r="CG26" s="218"/>
      <c r="CH26" s="218"/>
      <c r="CI26" s="218"/>
      <c r="CJ26" s="218"/>
      <c r="CK26" s="218"/>
      <c r="CL26" s="218"/>
      <c r="CM26" s="218"/>
      <c r="CN26" s="218"/>
      <c r="CO26" s="218"/>
      <c r="CP26" s="218"/>
      <c r="CQ26" s="218"/>
      <c r="CR26" s="218"/>
      <c r="CS26" s="218"/>
      <c r="CT26" s="218"/>
      <c r="CV26" s="218"/>
      <c r="CX26" s="17">
        <f ca="1">IF($CX$97="",IF(OR(Ergebnisse!BH26="",Ergebnisse!BJ26=""),0,IF(AND(BH26=Ergebnisse!BH26,BJ26=Ergebnisse!BJ26),7,MIN(7,(BH26-BJ26=Ergebnisse!BH26-Ergebnisse!BJ26)*4+(AND(BH26-BJ26&lt;&gt;Ergebnisse!BH26-Ergebnisse!BJ26,SIGN(BH26-BJ26)=SIGN(Ergebnisse!BH26-Ergebnisse!BJ26)))*2+(BH26=Ergebnisse!BH26)+(BJ26=Ergebnisse!BJ26)))),INT(RAND()*8))</f>
        <v>4</v>
      </c>
      <c r="CY26" s="17" t="str">
        <f ca="1">IF(Ergebnisse!BK26=Ergebnisse!$B$98,Ergebnisse!BK26,"")</f>
        <v>ok</v>
      </c>
      <c r="DA26" s="167" t="s">
        <v>126</v>
      </c>
      <c r="DB26" s="164">
        <v>3</v>
      </c>
    </row>
    <row r="27" spans="1:106">
      <c r="A27" s="2">
        <v>49</v>
      </c>
      <c r="B27" s="6">
        <f>VLOOKUP(A27,Spiele!$A$1:$L$116,2,FALSE)</f>
        <v>46197.75</v>
      </c>
      <c r="C27" s="6" t="str">
        <f>VLOOKUP(A27,Spiele!$A$1:$L$116,9,FALSE)</f>
        <v>Miami</v>
      </c>
      <c r="D27" s="56" t="str">
        <f>Y25</f>
        <v>Schottland</v>
      </c>
      <c r="E27" s="40" t="s">
        <v>24</v>
      </c>
      <c r="F27" s="56" t="str">
        <f>Y22</f>
        <v>Brasilien</v>
      </c>
      <c r="G27" s="55"/>
      <c r="H27" s="107">
        <f t="shared" ca="1" si="8"/>
        <v>2</v>
      </c>
      <c r="I27" s="11" t="s">
        <v>25</v>
      </c>
      <c r="J27" s="107">
        <f t="shared" ca="1" si="9"/>
        <v>1</v>
      </c>
      <c r="K27" s="7" t="s">
        <v>26</v>
      </c>
      <c r="M27" s="38" t="str">
        <f ca="1">IF(N22&gt;0,M22,"")</f>
        <v>Schottland</v>
      </c>
      <c r="N27" s="2" t="s">
        <v>38</v>
      </c>
      <c r="P27" s="29"/>
      <c r="S27" s="61">
        <f ca="1">IF(K23=$B$98,J23,0)</f>
        <v>1</v>
      </c>
      <c r="T27" s="60"/>
      <c r="U27" s="61">
        <f ca="1">IF(K27=$B$98,H28,0)</f>
        <v>2</v>
      </c>
      <c r="V27" s="61">
        <f ca="1">IF(K26=$B$98,J26,0)</f>
        <v>1</v>
      </c>
      <c r="AD27" s="55" t="s">
        <v>140</v>
      </c>
      <c r="AE27" s="108"/>
      <c r="AF27" s="219"/>
      <c r="AG27" s="219"/>
      <c r="AH27" s="219"/>
      <c r="AI27" s="219"/>
      <c r="AJ27" s="219"/>
      <c r="AK27" s="219"/>
      <c r="AL27" s="219"/>
      <c r="AM27" s="219"/>
      <c r="AN27" s="219"/>
      <c r="AO27" s="219"/>
      <c r="AP27" s="219"/>
      <c r="AQ27" s="219"/>
      <c r="AR27" s="219"/>
      <c r="AS27" s="219"/>
      <c r="AT27" s="219"/>
      <c r="AV27" s="219"/>
      <c r="AW27" s="2"/>
      <c r="AX27" s="17">
        <f ca="1">IF($CX$97="",IF(OR(Ergebnisse!H27="",Ergebnisse!J27=""),0,IF(AND(H27=Ergebnisse!H27,J27=Ergebnisse!J27),7,MIN(7,(H27-J27=Ergebnisse!H27-Ergebnisse!J27)*4+(AND(H27-J27&lt;&gt;Ergebnisse!H27-Ergebnisse!J27,SIGN(H27-J27)=SIGN(Ergebnisse!H27-Ergebnisse!J27)))*2+(H27=Ergebnisse!H27)+(J27=Ergebnisse!J27)))),INT(RAND()*8))</f>
        <v>7</v>
      </c>
      <c r="AY27" s="17" t="str">
        <f ca="1">IF(Ergebnisse!K27=Ergebnisse!$B$98,Ergebnisse!K27,"")</f>
        <v>ok</v>
      </c>
      <c r="AZ27" s="2"/>
      <c r="BA27" s="2">
        <v>55</v>
      </c>
      <c r="BB27" s="6">
        <f>VLOOKUP(BA27,Spiele!$A$1:$L$116,2,FALSE)</f>
        <v>46198.666666666664</v>
      </c>
      <c r="BC27" s="6" t="str">
        <f>VLOOKUP(BA27,Spiele!$A$1:$L$116,9,FALSE)</f>
        <v>Philadelphia</v>
      </c>
      <c r="BD27" s="56" t="str">
        <f>BY25</f>
        <v>Tunesien</v>
      </c>
      <c r="BE27" s="40" t="s">
        <v>24</v>
      </c>
      <c r="BF27" s="56" t="str">
        <f>BY22</f>
        <v>Niederlande</v>
      </c>
      <c r="BG27" s="55"/>
      <c r="BH27" s="107">
        <f t="shared" ca="1" si="10"/>
        <v>2</v>
      </c>
      <c r="BI27" s="11" t="s">
        <v>25</v>
      </c>
      <c r="BJ27" s="107">
        <f t="shared" ca="1" si="11"/>
        <v>1</v>
      </c>
      <c r="BK27" s="7" t="s">
        <v>26</v>
      </c>
      <c r="BM27" s="223" t="str">
        <f ca="1">IF(BN22&gt;0,BM22,"")</f>
        <v>Tunesien</v>
      </c>
      <c r="BN27" s="2" t="s">
        <v>34</v>
      </c>
      <c r="BP27" s="29"/>
      <c r="BS27" s="61">
        <f ca="1">IF(BK23=$B$98,BJ23,0)</f>
        <v>1</v>
      </c>
      <c r="BT27" s="60"/>
      <c r="BU27" s="61">
        <f ca="1">IF(BK27=$B$98,BH28,0)</f>
        <v>2</v>
      </c>
      <c r="BV27" s="61">
        <f ca="1">IF(BK26=$B$98,BJ26,0)</f>
        <v>1</v>
      </c>
      <c r="CD27" s="2" t="s">
        <v>140</v>
      </c>
      <c r="CE27" s="8"/>
      <c r="CF27" s="220"/>
      <c r="CG27" s="220"/>
      <c r="CH27" s="220"/>
      <c r="CI27" s="220"/>
      <c r="CJ27" s="220"/>
      <c r="CK27" s="220"/>
      <c r="CL27" s="220"/>
      <c r="CM27" s="220"/>
      <c r="CN27" s="220"/>
      <c r="CO27" s="220"/>
      <c r="CP27" s="220"/>
      <c r="CQ27" s="220"/>
      <c r="CR27" s="220"/>
      <c r="CS27" s="220"/>
      <c r="CT27" s="220"/>
      <c r="CV27" s="220"/>
      <c r="CX27" s="17">
        <f ca="1">IF($CX$97="",IF(OR(Ergebnisse!BH27="",Ergebnisse!BJ27=""),0,IF(AND(BH27=Ergebnisse!BH27,BJ27=Ergebnisse!BJ27),7,MIN(7,(BH27-BJ27=Ergebnisse!BH27-Ergebnisse!BJ27)*4+(AND(BH27-BJ27&lt;&gt;Ergebnisse!BH27-Ergebnisse!BJ27,SIGN(BH27-BJ27)=SIGN(Ergebnisse!BH27-Ergebnisse!BJ27)))*2+(BH27=Ergebnisse!BH27)+(BJ27=Ergebnisse!BJ27)))),INT(RAND()*8))</f>
        <v>7</v>
      </c>
      <c r="CY27" s="17" t="str">
        <f ca="1">IF(Ergebnisse!BK27=Ergebnisse!$B$98,Ergebnisse!BK27,"")</f>
        <v>ok</v>
      </c>
      <c r="DA27" s="167" t="s">
        <v>122</v>
      </c>
      <c r="DB27" s="164">
        <v>1</v>
      </c>
    </row>
    <row r="28" spans="1:106">
      <c r="A28" s="2">
        <v>50</v>
      </c>
      <c r="B28" s="6">
        <f>VLOOKUP(A28,Spiele!$A$1:$L$116,2,FALSE)</f>
        <v>46197.75</v>
      </c>
      <c r="C28" s="6" t="str">
        <f>VLOOKUP(A28,Spiele!$A$1:$L$116,9,FALSE)</f>
        <v>Atlanta</v>
      </c>
      <c r="D28" s="56" t="str">
        <f>Y23</f>
        <v>Marokko</v>
      </c>
      <c r="E28" s="40" t="s">
        <v>24</v>
      </c>
      <c r="F28" s="56" t="str">
        <f>Y24</f>
        <v>Haiti</v>
      </c>
      <c r="G28" s="55"/>
      <c r="H28" s="107">
        <f t="shared" ca="1" si="8"/>
        <v>2</v>
      </c>
      <c r="I28" s="11" t="s">
        <v>25</v>
      </c>
      <c r="J28" s="107">
        <f t="shared" ca="1" si="9"/>
        <v>1</v>
      </c>
      <c r="K28" s="7" t="s">
        <v>26</v>
      </c>
      <c r="M28" s="38" t="str">
        <f ca="1">IF(N23&gt;0,M23,"")</f>
        <v>Brasilien</v>
      </c>
      <c r="N28" s="2" t="s">
        <v>39</v>
      </c>
      <c r="O28" s="30"/>
      <c r="P28" s="205" t="s">
        <v>11</v>
      </c>
      <c r="S28" s="61">
        <f ca="1">IF(K25=$B$98,J25,0)</f>
        <v>1</v>
      </c>
      <c r="T28" s="61">
        <f ca="1">IF(K27=$B$98,J28,0)</f>
        <v>1</v>
      </c>
      <c r="U28" s="60"/>
      <c r="V28" s="61">
        <f ca="1">IF(K24=$B$98,H24,0)</f>
        <v>2</v>
      </c>
      <c r="AD28" s="55" t="s">
        <v>141</v>
      </c>
      <c r="AE28" s="108"/>
      <c r="AF28" s="219"/>
      <c r="AG28" s="219"/>
      <c r="AH28" s="219"/>
      <c r="AI28" s="219"/>
      <c r="AJ28" s="219"/>
      <c r="AK28" s="219"/>
      <c r="AL28" s="219"/>
      <c r="AM28" s="219"/>
      <c r="AN28" s="219"/>
      <c r="AO28" s="219"/>
      <c r="AP28" s="219"/>
      <c r="AQ28" s="219"/>
      <c r="AR28" s="219"/>
      <c r="AS28" s="219"/>
      <c r="AT28" s="219"/>
      <c r="AV28" s="219"/>
      <c r="AW28" s="2"/>
      <c r="AX28" s="17">
        <f ca="1">IF($CX$97="",IF(OR(Ergebnisse!H28="",Ergebnisse!J28=""),0,IF(AND(H28=Ergebnisse!H28,J28=Ergebnisse!J28),7,MIN(7,(H28-J28=Ergebnisse!H28-Ergebnisse!J28)*4+(AND(H28-J28&lt;&gt;Ergebnisse!H28-Ergebnisse!J28,SIGN(H28-J28)=SIGN(Ergebnisse!H28-Ergebnisse!J28)))*2+(H28=Ergebnisse!H28)+(J28=Ergebnisse!J28)))),INT(RAND()*8))</f>
        <v>1</v>
      </c>
      <c r="AY28" s="17" t="str">
        <f ca="1">IF(Ergebnisse!K28=Ergebnisse!$B$98,Ergebnisse!K28,"")</f>
        <v>ok</v>
      </c>
      <c r="AZ28" s="2"/>
      <c r="BA28" s="2">
        <v>56</v>
      </c>
      <c r="BB28" s="6">
        <f>VLOOKUP(BA28,Spiele!$A$1:$L$116,2,FALSE)</f>
        <v>46198.666666666664</v>
      </c>
      <c r="BC28" s="6" t="str">
        <f>VLOOKUP(BA28,Spiele!$A$1:$L$116,9,FALSE)</f>
        <v>New York</v>
      </c>
      <c r="BD28" s="56" t="str">
        <f>BY23</f>
        <v>Japan</v>
      </c>
      <c r="BE28" s="40" t="s">
        <v>24</v>
      </c>
      <c r="BF28" s="56" t="str">
        <f>BY24</f>
        <v>Schweden</v>
      </c>
      <c r="BG28" s="55"/>
      <c r="BH28" s="107">
        <f t="shared" ca="1" si="10"/>
        <v>2</v>
      </c>
      <c r="BI28" s="11" t="s">
        <v>25</v>
      </c>
      <c r="BJ28" s="107">
        <f t="shared" ca="1" si="11"/>
        <v>1</v>
      </c>
      <c r="BK28" s="7" t="s">
        <v>26</v>
      </c>
      <c r="BM28" s="223" t="str">
        <f ca="1">IF(BN23&gt;0,BM23,"")</f>
        <v>Niederlande</v>
      </c>
      <c r="BN28" s="2" t="s">
        <v>36</v>
      </c>
      <c r="BO28" s="30"/>
      <c r="BP28" s="205" t="s">
        <v>11</v>
      </c>
      <c r="BS28" s="61">
        <f ca="1">IF(BK25=$B$98,BJ25,0)</f>
        <v>1</v>
      </c>
      <c r="BT28" s="61">
        <f ca="1">IF(BK27=$B$98,BJ28,0)</f>
        <v>1</v>
      </c>
      <c r="BU28" s="60"/>
      <c r="BV28" s="61">
        <f ca="1">IF(BK24=$B$98,BH24,0)</f>
        <v>2</v>
      </c>
      <c r="CD28" s="2" t="s">
        <v>141</v>
      </c>
      <c r="CE28" s="8"/>
      <c r="CF28" s="220"/>
      <c r="CG28" s="220"/>
      <c r="CH28" s="220"/>
      <c r="CI28" s="220"/>
      <c r="CJ28" s="220"/>
      <c r="CK28" s="220"/>
      <c r="CL28" s="220"/>
      <c r="CM28" s="220"/>
      <c r="CN28" s="220"/>
      <c r="CO28" s="220"/>
      <c r="CP28" s="220"/>
      <c r="CQ28" s="220"/>
      <c r="CR28" s="220"/>
      <c r="CS28" s="220"/>
      <c r="CT28" s="220"/>
      <c r="CV28" s="220"/>
      <c r="CX28" s="17">
        <f ca="1">IF($CX$97="",IF(OR(Ergebnisse!BH28="",Ergebnisse!BJ28=""),0,IF(AND(BH28=Ergebnisse!BH28,BJ28=Ergebnisse!BJ28),7,MIN(7,(BH28-BJ28=Ergebnisse!BH28-Ergebnisse!BJ28)*4+(AND(BH28-BJ28&lt;&gt;Ergebnisse!BH28-Ergebnisse!BJ28,SIGN(BH28-BJ28)=SIGN(Ergebnisse!BH28-Ergebnisse!BJ28)))*2+(BH28=Ergebnisse!BH28)+(BJ28=Ergebnisse!BJ28)))),INT(RAND()*8))</f>
        <v>0</v>
      </c>
      <c r="CY28" s="17" t="str">
        <f ca="1">IF(Ergebnisse!BK28=Ergebnisse!$B$98,Ergebnisse!BK28,"")</f>
        <v>ok</v>
      </c>
      <c r="DA28" s="171" t="s">
        <v>83</v>
      </c>
      <c r="DB28" s="270">
        <v>7</v>
      </c>
    </row>
    <row r="29" spans="1:106">
      <c r="D29" s="55"/>
      <c r="E29" s="55"/>
      <c r="G29" s="55"/>
      <c r="M29" s="38" t="str">
        <f ca="1">IF(N24&gt;0,M24,"")</f>
        <v>Marokko</v>
      </c>
      <c r="N29" s="2" t="s">
        <v>145</v>
      </c>
      <c r="S29" s="61">
        <f ca="1">IF(K28=$B$98,H27,0)</f>
        <v>2</v>
      </c>
      <c r="T29" s="61">
        <f ca="1">IF(K26=$B$98,H26,0)</f>
        <v>2</v>
      </c>
      <c r="U29" s="61">
        <f ca="1">IF(K24=$B$98,J24,0)</f>
        <v>1</v>
      </c>
      <c r="V29" s="60"/>
      <c r="AD29" s="55" t="s">
        <v>143</v>
      </c>
      <c r="AE29" s="108"/>
      <c r="AF29" s="219"/>
      <c r="AG29" s="219"/>
      <c r="AH29" s="219"/>
      <c r="AI29" s="219"/>
      <c r="AJ29" s="219"/>
      <c r="AK29" s="219"/>
      <c r="AL29" s="219"/>
      <c r="AM29" s="219"/>
      <c r="AN29" s="219"/>
      <c r="AO29" s="219"/>
      <c r="AP29" s="219"/>
      <c r="AQ29" s="219"/>
      <c r="AR29" s="219"/>
      <c r="AS29" s="219"/>
      <c r="AT29" s="219"/>
      <c r="AV29" s="219"/>
      <c r="AW29" s="2"/>
      <c r="AX29" s="27">
        <f ca="1">IF($CX$97="",2*COUNTIF(Ergebnisse!$D$63:'Ergebnisse'!$F$78,M29),2*INT(RAND()*2))</f>
        <v>0</v>
      </c>
      <c r="AY29" s="17" t="str">
        <f ca="1">IF(COUNTIF(Ergebnisse!K23:'Ergebnisse'!K28,Ergebnisse!$B$98)=6,"ok","")</f>
        <v>ok</v>
      </c>
      <c r="AZ29" s="2"/>
      <c r="BE29" s="55"/>
      <c r="BF29" s="55"/>
      <c r="BG29" s="55"/>
      <c r="BM29" s="223" t="str">
        <f ca="1">IF(BN24&gt;0,BM24,"")</f>
        <v>Japan</v>
      </c>
      <c r="BN29" s="2" t="s">
        <v>152</v>
      </c>
      <c r="BS29" s="61">
        <f ca="1">IF(BK28=$B$98,BH27,0)</f>
        <v>2</v>
      </c>
      <c r="BT29" s="61">
        <f ca="1">IF(BK26=$B$98,BH26,0)</f>
        <v>2</v>
      </c>
      <c r="BU29" s="61">
        <f ca="1">IF(BK24=$B$98,BJ24,0)</f>
        <v>1</v>
      </c>
      <c r="BV29" s="60"/>
      <c r="CD29" s="2" t="s">
        <v>143</v>
      </c>
      <c r="CE29" s="8"/>
      <c r="CF29" s="220"/>
      <c r="CG29" s="220"/>
      <c r="CH29" s="220"/>
      <c r="CI29" s="220"/>
      <c r="CJ29" s="220"/>
      <c r="CK29" s="220"/>
      <c r="CL29" s="220"/>
      <c r="CM29" s="220"/>
      <c r="CN29" s="220"/>
      <c r="CO29" s="220"/>
      <c r="CP29" s="220"/>
      <c r="CQ29" s="220"/>
      <c r="CR29" s="220"/>
      <c r="CS29" s="220"/>
      <c r="CT29" s="220"/>
      <c r="CV29" s="220"/>
      <c r="CX29" s="221">
        <f ca="1">IF($CX$97="",2*COUNTIF(Ergebnisse!$D$63:'Ergebnisse'!$F$78,BM29),2*INT(RAND()*2))</f>
        <v>0</v>
      </c>
      <c r="CY29" s="17" t="str">
        <f ca="1">IF(COUNTIF(Ergebnisse!BK23:'Ergebnisse'!BK28,Ergebnisse!$B$98)=6,"ok","")</f>
        <v>ok</v>
      </c>
      <c r="DA29" s="168" t="s">
        <v>76</v>
      </c>
      <c r="DB29" s="169">
        <v>4</v>
      </c>
    </row>
    <row r="30" spans="1:106" ht="6" customHeight="1">
      <c r="D30" s="55"/>
      <c r="E30" s="58"/>
      <c r="F30" s="59"/>
      <c r="G30" s="59"/>
      <c r="H30" s="55"/>
      <c r="I30" s="55"/>
      <c r="J30" s="55"/>
      <c r="AE30" s="108"/>
      <c r="AF30" s="219"/>
      <c r="AG30" s="219"/>
      <c r="AH30" s="219"/>
      <c r="AI30" s="219"/>
      <c r="AJ30" s="219"/>
      <c r="AK30" s="219"/>
      <c r="AL30" s="219"/>
      <c r="AM30" s="219"/>
      <c r="AN30" s="219"/>
      <c r="AO30" s="219"/>
      <c r="AP30" s="219"/>
      <c r="AQ30" s="219"/>
      <c r="AR30" s="219"/>
      <c r="AS30" s="219"/>
      <c r="AT30" s="219"/>
      <c r="AV30" s="219"/>
      <c r="AW30" s="2"/>
      <c r="AX30" s="17"/>
      <c r="AZ30" s="2"/>
      <c r="BD30" s="55"/>
      <c r="BE30" s="58"/>
      <c r="BF30" s="59"/>
      <c r="BG30" s="59"/>
      <c r="BH30" s="55"/>
      <c r="BI30" s="55"/>
      <c r="BJ30" s="55"/>
      <c r="BS30" s="55"/>
      <c r="BT30" s="55"/>
      <c r="BU30" s="55"/>
      <c r="BV30" s="55"/>
      <c r="CE30" s="8"/>
      <c r="CF30" s="220"/>
      <c r="CG30" s="220"/>
      <c r="CH30" s="220"/>
      <c r="CI30" s="220"/>
      <c r="CJ30" s="220"/>
      <c r="CK30" s="220"/>
      <c r="CL30" s="220"/>
      <c r="CM30" s="220"/>
      <c r="CN30" s="220"/>
      <c r="CO30" s="220"/>
      <c r="CP30" s="220"/>
      <c r="CQ30" s="220"/>
      <c r="CR30" s="220"/>
      <c r="CS30" s="220"/>
      <c r="CT30" s="220"/>
      <c r="CV30" s="220"/>
      <c r="DA30" s="163"/>
      <c r="DB30" s="164"/>
    </row>
    <row r="31" spans="1:106">
      <c r="A31" s="10"/>
      <c r="B31" s="224" t="s">
        <v>0</v>
      </c>
      <c r="C31" s="225" t="s">
        <v>219</v>
      </c>
      <c r="D31" s="17" t="s">
        <v>2</v>
      </c>
      <c r="E31" s="14"/>
      <c r="F31" s="17"/>
      <c r="G31" s="17"/>
      <c r="H31" s="17"/>
      <c r="I31" s="19"/>
      <c r="J31" s="20"/>
      <c r="K31" s="180"/>
      <c r="L31" s="17"/>
      <c r="M31" s="35" t="s">
        <v>3</v>
      </c>
      <c r="N31" s="17" t="s">
        <v>4</v>
      </c>
      <c r="O31" s="17" t="s">
        <v>5</v>
      </c>
      <c r="P31" s="17" t="s">
        <v>6</v>
      </c>
      <c r="Q31" s="17" t="s">
        <v>7</v>
      </c>
      <c r="R31" s="17"/>
      <c r="W31" s="53"/>
      <c r="X31" s="53" t="s">
        <v>8</v>
      </c>
      <c r="Y31" s="56" t="s">
        <v>9</v>
      </c>
      <c r="Z31" s="53" t="s">
        <v>4</v>
      </c>
      <c r="AA31" s="53" t="s">
        <v>5</v>
      </c>
      <c r="AB31" s="53" t="s">
        <v>6</v>
      </c>
      <c r="AC31" s="53" t="s">
        <v>7</v>
      </c>
      <c r="AD31" s="53"/>
      <c r="AE31" s="19" t="s">
        <v>10</v>
      </c>
      <c r="AF31" s="40" t="s">
        <v>11</v>
      </c>
      <c r="AG31" s="40"/>
      <c r="AH31" s="40"/>
      <c r="AI31" s="40"/>
      <c r="AJ31" s="40" t="s">
        <v>12</v>
      </c>
      <c r="AK31" s="56" t="s">
        <v>13</v>
      </c>
      <c r="AL31" s="40" t="s">
        <v>14</v>
      </c>
      <c r="AM31" s="40"/>
      <c r="AN31" s="40"/>
      <c r="AO31" s="40"/>
      <c r="AP31" s="40" t="s">
        <v>15</v>
      </c>
      <c r="AQ31" s="40" t="s">
        <v>16</v>
      </c>
      <c r="AR31" s="40"/>
      <c r="AS31" s="40"/>
      <c r="AT31" s="40"/>
      <c r="AU31" s="58" t="s">
        <v>17</v>
      </c>
      <c r="AV31" s="56" t="s">
        <v>18</v>
      </c>
      <c r="AW31" s="10"/>
      <c r="AX31" s="224">
        <f ca="1">IF($CX$97="",2*COUNTIF(Ergebnisse!$D$63:'Ergebnisse'!$F$78,M37),2*INT(RAND()*2))</f>
        <v>2</v>
      </c>
      <c r="AY31" s="17" t="str">
        <f ca="1">IF(COUNTIF(Ergebnisse!K33:'Ergebnisse'!K38,Ergebnisse!$B$98)=6,"ok","")</f>
        <v>ok</v>
      </c>
      <c r="AZ31" s="10"/>
      <c r="BA31" s="10"/>
      <c r="BB31" s="226" t="s">
        <v>0</v>
      </c>
      <c r="BC31" s="227" t="s">
        <v>220</v>
      </c>
      <c r="BD31" s="17" t="s">
        <v>2</v>
      </c>
      <c r="BE31" s="14"/>
      <c r="BF31" s="17"/>
      <c r="BG31" s="17"/>
      <c r="BH31" s="17"/>
      <c r="BI31" s="19"/>
      <c r="BJ31" s="20"/>
      <c r="BK31" s="180"/>
      <c r="BL31" s="17"/>
      <c r="BM31" s="35" t="s">
        <v>3</v>
      </c>
      <c r="BN31" s="17" t="s">
        <v>4</v>
      </c>
      <c r="BO31" s="17" t="s">
        <v>5</v>
      </c>
      <c r="BP31" s="17" t="s">
        <v>6</v>
      </c>
      <c r="BQ31" s="17" t="s">
        <v>7</v>
      </c>
      <c r="BR31" s="17"/>
      <c r="BW31" s="17"/>
      <c r="BX31" s="17" t="s">
        <v>8</v>
      </c>
      <c r="BY31" s="56" t="s">
        <v>9</v>
      </c>
      <c r="BZ31" s="17" t="s">
        <v>4</v>
      </c>
      <c r="CA31" s="17" t="s">
        <v>5</v>
      </c>
      <c r="CB31" s="17" t="s">
        <v>6</v>
      </c>
      <c r="CC31" s="17" t="s">
        <v>7</v>
      </c>
      <c r="CD31" s="17"/>
      <c r="CE31" s="180" t="s">
        <v>10</v>
      </c>
      <c r="CF31" s="15" t="s">
        <v>11</v>
      </c>
      <c r="CG31" s="15"/>
      <c r="CH31" s="15"/>
      <c r="CI31" s="15"/>
      <c r="CJ31" s="15" t="s">
        <v>12</v>
      </c>
      <c r="CK31" s="21" t="s">
        <v>13</v>
      </c>
      <c r="CL31" s="15" t="s">
        <v>14</v>
      </c>
      <c r="CM31" s="15"/>
      <c r="CN31" s="15"/>
      <c r="CO31" s="15"/>
      <c r="CP31" s="15" t="s">
        <v>15</v>
      </c>
      <c r="CQ31" s="15" t="s">
        <v>16</v>
      </c>
      <c r="CR31" s="15"/>
      <c r="CS31" s="15"/>
      <c r="CT31" s="15"/>
      <c r="CU31" s="16" t="s">
        <v>17</v>
      </c>
      <c r="CV31" s="21" t="s">
        <v>18</v>
      </c>
      <c r="CW31" s="10"/>
      <c r="CX31" s="226">
        <f ca="1">IF($CX$97="",2*COUNTIF(Ergebnisse!$D$63:'Ergebnisse'!$F$78,BM37),2*INT(RAND()*2))</f>
        <v>0</v>
      </c>
      <c r="CY31" s="17" t="str">
        <f ca="1">IF(COUNTIF(Ergebnisse!BK33:'Ergebnisse'!BK38,Ergebnisse!$B$98)=6,"ok","")</f>
        <v>ok</v>
      </c>
      <c r="CZ31" s="10"/>
    </row>
    <row r="32" spans="1:106">
      <c r="B32" s="3" t="s">
        <v>22</v>
      </c>
      <c r="C32" s="3" t="s">
        <v>23</v>
      </c>
      <c r="L32" s="1"/>
      <c r="M32" s="9" t="str">
        <f ca="1">VLOOKUP(1,$X$32:$AC$35,2,FALSE)</f>
        <v>Neuseeland</v>
      </c>
      <c r="N32" s="2">
        <f ca="1">VLOOKUP(1,$X$32:$AC$35,3,FALSE)</f>
        <v>6</v>
      </c>
      <c r="O32" s="2">
        <f ca="1">VLOOKUP(1,$X$32:$AC$35,4,FALSE)</f>
        <v>5</v>
      </c>
      <c r="P32" s="2">
        <f ca="1">VLOOKUP(1,$X$32:$AC$35,5,FALSE)</f>
        <v>4</v>
      </c>
      <c r="Q32" s="2">
        <f ca="1">VLOOKUP(1,$X$32:$AC$35,6,FALSE)</f>
        <v>1</v>
      </c>
      <c r="S32" s="60"/>
      <c r="T32" s="61">
        <f ca="1">IF(H33="",0,IF(K33=$B$98,IF(H33&gt;J33,3,IF(H33=J33,1,0)),0))</f>
        <v>3</v>
      </c>
      <c r="U32" s="61">
        <f ca="1">IF(H35="",0,IF(K35=$B$98,IF(H35&gt;J35,3,IF(H35=J35,1,0)),0))</f>
        <v>3</v>
      </c>
      <c r="V32" s="61">
        <f ca="1">IF(J37="",0,IF(K38=$B$98,IF(H37&lt;J37,3,IF(H37=J37,1,0)),0))</f>
        <v>0</v>
      </c>
      <c r="W32" s="62"/>
      <c r="X32" s="62">
        <f ca="1">RANK(AD32,$AD$32:$AD$35)</f>
        <v>2</v>
      </c>
      <c r="Y32" s="40" t="s">
        <v>186</v>
      </c>
      <c r="Z32" s="62">
        <f ca="1">SUM(S32:V32)</f>
        <v>6</v>
      </c>
      <c r="AA32" s="62">
        <f ca="1">SUM(S36:V36)</f>
        <v>5</v>
      </c>
      <c r="AB32" s="62">
        <f ca="1">SUM(S36:S39)</f>
        <v>4</v>
      </c>
      <c r="AC32" s="62">
        <f ca="1">AA32-AB32</f>
        <v>1</v>
      </c>
      <c r="AD32" s="24">
        <f ca="1">IF(P$8="",(((((((AE32*10+Z32)*100+AC32)*100+AA32)*10+AK32)*10+AJ32)*100+AP32)*100+AU32)*10+AV32,(((((((AE32*10+Z32)*10+AK32)*10+AJ32)*100+AP32)*100+AU32)*100+AC32)*100+AA32)*10+AV32)</f>
        <v>596990101054</v>
      </c>
      <c r="AE32" s="203"/>
      <c r="AF32" s="217"/>
      <c r="AG32" s="217">
        <f ca="1">IF($Z32=$Z33,$T32-$S33,0)</f>
        <v>0</v>
      </c>
      <c r="AH32" s="217">
        <f ca="1">IF($Z32=$Z34,$U32-$S34,0)</f>
        <v>0</v>
      </c>
      <c r="AI32" s="217">
        <f ca="1">IF($Z32=$Z35,$V32-$S35,0)</f>
        <v>-3</v>
      </c>
      <c r="AJ32" s="217">
        <f ca="1">SUM(AF32:AI32)</f>
        <v>-3</v>
      </c>
      <c r="AK32" s="203"/>
      <c r="AL32" s="217"/>
      <c r="AM32" s="217">
        <f ca="1">IF($Z32=$Z33,$T36-$S37,0)</f>
        <v>0</v>
      </c>
      <c r="AN32" s="217">
        <f ca="1">IF($Z32=$Z34,$U36-$S38,0)</f>
        <v>0</v>
      </c>
      <c r="AO32" s="217">
        <f ca="1">IF($Z32=$Z35,$V36-$S39,0)</f>
        <v>-1</v>
      </c>
      <c r="AP32" s="217">
        <f ca="1">SUM(AL32:AO32)</f>
        <v>-1</v>
      </c>
      <c r="AQ32" s="217"/>
      <c r="AR32" s="217">
        <f ca="1">IF($Z32=$Z33,$T36,0)</f>
        <v>0</v>
      </c>
      <c r="AS32" s="217">
        <f ca="1">IF($Z32=$Z34,$U36,0)</f>
        <v>0</v>
      </c>
      <c r="AT32" s="217">
        <f ca="1">IF($Z32=$Z35,$V36,0)</f>
        <v>1</v>
      </c>
      <c r="AU32" s="217">
        <f ca="1">SUM(AQ32:AT32)</f>
        <v>1</v>
      </c>
      <c r="AV32" s="203">
        <v>4</v>
      </c>
      <c r="AW32" s="2"/>
      <c r="AX32" s="224">
        <f ca="1">IF($CX$97="",2*COUNTIF(Ergebnisse!$D$63:'Ergebnisse'!$F$78,M38),2*INT(RAND()*2))</f>
        <v>2</v>
      </c>
      <c r="AY32" s="17" t="str">
        <f ca="1">IF(COUNTIF(Ergebnisse!K33:'Ergebnisse'!K38,Ergebnisse!$B$98)=6,"ok","")</f>
        <v>ok</v>
      </c>
      <c r="AZ32" s="2"/>
      <c r="BB32" s="3" t="s">
        <v>22</v>
      </c>
      <c r="BC32" s="3" t="s">
        <v>23</v>
      </c>
      <c r="BL32" s="1"/>
      <c r="BM32" s="9" t="str">
        <f ca="1">VLOOKUP(1,$BX$32:$CC$35,2,FALSE)</f>
        <v>Jordanien</v>
      </c>
      <c r="BN32" s="2">
        <f ca="1">VLOOKUP(1,$BX$32:$CC$35,3,FALSE)</f>
        <v>6</v>
      </c>
      <c r="BO32" s="2">
        <f ca="1">VLOOKUP(1,$BX$32:$CC$35,4,FALSE)</f>
        <v>5</v>
      </c>
      <c r="BP32" s="2">
        <f ca="1">VLOOKUP(1,$BX$32:$CC$35,5,FALSE)</f>
        <v>4</v>
      </c>
      <c r="BQ32" s="2">
        <f ca="1">VLOOKUP(1,$BX$32:$CC$35,6,FALSE)</f>
        <v>1</v>
      </c>
      <c r="BS32" s="60"/>
      <c r="BT32" s="61">
        <f ca="1">IF(BH33="",0,IF(BK33=$B$98,IF(BH33&gt;BJ33,3,IF(BH33=BJ33,1,0)),0))</f>
        <v>3</v>
      </c>
      <c r="BU32" s="61">
        <f ca="1">IF(BH35="",0,IF(BK35=$B$98,IF(BH35&gt;BJ35,3,IF(BH35=BJ35,1,0)),0))</f>
        <v>3</v>
      </c>
      <c r="BV32" s="61">
        <f ca="1">IF(BJ37="",0,IF(BK38=$B$98,IF(BH37&lt;BJ37,3,IF(BH37=BJ37,1,0)),0))</f>
        <v>0</v>
      </c>
      <c r="BW32" s="1"/>
      <c r="BX32" s="1">
        <f ca="1">RANK(CD32,$CD$32:$CD$35)</f>
        <v>2</v>
      </c>
      <c r="BY32" s="40" t="s">
        <v>221</v>
      </c>
      <c r="BZ32" s="1">
        <f ca="1">SUM(BS32:BV32)</f>
        <v>6</v>
      </c>
      <c r="CA32" s="1">
        <f ca="1">SUM(BS36:BV36)</f>
        <v>5</v>
      </c>
      <c r="CB32" s="1">
        <f ca="1">SUM(BS36:BS39)</f>
        <v>4</v>
      </c>
      <c r="CC32" s="1">
        <f ca="1">CA32-CB32</f>
        <v>1</v>
      </c>
      <c r="CD32" s="24">
        <f ca="1">IF(BP$8="",(((((((CE32*10+BZ32)*100+CC32)*100+CA32)*10+CK32)*10+CJ32)*100+CP32)*100+CU32)*10+CV32,(((((((CE32*10+BZ32)*10+CK32)*10+CJ32)*100+CP32)*100+CU32)*100+CC32)*100+CA32)*10+CV32)</f>
        <v>596990101054</v>
      </c>
      <c r="CE32" s="207"/>
      <c r="CF32" s="218"/>
      <c r="CG32" s="218">
        <f ca="1">IF($BZ32=$BZ33,$BT32-$BS33,0)</f>
        <v>0</v>
      </c>
      <c r="CH32" s="218">
        <f ca="1">IF($BZ32=$BZ34,$BU32-$BS34,0)</f>
        <v>0</v>
      </c>
      <c r="CI32" s="218">
        <f ca="1">IF($BZ32=$BZ35,$BV32-$BS35,0)</f>
        <v>-3</v>
      </c>
      <c r="CJ32" s="218">
        <f ca="1">SUM(CF32:CI32)</f>
        <v>-3</v>
      </c>
      <c r="CK32" s="207"/>
      <c r="CL32" s="218"/>
      <c r="CM32" s="218">
        <f ca="1">IF($BZ32=$BZ33,$BT36-$BS37,0)</f>
        <v>0</v>
      </c>
      <c r="CN32" s="218">
        <f ca="1">IF($BZ32=$BZ34,$BU36-$BS38,0)</f>
        <v>0</v>
      </c>
      <c r="CO32" s="218">
        <f ca="1">IF($BZ32=$BZ35,$BV36-$BS39,0)</f>
        <v>-1</v>
      </c>
      <c r="CP32" s="218">
        <f ca="1">SUM(CL32:CO32)</f>
        <v>-1</v>
      </c>
      <c r="CQ32" s="218"/>
      <c r="CR32" s="218">
        <f ca="1">IF($BZ32=$BZ33,$BT36,0)</f>
        <v>0</v>
      </c>
      <c r="CS32" s="218">
        <f ca="1">IF($BZ32=$BZ34,$BU36,0)</f>
        <v>0</v>
      </c>
      <c r="CT32" s="218">
        <f ca="1">IF($BZ32=$BZ35,$BV36,0)</f>
        <v>1</v>
      </c>
      <c r="CU32" s="218">
        <f ca="1">SUM(CQ32:CT32)</f>
        <v>1</v>
      </c>
      <c r="CV32" s="207">
        <v>4</v>
      </c>
      <c r="CX32" s="226">
        <f ca="1">IF($CX$97="",2*COUNTIF(Ergebnisse!$D$63:'Ergebnisse'!$F$78,BM38),2*INT(RAND()*2))</f>
        <v>2</v>
      </c>
      <c r="CY32" s="17" t="str">
        <f ca="1">IF(COUNTIF(Ergebnisse!BK33:'Ergebnisse'!BK38,Ergebnisse!$B$98)=6,"ok","")</f>
        <v>ok</v>
      </c>
      <c r="DA32" s="170" t="s">
        <v>77</v>
      </c>
      <c r="DB32" s="166">
        <f>DB36*(DB35+2*DB33)</f>
        <v>30</v>
      </c>
    </row>
    <row r="33" spans="1:106">
      <c r="A33" s="2">
        <v>16</v>
      </c>
      <c r="B33" s="6">
        <f>VLOOKUP(A33,Spiele!$A$1:$L$116,2,FALSE)</f>
        <v>46188.5</v>
      </c>
      <c r="C33" s="6" t="str">
        <f>VLOOKUP(A33,Spiele!$A$1:$L$116,9,FALSE)</f>
        <v>Seattle</v>
      </c>
      <c r="D33" s="56" t="str">
        <f>Y32</f>
        <v>Belgien</v>
      </c>
      <c r="E33" s="40" t="s">
        <v>24</v>
      </c>
      <c r="F33" s="56" t="str">
        <f>Y33</f>
        <v>Ägypten</v>
      </c>
      <c r="G33" s="53"/>
      <c r="H33" s="107">
        <f t="shared" ref="H33:H38" ca="1" si="12">IF($B$99="",2,INT(RAND()*5)+INT(RAND()*3)*INT(RAND()*2))</f>
        <v>2</v>
      </c>
      <c r="I33" s="11" t="s">
        <v>25</v>
      </c>
      <c r="J33" s="107">
        <f t="shared" ref="J33:J38" ca="1" si="13">IF($B$99="",1,INT(RAND()*5)+INT(RAND()*3)*INT(RAND()*2))</f>
        <v>1</v>
      </c>
      <c r="K33" s="7" t="s">
        <v>26</v>
      </c>
      <c r="L33" s="1"/>
      <c r="M33" s="9" t="str">
        <f ca="1">VLOOKUP(2,$X$32:$AC$35,2,FALSE)</f>
        <v>Belgien</v>
      </c>
      <c r="N33" s="2">
        <f ca="1">VLOOKUP(2,$X$32:$AC$35,3,FALSE)</f>
        <v>6</v>
      </c>
      <c r="O33" s="2">
        <f ca="1">VLOOKUP(2,$X$32:$AC$35,4,FALSE)</f>
        <v>5</v>
      </c>
      <c r="P33" s="2">
        <f ca="1">VLOOKUP(2,$X$32:$AC$35,5,FALSE)</f>
        <v>4</v>
      </c>
      <c r="Q33" s="2">
        <f ca="1">VLOOKUP(2,$X$32:$AC$35,6,FALSE)</f>
        <v>1</v>
      </c>
      <c r="S33" s="61">
        <f ca="1">IF(J33="",0,IF(K33=$B$98,IF(H33&lt;J33,3,IF(H33=J33,1,0)),0))</f>
        <v>0</v>
      </c>
      <c r="T33" s="60"/>
      <c r="U33" s="61">
        <f ca="1">IF(H38="",0,IF(K37=$B$98,IF(H38&gt;J38,3,IF(H38=J38,1,0)),0))</f>
        <v>3</v>
      </c>
      <c r="V33" s="61">
        <f ca="1">IF(J36="",0,IF(K36=$B$98,IF(J36&gt;H36,3,IF(J36=H36,1,0)),0))</f>
        <v>0</v>
      </c>
      <c r="W33" s="62"/>
      <c r="X33" s="62">
        <f ca="1">RANK(AD33,$AD$32:$AD$35)</f>
        <v>3</v>
      </c>
      <c r="Y33" s="40" t="s">
        <v>222</v>
      </c>
      <c r="Z33" s="62">
        <f ca="1">SUM(S33:V33)</f>
        <v>3</v>
      </c>
      <c r="AA33" s="62">
        <f ca="1">SUM(S37:V37)</f>
        <v>4</v>
      </c>
      <c r="AB33" s="62">
        <f ca="1">SUM(T36:T39)</f>
        <v>5</v>
      </c>
      <c r="AC33" s="62">
        <f ca="1">AA33-AB33</f>
        <v>-1</v>
      </c>
      <c r="AD33" s="24">
        <f ca="1">IF(P$8="",(((((((AE33*10+Z33)*100+AC33)*100+AA33)*10+AK33)*10+AJ33)*100+AP33)*100+AU33)*10+AV33,(((((((AE33*10+Z33)*10+AK33)*10+AJ33)*100+AP33)*100+AU33)*100+AC33)*100+AA33)*10+AV33)</f>
        <v>303010199043</v>
      </c>
      <c r="AE33" s="203"/>
      <c r="AF33" s="217">
        <f ca="1">IF($Z33=$Z32,$S33-$T32,0)</f>
        <v>0</v>
      </c>
      <c r="AG33" s="217"/>
      <c r="AH33" s="217">
        <f ca="1">IF($Z33=$Z34,$U33-$T34,0)</f>
        <v>3</v>
      </c>
      <c r="AI33" s="217">
        <f ca="1">IF($Z33=$Z35,$V33-$T35,0)</f>
        <v>0</v>
      </c>
      <c r="AJ33" s="217">
        <f ca="1">SUM(AF33:AI33)</f>
        <v>3</v>
      </c>
      <c r="AK33" s="203"/>
      <c r="AL33" s="217">
        <f ca="1">IF($Z33=$Z32,$S37-$T36,0)</f>
        <v>0</v>
      </c>
      <c r="AM33" s="217"/>
      <c r="AN33" s="217">
        <f ca="1">IF($Z33=$Z34,$U37-$T38,0)</f>
        <v>1</v>
      </c>
      <c r="AO33" s="217">
        <f ca="1">IF($Z33=$Z35,$V37-$T39,0)</f>
        <v>0</v>
      </c>
      <c r="AP33" s="217">
        <f ca="1">SUM(AL33:AO33)</f>
        <v>1</v>
      </c>
      <c r="AQ33" s="217">
        <f ca="1">IF($Z33=$Z32,$S37,0)</f>
        <v>0</v>
      </c>
      <c r="AR33" s="217"/>
      <c r="AS33" s="217">
        <f ca="1">IF($Z33=$Z34,$U37,0)</f>
        <v>2</v>
      </c>
      <c r="AT33" s="217">
        <f ca="1">IF($Z33=$Z35,$V37,0)</f>
        <v>0</v>
      </c>
      <c r="AU33" s="217">
        <f ca="1">SUM(AQ33:AT33)</f>
        <v>2</v>
      </c>
      <c r="AV33" s="203">
        <v>3</v>
      </c>
      <c r="AW33" s="2"/>
      <c r="AX33" s="17">
        <f ca="1">IF($CX$97="",IF(OR(Ergebnisse!H33="",Ergebnisse!J33=""),0,IF(AND(H33=Ergebnisse!H33,J33=Ergebnisse!J33),7,MIN(7,(H33-J33=Ergebnisse!H33-Ergebnisse!J33)*4+(AND(H33-J33&lt;&gt;Ergebnisse!H33-Ergebnisse!J33,SIGN(H33-J33)=SIGN(Ergebnisse!H33-Ergebnisse!J33)))*2+(H33=Ergebnisse!H33)+(J33=Ergebnisse!J33)))),INT(RAND()*8))</f>
        <v>3</v>
      </c>
      <c r="AY33" s="17" t="str">
        <f ca="1">IF(Ergebnisse!K33=Ergebnisse!$B$98,Ergebnisse!K33,"")</f>
        <v>ok</v>
      </c>
      <c r="AZ33" s="2"/>
      <c r="BA33" s="2">
        <v>17</v>
      </c>
      <c r="BB33" s="6">
        <f>VLOOKUP(BA33,Spiele!$A$1:$L$116,2,FALSE)</f>
        <v>46189.625</v>
      </c>
      <c r="BC33" s="6" t="str">
        <f>VLOOKUP(BA33,Spiele!$A$1:$L$116,9,FALSE)</f>
        <v>New York</v>
      </c>
      <c r="BD33" s="56" t="str">
        <f>BY32</f>
        <v>Argentinien</v>
      </c>
      <c r="BE33" s="40" t="s">
        <v>24</v>
      </c>
      <c r="BF33" s="56" t="str">
        <f>BY33</f>
        <v>Algerien</v>
      </c>
      <c r="BG33" s="53"/>
      <c r="BH33" s="107">
        <f t="shared" ref="BH33:BH38" ca="1" si="14">IF($B$99="",2,INT(RAND()*5)+INT(RAND()*3)*INT(RAND()*2))</f>
        <v>2</v>
      </c>
      <c r="BI33" s="11" t="s">
        <v>25</v>
      </c>
      <c r="BJ33" s="107">
        <f t="shared" ref="BJ33:BJ38" ca="1" si="15">IF($B$99="",1,INT(RAND()*5)+INT(RAND()*3)*INT(RAND()*2))</f>
        <v>1</v>
      </c>
      <c r="BK33" s="7" t="s">
        <v>26</v>
      </c>
      <c r="BL33" s="1"/>
      <c r="BM33" s="9" t="str">
        <f ca="1">VLOOKUP(2,$BX$32:$CC$35,2,FALSE)</f>
        <v>Argentinien</v>
      </c>
      <c r="BN33" s="2">
        <f ca="1">VLOOKUP(2,$BX$32:$CC$35,3,FALSE)</f>
        <v>6</v>
      </c>
      <c r="BO33" s="2">
        <f ca="1">VLOOKUP(2,$BX$32:$CC$35,4,FALSE)</f>
        <v>5</v>
      </c>
      <c r="BP33" s="2">
        <f ca="1">VLOOKUP(2,$BX$32:$CC$35,5,FALSE)</f>
        <v>4</v>
      </c>
      <c r="BQ33" s="2">
        <f ca="1">VLOOKUP(2,$BX$32:$CC$35,6,FALSE)</f>
        <v>1</v>
      </c>
      <c r="BS33" s="61">
        <f ca="1">IF(BJ33="",0,IF(BK33=$B$98,IF(BH33&lt;BJ33,3,IF(BH33=BJ33,1,0)),0))</f>
        <v>0</v>
      </c>
      <c r="BT33" s="60"/>
      <c r="BU33" s="61">
        <f ca="1">IF(BH38="",0,IF(BK37=$B$98,IF(BH38&gt;BJ38,3,IF(BH38=BJ38,1,0)),0))</f>
        <v>3</v>
      </c>
      <c r="BV33" s="61">
        <f ca="1">IF(BJ36="",0,IF(BK36=$B$98,IF(BJ36&gt;BH36,3,IF(BJ36=BH36,1,0)),0))</f>
        <v>0</v>
      </c>
      <c r="BW33" s="1"/>
      <c r="BX33" s="1">
        <f ca="1">RANK(CD33,$CD$32:$CD$35)</f>
        <v>3</v>
      </c>
      <c r="BY33" s="40" t="s">
        <v>223</v>
      </c>
      <c r="BZ33" s="1">
        <f ca="1">SUM(BS33:BV33)</f>
        <v>3</v>
      </c>
      <c r="CA33" s="1">
        <f ca="1">SUM(BS37:BV37)</f>
        <v>4</v>
      </c>
      <c r="CB33" s="1">
        <f ca="1">SUM(BT36:BT39)</f>
        <v>5</v>
      </c>
      <c r="CC33" s="1">
        <f ca="1">CA33-CB33</f>
        <v>-1</v>
      </c>
      <c r="CD33" s="24">
        <f ca="1">IF(BP$8="",(((((((CE33*10+BZ33)*100+CC33)*100+CA33)*10+CK33)*10+CJ33)*100+CP33)*100+CU33)*10+CV33,(((((((CE33*10+BZ33)*10+CK33)*10+CJ33)*100+CP33)*100+CU33)*100+CC33)*100+CA33)*10+CV33)</f>
        <v>303010199043</v>
      </c>
      <c r="CE33" s="207"/>
      <c r="CF33" s="218">
        <f ca="1">IF($BZ33=$BZ32,$BS33-$BT32,0)</f>
        <v>0</v>
      </c>
      <c r="CG33" s="218"/>
      <c r="CH33" s="218">
        <f ca="1">IF($BZ33=$BZ34,$BU33-$BT34,0)</f>
        <v>3</v>
      </c>
      <c r="CI33" s="218">
        <f ca="1">IF($BZ33=$BZ35,$BV33-$BT35,0)</f>
        <v>0</v>
      </c>
      <c r="CJ33" s="218">
        <f ca="1">SUM(CF33:CI33)</f>
        <v>3</v>
      </c>
      <c r="CK33" s="207"/>
      <c r="CL33" s="218">
        <f ca="1">IF($BZ33=$BZ32,$BS37-$BT36,0)</f>
        <v>0</v>
      </c>
      <c r="CM33" s="218"/>
      <c r="CN33" s="218">
        <f ca="1">IF($BZ33=$BZ34,$BU37-$BT38,0)</f>
        <v>1</v>
      </c>
      <c r="CO33" s="218">
        <f ca="1">IF($BZ33=$BZ35,$BV37-$BT39,0)</f>
        <v>0</v>
      </c>
      <c r="CP33" s="218">
        <f ca="1">SUM(CL33:CO33)</f>
        <v>1</v>
      </c>
      <c r="CQ33" s="218">
        <f ca="1">IF($BZ33=$BZ32,$BS37,0)</f>
        <v>0</v>
      </c>
      <c r="CR33" s="218"/>
      <c r="CS33" s="218">
        <f ca="1">IF($BZ33=$BZ34,$BU37,0)</f>
        <v>2</v>
      </c>
      <c r="CT33" s="218">
        <f ca="1">IF($BZ33=$BZ35,$BV37,0)</f>
        <v>0</v>
      </c>
      <c r="CU33" s="218">
        <f ca="1">SUM(CQ33:CT33)</f>
        <v>2</v>
      </c>
      <c r="CV33" s="207">
        <v>3</v>
      </c>
      <c r="CX33" s="17">
        <f ca="1">IF($CX$97="",IF(OR(Ergebnisse!BH33="",Ergebnisse!BJ33=""),0,IF(AND(BH33=Ergebnisse!BH33,BJ33=Ergebnisse!BJ33),7,MIN(7,(BH33-BJ33=Ergebnisse!BH33-Ergebnisse!BJ33)*4+(AND(BH33-BJ33&lt;&gt;Ergebnisse!BH33-Ergebnisse!BJ33,SIGN(BH33-BJ33)=SIGN(Ergebnisse!BH33-Ergebnisse!BJ33)))*2+(BH33=Ergebnisse!BH33)+(BJ33=Ergebnisse!BJ33)))),INT(RAND()*8))</f>
        <v>0</v>
      </c>
      <c r="CY33" s="17" t="str">
        <f ca="1">IF(Ergebnisse!BK33=Ergebnisse!$B$98,Ergebnisse!BK33,"")</f>
        <v>ok</v>
      </c>
      <c r="DA33" s="167" t="s">
        <v>127</v>
      </c>
      <c r="DB33" s="164">
        <v>4</v>
      </c>
    </row>
    <row r="34" spans="1:106" s="10" customFormat="1">
      <c r="A34" s="2">
        <v>15</v>
      </c>
      <c r="B34" s="6">
        <f>VLOOKUP(A34,Spiele!$A$1:$L$116,2,FALSE)</f>
        <v>46188.75</v>
      </c>
      <c r="C34" s="6" t="str">
        <f>VLOOKUP(A34,Spiele!$A$1:$L$116,9,FALSE)</f>
        <v>Los Angeles</v>
      </c>
      <c r="D34" s="56" t="str">
        <f>Y34</f>
        <v>IR Iran</v>
      </c>
      <c r="E34" s="40" t="s">
        <v>24</v>
      </c>
      <c r="F34" s="56" t="str">
        <f>Y35</f>
        <v>Neuseeland</v>
      </c>
      <c r="G34" s="53"/>
      <c r="H34" s="107">
        <f t="shared" ca="1" si="12"/>
        <v>2</v>
      </c>
      <c r="I34" s="11" t="s">
        <v>25</v>
      </c>
      <c r="J34" s="107">
        <f t="shared" ca="1" si="13"/>
        <v>1</v>
      </c>
      <c r="K34" s="7" t="s">
        <v>26</v>
      </c>
      <c r="L34" s="1"/>
      <c r="M34" s="9" t="str">
        <f ca="1">VLOOKUP(3,$X$32:$AC$35,2,FALSE)</f>
        <v>Ägypten</v>
      </c>
      <c r="N34" s="2">
        <f ca="1">VLOOKUP(3,$X$32:$AC$35,3,FALSE)</f>
        <v>3</v>
      </c>
      <c r="O34" s="2">
        <f ca="1">VLOOKUP(3,$X$32:$AC$35,4,FALSE)</f>
        <v>4</v>
      </c>
      <c r="P34" s="2">
        <f ca="1">VLOOKUP(3,$X$32:$AC$35,5,FALSE)</f>
        <v>5</v>
      </c>
      <c r="Q34" s="2">
        <f ca="1">VLOOKUP(3,$X$32:$AC$35,6,FALSE)</f>
        <v>-1</v>
      </c>
      <c r="R34" s="2"/>
      <c r="S34" s="61">
        <f ca="1">IF(J35="",0,IF(K35=$B$98,IF(H35&lt;J35,3,IF(H35=J35,1,0)),0))</f>
        <v>0</v>
      </c>
      <c r="T34" s="61">
        <f ca="1">IF(J38="",0,IF(K37=$B$98,IF(H38&lt;J38,3,IF(H38=J38,1,0)),0))</f>
        <v>0</v>
      </c>
      <c r="U34" s="60"/>
      <c r="V34" s="61">
        <f ca="1">IF(H34="",0,IF(K34=$B$98,IF(H34&gt;J34,3,IF(H34=J34,1,0)),0))</f>
        <v>3</v>
      </c>
      <c r="W34" s="62"/>
      <c r="X34" s="62">
        <f ca="1">RANK(AD34,$AD$32:$AD$35)</f>
        <v>4</v>
      </c>
      <c r="Y34" s="40" t="s">
        <v>224</v>
      </c>
      <c r="Z34" s="62">
        <f ca="1">SUM(S34:V34)</f>
        <v>3</v>
      </c>
      <c r="AA34" s="62">
        <f ca="1">SUM(S38:V38)</f>
        <v>4</v>
      </c>
      <c r="AB34" s="62">
        <f ca="1">SUM(U36:U39)</f>
        <v>5</v>
      </c>
      <c r="AC34" s="62">
        <f ca="1">AA34-AB34</f>
        <v>-1</v>
      </c>
      <c r="AD34" s="24">
        <f ca="1">IF(P$8="",(((((((AE34*10+Z34)*100+AC34)*100+AA34)*10+AK34)*10+AJ34)*100+AP34)*100+AU34)*10+AV34,(((((((AE34*10+Z34)*10+AK34)*10+AJ34)*100+AP34)*100+AU34)*100+AC34)*100+AA34)*10+AV34)</f>
        <v>296990099042</v>
      </c>
      <c r="AE34" s="203"/>
      <c r="AF34" s="217">
        <f ca="1">IF($Z34=$Z32,$S34-$U32,0)</f>
        <v>0</v>
      </c>
      <c r="AG34" s="217">
        <f ca="1">IF($Z34=$Z33,$T34-$U33,0)</f>
        <v>-3</v>
      </c>
      <c r="AH34" s="217"/>
      <c r="AI34" s="217">
        <f ca="1">IF($Z34=$Z35,$V34-$U35,0)</f>
        <v>0</v>
      </c>
      <c r="AJ34" s="217">
        <f ca="1">SUM(AF34:AI34)</f>
        <v>-3</v>
      </c>
      <c r="AK34" s="203"/>
      <c r="AL34" s="217">
        <f ca="1">IF($Z34=$Z32,$S38-$U36,0)</f>
        <v>0</v>
      </c>
      <c r="AM34" s="217">
        <f ca="1">IF($Z34=$Z33,$T38-$U37,0)</f>
        <v>-1</v>
      </c>
      <c r="AN34" s="217"/>
      <c r="AO34" s="217">
        <f ca="1">IF($Z34=$Z35,$V38-$U39,0)</f>
        <v>0</v>
      </c>
      <c r="AP34" s="217">
        <f ca="1">SUM(AL34:AO34)</f>
        <v>-1</v>
      </c>
      <c r="AQ34" s="217">
        <f ca="1">IF($Z34=$Z32,$S38,0)</f>
        <v>0</v>
      </c>
      <c r="AR34" s="217">
        <f ca="1">IF($Z34=$Z33,$T38,0)</f>
        <v>1</v>
      </c>
      <c r="AS34" s="217"/>
      <c r="AT34" s="217">
        <f ca="1">IF($Z34=$Z35,$V38,0)</f>
        <v>0</v>
      </c>
      <c r="AU34" s="217">
        <f ca="1">SUM(AQ34:AT34)</f>
        <v>1</v>
      </c>
      <c r="AV34" s="203">
        <v>2</v>
      </c>
      <c r="AW34" s="2"/>
      <c r="AX34" s="17">
        <f ca="1">IF($CX$97="",IF(OR(Ergebnisse!H34="",Ergebnisse!J34=""),0,IF(AND(H34=Ergebnisse!H34,J34=Ergebnisse!J34),7,MIN(7,(H34-J34=Ergebnisse!H34-Ergebnisse!J34)*4+(AND(H34-J34&lt;&gt;Ergebnisse!H34-Ergebnisse!J34,SIGN(H34-J34)=SIGN(Ergebnisse!H34-Ergebnisse!J34)))*2+(H34=Ergebnisse!H34)+(J34=Ergebnisse!J34)))),INT(RAND()*8))</f>
        <v>0</v>
      </c>
      <c r="AY34" s="17" t="str">
        <f ca="1">IF(Ergebnisse!K34=Ergebnisse!$B$98,Ergebnisse!K34,"")</f>
        <v>ok</v>
      </c>
      <c r="AZ34" s="2"/>
      <c r="BA34" s="2">
        <v>18</v>
      </c>
      <c r="BB34" s="6">
        <f>VLOOKUP(BA34,Spiele!$A$1:$L$116,2,FALSE)</f>
        <v>46189.75</v>
      </c>
      <c r="BC34" s="6" t="str">
        <f>VLOOKUP(BA34,Spiele!$A$1:$L$116,9,FALSE)</f>
        <v>Boston</v>
      </c>
      <c r="BD34" s="56" t="str">
        <f>BY34</f>
        <v>Österreich</v>
      </c>
      <c r="BE34" s="40" t="s">
        <v>24</v>
      </c>
      <c r="BF34" s="56" t="str">
        <f>BY35</f>
        <v>Jordanien</v>
      </c>
      <c r="BG34" s="53"/>
      <c r="BH34" s="107">
        <f t="shared" ca="1" si="14"/>
        <v>2</v>
      </c>
      <c r="BI34" s="11" t="s">
        <v>25</v>
      </c>
      <c r="BJ34" s="107">
        <f t="shared" ca="1" si="15"/>
        <v>1</v>
      </c>
      <c r="BK34" s="7" t="s">
        <v>26</v>
      </c>
      <c r="BL34" s="1"/>
      <c r="BM34" s="9" t="str">
        <f ca="1">VLOOKUP(3,$BX$32:$CC$35,2,FALSE)</f>
        <v>Algerien</v>
      </c>
      <c r="BN34" s="2">
        <f ca="1">VLOOKUP(3,$BX$32:$CC$35,3,FALSE)</f>
        <v>3</v>
      </c>
      <c r="BO34" s="2">
        <f ca="1">VLOOKUP(3,$BX$32:$CC$35,4,FALSE)</f>
        <v>4</v>
      </c>
      <c r="BP34" s="2">
        <f ca="1">VLOOKUP(3,$BX$32:$CC$35,5,FALSE)</f>
        <v>5</v>
      </c>
      <c r="BQ34" s="2">
        <f ca="1">VLOOKUP(3,$BX$32:$CC$35,6,FALSE)</f>
        <v>-1</v>
      </c>
      <c r="BR34" s="2"/>
      <c r="BS34" s="61">
        <f ca="1">IF(BJ35="",0,IF(BK35=$B$98,IF(BH35&lt;BJ35,3,IF(BH35=BJ35,1,0)),0))</f>
        <v>0</v>
      </c>
      <c r="BT34" s="61">
        <f ca="1">IF(BJ38="",0,IF(BK37=$B$98,IF(BH38&lt;BJ38,3,IF(BH38=BJ38,1,0)),0))</f>
        <v>0</v>
      </c>
      <c r="BU34" s="60"/>
      <c r="BV34" s="61">
        <f ca="1">IF(BH34="",0,IF(BK34=$B$98,IF(BH34&gt;BJ34,3,IF(BH34=BJ34,1,0)),0))</f>
        <v>3</v>
      </c>
      <c r="BW34" s="1"/>
      <c r="BX34" s="1">
        <f ca="1">RANK(CD34,$CD$32:$CD$35)</f>
        <v>4</v>
      </c>
      <c r="BY34" s="40" t="s">
        <v>187</v>
      </c>
      <c r="BZ34" s="1">
        <f ca="1">SUM(BS34:BV34)</f>
        <v>3</v>
      </c>
      <c r="CA34" s="1">
        <f ca="1">SUM(BS38:BV38)</f>
        <v>4</v>
      </c>
      <c r="CB34" s="1">
        <f ca="1">SUM(BU36:BU39)</f>
        <v>5</v>
      </c>
      <c r="CC34" s="1">
        <f ca="1">CA34-CB34</f>
        <v>-1</v>
      </c>
      <c r="CD34" s="24">
        <f ca="1">IF(BP$8="",(((((((CE34*10+BZ34)*100+CC34)*100+CA34)*10+CK34)*10+CJ34)*100+CP34)*100+CU34)*10+CV34,(((((((CE34*10+BZ34)*10+CK34)*10+CJ34)*100+CP34)*100+CU34)*100+CC34)*100+CA34)*10+CV34)</f>
        <v>296990099042</v>
      </c>
      <c r="CE34" s="207"/>
      <c r="CF34" s="218">
        <f ca="1">IF($BZ34=$BZ32,$BS34-$BU32,0)</f>
        <v>0</v>
      </c>
      <c r="CG34" s="218">
        <f ca="1">IF($BZ34=$BZ33,$BT34-$BU33,0)</f>
        <v>-3</v>
      </c>
      <c r="CH34" s="218"/>
      <c r="CI34" s="218">
        <f ca="1">IF($BZ34=$BZ35,$BV34-$BU35,0)</f>
        <v>0</v>
      </c>
      <c r="CJ34" s="218">
        <f ca="1">SUM(CF34:CI34)</f>
        <v>-3</v>
      </c>
      <c r="CK34" s="207"/>
      <c r="CL34" s="218">
        <f ca="1">IF($BZ34=$BZ32,$BS38-$BU36,0)</f>
        <v>0</v>
      </c>
      <c r="CM34" s="218">
        <f ca="1">IF($BZ34=$BZ33,$BT38-$BU37,0)</f>
        <v>-1</v>
      </c>
      <c r="CN34" s="218"/>
      <c r="CO34" s="218">
        <f ca="1">IF($BZ34=$BZ35,$BV38-$BU39,0)</f>
        <v>0</v>
      </c>
      <c r="CP34" s="218">
        <f ca="1">SUM(CL34:CO34)</f>
        <v>-1</v>
      </c>
      <c r="CQ34" s="218">
        <f ca="1">IF($BZ34=$BZ32,$BS38,0)</f>
        <v>0</v>
      </c>
      <c r="CR34" s="218">
        <f ca="1">IF($BZ34=$BZ33,$BT38,0)</f>
        <v>1</v>
      </c>
      <c r="CS34" s="218"/>
      <c r="CT34" s="218">
        <f ca="1">IF($BZ34=$BZ35,$BV38,0)</f>
        <v>0</v>
      </c>
      <c r="CU34" s="218">
        <f ca="1">SUM(CQ34:CT34)</f>
        <v>1</v>
      </c>
      <c r="CV34" s="207">
        <v>2</v>
      </c>
      <c r="CW34" s="2"/>
      <c r="CX34" s="17">
        <f ca="1">IF($CX$97="",IF(OR(Ergebnisse!BH34="",Ergebnisse!BJ34=""),0,IF(AND(BH34=Ergebnisse!BH34,BJ34=Ergebnisse!BJ34),7,MIN(7,(BH34-BJ34=Ergebnisse!BH34-Ergebnisse!BJ34)*4+(AND(BH34-BJ34&lt;&gt;Ergebnisse!BH34-Ergebnisse!BJ34,SIGN(BH34-BJ34)=SIGN(Ergebnisse!BH34-Ergebnisse!BJ34)))*2+(BH34=Ergebnisse!BH34)+(BJ34=Ergebnisse!BJ34)))),INT(RAND()*8))</f>
        <v>0</v>
      </c>
      <c r="CY34" s="17" t="str">
        <f ca="1">IF(Ergebnisse!BK34=Ergebnisse!$B$98,Ergebnisse!BK34,"")</f>
        <v>ok</v>
      </c>
      <c r="CZ34" s="2"/>
      <c r="DA34" s="167" t="s">
        <v>123</v>
      </c>
      <c r="DB34" s="164">
        <v>2</v>
      </c>
    </row>
    <row r="35" spans="1:106">
      <c r="A35" s="2">
        <v>39</v>
      </c>
      <c r="B35" s="6">
        <f>VLOOKUP(A35,Spiele!$A$1:$L$116,2,FALSE)</f>
        <v>46194.5</v>
      </c>
      <c r="C35" s="6" t="str">
        <f>VLOOKUP(A35,Spiele!$A$1:$L$116,9,FALSE)</f>
        <v>Los Angeles</v>
      </c>
      <c r="D35" s="56" t="str">
        <f>Y32</f>
        <v>Belgien</v>
      </c>
      <c r="E35" s="40" t="s">
        <v>24</v>
      </c>
      <c r="F35" s="56" t="str">
        <f>Y34</f>
        <v>IR Iran</v>
      </c>
      <c r="G35" s="53"/>
      <c r="H35" s="107">
        <f t="shared" ca="1" si="12"/>
        <v>2</v>
      </c>
      <c r="I35" s="11" t="s">
        <v>25</v>
      </c>
      <c r="J35" s="107">
        <f t="shared" ca="1" si="13"/>
        <v>1</v>
      </c>
      <c r="K35" s="7" t="s">
        <v>26</v>
      </c>
      <c r="L35" s="1"/>
      <c r="M35" s="9" t="str">
        <f ca="1">VLOOKUP(4,$X$32:$AC$35,2,FALSE)</f>
        <v>IR Iran</v>
      </c>
      <c r="N35" s="2">
        <f ca="1">VLOOKUP(4,$X$32:$AC$35,3,FALSE)</f>
        <v>3</v>
      </c>
      <c r="O35" s="2">
        <f ca="1">VLOOKUP(4,$X$32:$AC$35,4,FALSE)</f>
        <v>4</v>
      </c>
      <c r="P35" s="2">
        <f ca="1">VLOOKUP(4,$X$32:$AC$35,5,FALSE)</f>
        <v>5</v>
      </c>
      <c r="Q35" s="2">
        <f ca="1">VLOOKUP(4,$X$32:$AC$35,6,FALSE)</f>
        <v>-1</v>
      </c>
      <c r="S35" s="61">
        <f ca="1">IF(H37="",0,IF(K38=$B$98,IF(H37&gt;J37,3,IF(H37=J37,1,0)),0))</f>
        <v>3</v>
      </c>
      <c r="T35" s="61">
        <f ca="1">IF(H36="",0,IF(K36=$B$98,IF(J36&lt;H36,3,IF(J36=H36,1,0)),0))</f>
        <v>3</v>
      </c>
      <c r="U35" s="61">
        <f ca="1">IF(J34="",0,IF(K34=$B$98,IF(H34&lt;J34,3,IF(H34=J34,1,0)),0))</f>
        <v>0</v>
      </c>
      <c r="V35" s="60"/>
      <c r="W35" s="62"/>
      <c r="X35" s="62">
        <f ca="1">RANK(AD35,$AD$32:$AD$35)</f>
        <v>1</v>
      </c>
      <c r="Y35" s="40" t="s">
        <v>225</v>
      </c>
      <c r="Z35" s="62">
        <f ca="1">SUM(S35:V35)</f>
        <v>6</v>
      </c>
      <c r="AA35" s="62">
        <f ca="1">SUM(S39:V39)</f>
        <v>5</v>
      </c>
      <c r="AB35" s="62">
        <f ca="1">SUM(V36:V39)</f>
        <v>4</v>
      </c>
      <c r="AC35" s="62">
        <f ca="1">AA35-AB35</f>
        <v>1</v>
      </c>
      <c r="AD35" s="24">
        <f ca="1">IF(P$8="",(((((((AE35*10+Z35)*100+AC35)*100+AA35)*10+AK35)*10+AJ35)*100+AP35)*100+AU35)*10+AV35,(((((((AE35*10+Z35)*10+AK35)*10+AJ35)*100+AP35)*100+AU35)*100+AC35)*100+AA35)*10+AV35)</f>
        <v>603010201051</v>
      </c>
      <c r="AE35" s="203"/>
      <c r="AF35" s="217">
        <f ca="1">IF($Z35=$Z32,$S35-$V32,0)</f>
        <v>3</v>
      </c>
      <c r="AG35" s="217">
        <f ca="1">IF($Z35=$Z33,$T35-$V33,0)</f>
        <v>0</v>
      </c>
      <c r="AH35" s="217">
        <f ca="1">IF($Z35=$Z34,$U35-$V34,0)</f>
        <v>0</v>
      </c>
      <c r="AI35" s="217"/>
      <c r="AJ35" s="217">
        <f ca="1">SUM(AF35:AI35)</f>
        <v>3</v>
      </c>
      <c r="AK35" s="203"/>
      <c r="AL35" s="217">
        <f ca="1">IF($Z35=$Z32,$S39-$V36,0)</f>
        <v>1</v>
      </c>
      <c r="AM35" s="217">
        <f ca="1">IF($Z35=$Z33,$T39-$V37,0)</f>
        <v>0</v>
      </c>
      <c r="AN35" s="217">
        <f ca="1">IF($Z35=$Z34,$U39-$V38,0)</f>
        <v>0</v>
      </c>
      <c r="AO35" s="217"/>
      <c r="AP35" s="217">
        <f ca="1">SUM(AL35:AO35)</f>
        <v>1</v>
      </c>
      <c r="AQ35" s="217">
        <f ca="1">IF($Z35=$Z32,$S39,0)</f>
        <v>2</v>
      </c>
      <c r="AR35" s="217">
        <f ca="1">IF($Z35=$Z33,$T39,0)</f>
        <v>0</v>
      </c>
      <c r="AS35" s="217">
        <f ca="1">IF($Z35=$Z34,$U39,0)</f>
        <v>0</v>
      </c>
      <c r="AT35" s="217"/>
      <c r="AU35" s="217">
        <f ca="1">SUM(AQ35:AT35)</f>
        <v>2</v>
      </c>
      <c r="AV35" s="203">
        <v>1</v>
      </c>
      <c r="AW35" s="2"/>
      <c r="AX35" s="17">
        <f ca="1">IF($CX$97="",IF(OR(Ergebnisse!H35="",Ergebnisse!J35=""),0,IF(AND(H35=Ergebnisse!H35,J35=Ergebnisse!J35),7,MIN(7,(H35-J35=Ergebnisse!H35-Ergebnisse!J35)*4+(AND(H35-J35&lt;&gt;Ergebnisse!H35-Ergebnisse!J35,SIGN(H35-J35)=SIGN(Ergebnisse!H35-Ergebnisse!J35)))*2+(H35=Ergebnisse!H35)+(J35=Ergebnisse!J35)))),INT(RAND()*8))</f>
        <v>1</v>
      </c>
      <c r="AY35" s="17" t="str">
        <f ca="1">IF(Ergebnisse!K35=Ergebnisse!$B$98,Ergebnisse!K35,"")</f>
        <v>ok</v>
      </c>
      <c r="AZ35" s="2"/>
      <c r="BA35" s="2">
        <v>43</v>
      </c>
      <c r="BB35" s="6">
        <f>VLOOKUP(BA35,Spiele!$A$1:$L$116,2,FALSE)</f>
        <v>46195.5</v>
      </c>
      <c r="BC35" s="6" t="str">
        <f>VLOOKUP(BA35,Spiele!$A$1:$L$116,9,FALSE)</f>
        <v>Dallas</v>
      </c>
      <c r="BD35" s="56" t="str">
        <f>BY32</f>
        <v>Argentinien</v>
      </c>
      <c r="BE35" s="40" t="s">
        <v>24</v>
      </c>
      <c r="BF35" s="56" t="str">
        <f>BY34</f>
        <v>Österreich</v>
      </c>
      <c r="BG35" s="53"/>
      <c r="BH35" s="107">
        <f t="shared" ca="1" si="14"/>
        <v>2</v>
      </c>
      <c r="BI35" s="11" t="s">
        <v>25</v>
      </c>
      <c r="BJ35" s="107">
        <f t="shared" ca="1" si="15"/>
        <v>1</v>
      </c>
      <c r="BK35" s="7" t="s">
        <v>26</v>
      </c>
      <c r="BL35" s="1"/>
      <c r="BM35" s="9" t="str">
        <f ca="1">VLOOKUP(4,$BX$32:$CC$35,2,FALSE)</f>
        <v>Österreich</v>
      </c>
      <c r="BN35" s="2">
        <f ca="1">VLOOKUP(4,$BX$32:$CC$35,3,FALSE)</f>
        <v>3</v>
      </c>
      <c r="BO35" s="2">
        <f ca="1">VLOOKUP(4,$BX$32:$CC$35,4,FALSE)</f>
        <v>4</v>
      </c>
      <c r="BP35" s="2">
        <f ca="1">VLOOKUP(4,$BX$32:$CC$35,5,FALSE)</f>
        <v>5</v>
      </c>
      <c r="BQ35" s="2">
        <f ca="1">VLOOKUP(4,$BX$32:$CC$35,6,FALSE)</f>
        <v>-1</v>
      </c>
      <c r="BS35" s="61">
        <f ca="1">IF(BH37="",0,IF(BK38=$B$98,IF(BH37&gt;BJ37,3,IF(BH37=BJ37,1,0)),0))</f>
        <v>3</v>
      </c>
      <c r="BT35" s="61">
        <f ca="1">IF(BH36="",0,IF(BK36=$B$98,IF(BJ36&lt;BH36,3,IF(BJ36=BH36,1,0)),0))</f>
        <v>3</v>
      </c>
      <c r="BU35" s="61">
        <f ca="1">IF(BJ34="",0,IF(BK34=$B$98,IF(BH34&lt;BJ34,3,IF(BH34=BJ34,1,0)),0))</f>
        <v>0</v>
      </c>
      <c r="BV35" s="60"/>
      <c r="BW35" s="1"/>
      <c r="BX35" s="1">
        <f ca="1">RANK(CD35,$CD$32:$CD$35)</f>
        <v>1</v>
      </c>
      <c r="BY35" s="40" t="s">
        <v>226</v>
      </c>
      <c r="BZ35" s="1">
        <f ca="1">SUM(BS35:BV35)</f>
        <v>6</v>
      </c>
      <c r="CA35" s="1">
        <f ca="1">SUM(BS39:BV39)</f>
        <v>5</v>
      </c>
      <c r="CB35" s="1">
        <f ca="1">SUM(BV36:BV39)</f>
        <v>4</v>
      </c>
      <c r="CC35" s="1">
        <f ca="1">CA35-CB35</f>
        <v>1</v>
      </c>
      <c r="CD35" s="24">
        <f ca="1">IF(BP$8="",(((((((CE35*10+BZ35)*100+CC35)*100+CA35)*10+CK35)*10+CJ35)*100+CP35)*100+CU35)*10+CV35,(((((((CE35*10+BZ35)*10+CK35)*10+CJ35)*100+CP35)*100+CU35)*100+CC35)*100+CA35)*10+CV35)</f>
        <v>603010201051</v>
      </c>
      <c r="CE35" s="207"/>
      <c r="CF35" s="218">
        <f ca="1">IF($BZ35=$BZ32,$BS35-$BV32,0)</f>
        <v>3</v>
      </c>
      <c r="CG35" s="218">
        <f ca="1">IF($BZ35=$BZ33,$BT35-$BV33,0)</f>
        <v>0</v>
      </c>
      <c r="CH35" s="218">
        <f ca="1">IF($BZ35=$BZ34,$BU35-$BV34,0)</f>
        <v>0</v>
      </c>
      <c r="CI35" s="218"/>
      <c r="CJ35" s="218">
        <f ca="1">SUM(CF35:CI35)</f>
        <v>3</v>
      </c>
      <c r="CK35" s="207"/>
      <c r="CL35" s="218">
        <f ca="1">IF($BZ35=$BZ32,$BS39-$BV36,0)</f>
        <v>1</v>
      </c>
      <c r="CM35" s="218">
        <f ca="1">IF($BZ35=$BZ33,$BT39-$BV37,0)</f>
        <v>0</v>
      </c>
      <c r="CN35" s="218">
        <f ca="1">IF($BZ35=$BZ34,$BU39-$BV38,0)</f>
        <v>0</v>
      </c>
      <c r="CO35" s="218"/>
      <c r="CP35" s="218">
        <f ca="1">SUM(CL35:CO35)</f>
        <v>1</v>
      </c>
      <c r="CQ35" s="218">
        <f ca="1">IF($BZ35=$BZ32,$BS39,0)</f>
        <v>2</v>
      </c>
      <c r="CR35" s="218">
        <f ca="1">IF($BZ35=$BZ33,$BT39,0)</f>
        <v>0</v>
      </c>
      <c r="CS35" s="218">
        <f ca="1">IF($BZ35=$BZ34,$BU39,0)</f>
        <v>0</v>
      </c>
      <c r="CT35" s="218"/>
      <c r="CU35" s="218">
        <f ca="1">SUM(CQ35:CT35)</f>
        <v>2</v>
      </c>
      <c r="CV35" s="207">
        <v>1</v>
      </c>
      <c r="CX35" s="17">
        <f ca="1">IF($CX$97="",IF(OR(Ergebnisse!BH35="",Ergebnisse!BJ35=""),0,IF(AND(BH35=Ergebnisse!BH35,BJ35=Ergebnisse!BJ35),7,MIN(7,(BH35-BJ35=Ergebnisse!BH35-Ergebnisse!BJ35)*4+(AND(BH35-BJ35&lt;&gt;Ergebnisse!BH35-Ergebnisse!BJ35,SIGN(BH35-BJ35)=SIGN(Ergebnisse!BH35-Ergebnisse!BJ35)))*2+(BH35=Ergebnisse!BH35)+(BJ35=Ergebnisse!BJ35)))),INT(RAND()*8))</f>
        <v>4</v>
      </c>
      <c r="CY35" s="17" t="str">
        <f ca="1">IF(Ergebnisse!BK35=Ergebnisse!$B$98,Ergebnisse!BK35,"")</f>
        <v>ok</v>
      </c>
      <c r="DA35" s="171" t="s">
        <v>83</v>
      </c>
      <c r="DB35" s="270">
        <v>7</v>
      </c>
    </row>
    <row r="36" spans="1:106">
      <c r="A36" s="2">
        <v>40</v>
      </c>
      <c r="B36" s="6">
        <f>VLOOKUP(A36,Spiele!$A$1:$L$116,2,FALSE)</f>
        <v>46194.75</v>
      </c>
      <c r="C36" s="6" t="str">
        <f>VLOOKUP(A36,Spiele!$A$1:$L$116,9,FALSE)</f>
        <v>Vancouver</v>
      </c>
      <c r="D36" s="56" t="str">
        <f>Y35</f>
        <v>Neuseeland</v>
      </c>
      <c r="E36" s="40" t="s">
        <v>24</v>
      </c>
      <c r="F36" s="56" t="str">
        <f>Y33</f>
        <v>Ägypten</v>
      </c>
      <c r="G36" s="53"/>
      <c r="H36" s="107">
        <f t="shared" ca="1" si="12"/>
        <v>2</v>
      </c>
      <c r="I36" s="11" t="s">
        <v>25</v>
      </c>
      <c r="J36" s="107">
        <f t="shared" ca="1" si="13"/>
        <v>1</v>
      </c>
      <c r="K36" s="7" t="s">
        <v>26</v>
      </c>
      <c r="L36" s="1"/>
      <c r="N36" s="1"/>
      <c r="O36" s="1"/>
      <c r="P36" s="1"/>
      <c r="S36" s="60"/>
      <c r="T36" s="61">
        <f ca="1">IF(K33=$B$98,H33,0)</f>
        <v>2</v>
      </c>
      <c r="U36" s="61">
        <f ca="1">IF(K35=$B$98,H35,0)</f>
        <v>2</v>
      </c>
      <c r="V36" s="61">
        <f ca="1">IF(K38=$B$98,J37,0)</f>
        <v>1</v>
      </c>
      <c r="W36" s="62"/>
      <c r="X36" s="62"/>
      <c r="Y36" s="62"/>
      <c r="Z36" s="62"/>
      <c r="AA36" s="62"/>
      <c r="AB36" s="62"/>
      <c r="AC36" s="62"/>
      <c r="AD36" s="66"/>
      <c r="AE36" s="204"/>
      <c r="AF36" s="217"/>
      <c r="AG36" s="217"/>
      <c r="AH36" s="217"/>
      <c r="AI36" s="217"/>
      <c r="AJ36" s="217"/>
      <c r="AK36" s="217"/>
      <c r="AL36" s="217"/>
      <c r="AM36" s="217"/>
      <c r="AN36" s="217"/>
      <c r="AO36" s="217"/>
      <c r="AP36" s="217"/>
      <c r="AQ36" s="217"/>
      <c r="AR36" s="217"/>
      <c r="AS36" s="217"/>
      <c r="AT36" s="217"/>
      <c r="AV36" s="217"/>
      <c r="AW36" s="2"/>
      <c r="AX36" s="17">
        <f ca="1">IF($CX$97="",IF(OR(Ergebnisse!H36="",Ergebnisse!J36=""),0,IF(AND(H36=Ergebnisse!H36,J36=Ergebnisse!J36),7,MIN(7,(H36-J36=Ergebnisse!H36-Ergebnisse!J36)*4+(AND(H36-J36&lt;&gt;Ergebnisse!H36-Ergebnisse!J36,SIGN(H36-J36)=SIGN(Ergebnisse!H36-Ergebnisse!J36)))*2+(H36=Ergebnisse!H36)+(J36=Ergebnisse!J36)))),INT(RAND()*8))</f>
        <v>2</v>
      </c>
      <c r="AY36" s="17" t="str">
        <f ca="1">IF(Ergebnisse!K36=Ergebnisse!$B$98,Ergebnisse!K36,"")</f>
        <v>ok</v>
      </c>
      <c r="AZ36" s="2"/>
      <c r="BA36" s="2">
        <v>44</v>
      </c>
      <c r="BB36" s="6">
        <f>VLOOKUP(BA36,Spiele!$A$1:$L$116,2,FALSE)</f>
        <v>46195.833333333336</v>
      </c>
      <c r="BC36" s="6" t="str">
        <f>VLOOKUP(BA36,Spiele!$A$1:$L$116,9,FALSE)</f>
        <v>San Francisco</v>
      </c>
      <c r="BD36" s="56" t="str">
        <f>BY35</f>
        <v>Jordanien</v>
      </c>
      <c r="BE36" s="40" t="s">
        <v>24</v>
      </c>
      <c r="BF36" s="56" t="str">
        <f>BY33</f>
        <v>Algerien</v>
      </c>
      <c r="BG36" s="53"/>
      <c r="BH36" s="107">
        <f t="shared" ca="1" si="14"/>
        <v>2</v>
      </c>
      <c r="BI36" s="11" t="s">
        <v>25</v>
      </c>
      <c r="BJ36" s="107">
        <f t="shared" ca="1" si="15"/>
        <v>1</v>
      </c>
      <c r="BK36" s="7" t="s">
        <v>26</v>
      </c>
      <c r="BL36" s="1"/>
      <c r="BN36" s="1"/>
      <c r="BO36" s="1"/>
      <c r="BP36" s="1"/>
      <c r="BS36" s="60"/>
      <c r="BT36" s="61">
        <f ca="1">IF(BK33=$B$98,BH33,0)</f>
        <v>2</v>
      </c>
      <c r="BU36" s="61">
        <f ca="1">IF(BK35=$B$98,BH35,0)</f>
        <v>2</v>
      </c>
      <c r="BV36" s="61">
        <f ca="1">IF(BK38=$B$98,BJ37,0)</f>
        <v>1</v>
      </c>
      <c r="BW36" s="1"/>
      <c r="BX36" s="1"/>
      <c r="BY36" s="62"/>
      <c r="BZ36" s="1"/>
      <c r="CA36" s="1"/>
      <c r="CB36" s="1"/>
      <c r="CC36" s="1"/>
      <c r="CD36" s="5"/>
      <c r="CE36" s="7"/>
      <c r="CF36" s="218"/>
      <c r="CG36" s="218"/>
      <c r="CH36" s="218"/>
      <c r="CI36" s="218"/>
      <c r="CJ36" s="218"/>
      <c r="CK36" s="218"/>
      <c r="CL36" s="218"/>
      <c r="CM36" s="218"/>
      <c r="CN36" s="218"/>
      <c r="CO36" s="218"/>
      <c r="CP36" s="218"/>
      <c r="CQ36" s="218"/>
      <c r="CR36" s="218"/>
      <c r="CS36" s="218"/>
      <c r="CT36" s="218"/>
      <c r="CV36" s="218"/>
      <c r="CX36" s="17">
        <f ca="1">IF($CX$97="",IF(OR(Ergebnisse!BH36="",Ergebnisse!BJ36=""),0,IF(AND(BH36=Ergebnisse!BH36,BJ36=Ergebnisse!BJ36),7,MIN(7,(BH36-BJ36=Ergebnisse!BH36-Ergebnisse!BJ36)*4+(AND(BH36-BJ36&lt;&gt;Ergebnisse!BH36-Ergebnisse!BJ36,SIGN(BH36-BJ36)=SIGN(Ergebnisse!BH36-Ergebnisse!BJ36)))*2+(BH36=Ergebnisse!BH36)+(BJ36=Ergebnisse!BJ36)))),INT(RAND()*8))</f>
        <v>0</v>
      </c>
      <c r="CY36" s="17" t="str">
        <f ca="1">IF(Ergebnisse!BK36=Ergebnisse!$B$98,Ergebnisse!BK36,"")</f>
        <v>ok</v>
      </c>
      <c r="DA36" s="168" t="s">
        <v>76</v>
      </c>
      <c r="DB36" s="169">
        <v>2</v>
      </c>
    </row>
    <row r="37" spans="1:106">
      <c r="A37" s="2">
        <v>64</v>
      </c>
      <c r="B37" s="6">
        <f>VLOOKUP(A37,Spiele!$A$1:$L$116,2,FALSE)</f>
        <v>46199.833333333336</v>
      </c>
      <c r="C37" s="6" t="str">
        <f>VLOOKUP(A37,Spiele!$A$1:$L$116,9,FALSE)</f>
        <v>Vancouver</v>
      </c>
      <c r="D37" s="56" t="str">
        <f>Y35</f>
        <v>Neuseeland</v>
      </c>
      <c r="E37" s="40" t="s">
        <v>24</v>
      </c>
      <c r="F37" s="56" t="str">
        <f>Y32</f>
        <v>Belgien</v>
      </c>
      <c r="G37" s="55"/>
      <c r="H37" s="107">
        <f t="shared" ca="1" si="12"/>
        <v>2</v>
      </c>
      <c r="I37" s="11" t="s">
        <v>25</v>
      </c>
      <c r="J37" s="107">
        <f t="shared" ca="1" si="13"/>
        <v>1</v>
      </c>
      <c r="K37" s="7" t="s">
        <v>26</v>
      </c>
      <c r="M37" s="228" t="str">
        <f ca="1">IF(N32&gt;0,M32,"")</f>
        <v>Neuseeland</v>
      </c>
      <c r="N37" s="2" t="s">
        <v>227</v>
      </c>
      <c r="P37" s="29"/>
      <c r="S37" s="61">
        <f ca="1">IF(K33=$B$98,J33,0)</f>
        <v>1</v>
      </c>
      <c r="T37" s="60"/>
      <c r="U37" s="61">
        <f ca="1">IF(K37=$B$98,H38,0)</f>
        <v>2</v>
      </c>
      <c r="V37" s="61">
        <f ca="1">IF(K36=$B$98,J36,0)</f>
        <v>1</v>
      </c>
      <c r="AD37" s="55" t="s">
        <v>140</v>
      </c>
      <c r="AE37" s="108"/>
      <c r="AF37" s="219"/>
      <c r="AG37" s="219"/>
      <c r="AH37" s="219"/>
      <c r="AI37" s="219"/>
      <c r="AJ37" s="219"/>
      <c r="AK37" s="219"/>
      <c r="AL37" s="219"/>
      <c r="AM37" s="219"/>
      <c r="AN37" s="219"/>
      <c r="AO37" s="219"/>
      <c r="AP37" s="219"/>
      <c r="AQ37" s="219"/>
      <c r="AR37" s="219"/>
      <c r="AS37" s="219"/>
      <c r="AT37" s="219"/>
      <c r="AV37" s="219"/>
      <c r="AW37" s="2"/>
      <c r="AX37" s="17">
        <f ca="1">IF($CX$97="",IF(OR(Ergebnisse!H37="",Ergebnisse!J37=""),0,IF(AND(H37=Ergebnisse!H37,J37=Ergebnisse!J37),7,MIN(7,(H37-J37=Ergebnisse!H37-Ergebnisse!J37)*4+(AND(H37-J37&lt;&gt;Ergebnisse!H37-Ergebnisse!J37,SIGN(H37-J37)=SIGN(Ergebnisse!H37-Ergebnisse!J37)))*2+(H37=Ergebnisse!H37)+(J37=Ergebnisse!J37)))),INT(RAND()*8))</f>
        <v>1</v>
      </c>
      <c r="AY37" s="17" t="str">
        <f ca="1">IF(Ergebnisse!K37=Ergebnisse!$B$98,Ergebnisse!K37,"")</f>
        <v>ok</v>
      </c>
      <c r="AZ37" s="2"/>
      <c r="BA37" s="2">
        <v>70</v>
      </c>
      <c r="BB37" s="6">
        <f>VLOOKUP(BA37,Spiele!$A$1:$L$116,2,FALSE)</f>
        <v>46200.875</v>
      </c>
      <c r="BC37" s="6" t="str">
        <f>VLOOKUP(BA37,Spiele!$A$1:$L$116,9,FALSE)</f>
        <v>Dallas</v>
      </c>
      <c r="BD37" s="56" t="str">
        <f>BY35</f>
        <v>Jordanien</v>
      </c>
      <c r="BE37" s="40" t="s">
        <v>24</v>
      </c>
      <c r="BF37" s="56" t="str">
        <f>BY32</f>
        <v>Argentinien</v>
      </c>
      <c r="BG37" s="55"/>
      <c r="BH37" s="107">
        <f t="shared" ca="1" si="14"/>
        <v>2</v>
      </c>
      <c r="BI37" s="11" t="s">
        <v>25</v>
      </c>
      <c r="BJ37" s="107">
        <f t="shared" ca="1" si="15"/>
        <v>1</v>
      </c>
      <c r="BK37" s="7" t="s">
        <v>26</v>
      </c>
      <c r="BM37" s="227" t="str">
        <f ca="1">IF(BN32&gt;0,BM32,"")</f>
        <v>Jordanien</v>
      </c>
      <c r="BN37" s="2" t="s">
        <v>228</v>
      </c>
      <c r="BP37" s="29"/>
      <c r="BS37" s="61">
        <f ca="1">IF(BK33=$B$98,BJ33,0)</f>
        <v>1</v>
      </c>
      <c r="BT37" s="60"/>
      <c r="BU37" s="61">
        <f ca="1">IF(BK37=$B$98,BH38,0)</f>
        <v>2</v>
      </c>
      <c r="BV37" s="61">
        <f ca="1">IF(BK36=$B$98,BJ36,0)</f>
        <v>1</v>
      </c>
      <c r="CD37" s="2" t="s">
        <v>140</v>
      </c>
      <c r="CE37" s="8"/>
      <c r="CF37" s="220"/>
      <c r="CG37" s="220"/>
      <c r="CH37" s="220"/>
      <c r="CI37" s="220"/>
      <c r="CJ37" s="220"/>
      <c r="CK37" s="220"/>
      <c r="CL37" s="220"/>
      <c r="CM37" s="220"/>
      <c r="CN37" s="220"/>
      <c r="CO37" s="220"/>
      <c r="CP37" s="220"/>
      <c r="CQ37" s="220"/>
      <c r="CR37" s="220"/>
      <c r="CS37" s="220"/>
      <c r="CT37" s="220"/>
      <c r="CV37" s="220"/>
      <c r="CX37" s="17">
        <f ca="1">IF($CX$97="",IF(OR(Ergebnisse!BH37="",Ergebnisse!BJ37=""),0,IF(AND(BH37=Ergebnisse!BH37,BJ37=Ergebnisse!BJ37),7,MIN(7,(BH37-BJ37=Ergebnisse!BH37-Ergebnisse!BJ37)*4+(AND(BH37-BJ37&lt;&gt;Ergebnisse!BH37-Ergebnisse!BJ37,SIGN(BH37-BJ37)=SIGN(Ergebnisse!BH37-Ergebnisse!BJ37)))*2+(BH37=Ergebnisse!BH37)+(BJ37=Ergebnisse!BJ37)))),INT(RAND()*8))</f>
        <v>0</v>
      </c>
      <c r="CY37" s="17" t="str">
        <f ca="1">IF(Ergebnisse!BK37=Ergebnisse!$B$98,Ergebnisse!BK37,"")</f>
        <v>ok</v>
      </c>
    </row>
    <row r="38" spans="1:106">
      <c r="A38" s="2">
        <v>63</v>
      </c>
      <c r="B38" s="6">
        <f>VLOOKUP(A38,Spiele!$A$1:$L$116,2,FALSE)</f>
        <v>46199.833333333336</v>
      </c>
      <c r="C38" s="6" t="str">
        <f>VLOOKUP(A38,Spiele!$A$1:$L$116,9,FALSE)</f>
        <v>Seattle</v>
      </c>
      <c r="D38" s="56" t="str">
        <f>Y33</f>
        <v>Ägypten</v>
      </c>
      <c r="E38" s="40" t="s">
        <v>24</v>
      </c>
      <c r="F38" s="56" t="str">
        <f>Y34</f>
        <v>IR Iran</v>
      </c>
      <c r="G38" s="55"/>
      <c r="H38" s="107">
        <f t="shared" ca="1" si="12"/>
        <v>2</v>
      </c>
      <c r="I38" s="11" t="s">
        <v>25</v>
      </c>
      <c r="J38" s="107">
        <f t="shared" ca="1" si="13"/>
        <v>1</v>
      </c>
      <c r="K38" s="7" t="s">
        <v>26</v>
      </c>
      <c r="M38" s="228" t="str">
        <f ca="1">IF(N33&gt;0,M33,"")</f>
        <v>Belgien</v>
      </c>
      <c r="N38" s="2" t="s">
        <v>229</v>
      </c>
      <c r="O38" s="30"/>
      <c r="P38" s="205" t="s">
        <v>11</v>
      </c>
      <c r="S38" s="61">
        <f ca="1">IF(K35=$B$98,J35,0)</f>
        <v>1</v>
      </c>
      <c r="T38" s="61">
        <f ca="1">IF(K37=$B$98,J38,0)</f>
        <v>1</v>
      </c>
      <c r="U38" s="60"/>
      <c r="V38" s="61">
        <f ca="1">IF(K34=$B$98,H34,0)</f>
        <v>2</v>
      </c>
      <c r="AD38" s="55" t="s">
        <v>141</v>
      </c>
      <c r="AE38" s="108"/>
      <c r="AF38" s="219"/>
      <c r="AG38" s="219"/>
      <c r="AH38" s="219"/>
      <c r="AI38" s="219"/>
      <c r="AJ38" s="219"/>
      <c r="AK38" s="219"/>
      <c r="AL38" s="219"/>
      <c r="AM38" s="219"/>
      <c r="AN38" s="219"/>
      <c r="AO38" s="219"/>
      <c r="AP38" s="219"/>
      <c r="AQ38" s="219"/>
      <c r="AR38" s="219"/>
      <c r="AS38" s="219"/>
      <c r="AT38" s="219"/>
      <c r="AV38" s="219"/>
      <c r="AW38" s="2"/>
      <c r="AX38" s="17">
        <f ca="1">IF($CX$97="",IF(OR(Ergebnisse!H38="",Ergebnisse!J38=""),0,IF(AND(H38=Ergebnisse!H38,J38=Ergebnisse!J38),7,MIN(7,(H38-J38=Ergebnisse!H38-Ergebnisse!J38)*4+(AND(H38-J38&lt;&gt;Ergebnisse!H38-Ergebnisse!J38,SIGN(H38-J38)=SIGN(Ergebnisse!H38-Ergebnisse!J38)))*2+(H38=Ergebnisse!H38)+(J38=Ergebnisse!J38)))),INT(RAND()*8))</f>
        <v>1</v>
      </c>
      <c r="AY38" s="17" t="str">
        <f ca="1">IF(Ergebnisse!K38=Ergebnisse!$B$98,Ergebnisse!K38,"")</f>
        <v>ok</v>
      </c>
      <c r="AZ38" s="2"/>
      <c r="BA38" s="2">
        <v>69</v>
      </c>
      <c r="BB38" s="6">
        <f>VLOOKUP(BA38,Spiele!$A$1:$L$116,2,FALSE)</f>
        <v>46200.875</v>
      </c>
      <c r="BC38" s="6" t="str">
        <f>VLOOKUP(BA38,Spiele!$A$1:$L$116,9,FALSE)</f>
        <v>Kansas City</v>
      </c>
      <c r="BD38" s="56" t="str">
        <f>BY33</f>
        <v>Algerien</v>
      </c>
      <c r="BE38" s="40" t="s">
        <v>24</v>
      </c>
      <c r="BF38" s="56" t="str">
        <f>BY34</f>
        <v>Österreich</v>
      </c>
      <c r="BG38" s="55"/>
      <c r="BH38" s="107">
        <f t="shared" ca="1" si="14"/>
        <v>2</v>
      </c>
      <c r="BI38" s="11" t="s">
        <v>25</v>
      </c>
      <c r="BJ38" s="107">
        <f t="shared" ca="1" si="15"/>
        <v>1</v>
      </c>
      <c r="BK38" s="7" t="s">
        <v>26</v>
      </c>
      <c r="BM38" s="227" t="str">
        <f ca="1">IF(BN33&gt;0,BM33,"")</f>
        <v>Argentinien</v>
      </c>
      <c r="BN38" s="2" t="s">
        <v>230</v>
      </c>
      <c r="BO38" s="30"/>
      <c r="BP38" s="205" t="s">
        <v>11</v>
      </c>
      <c r="BS38" s="61">
        <f ca="1">IF(BK35=$B$98,BJ35,0)</f>
        <v>1</v>
      </c>
      <c r="BT38" s="61">
        <f ca="1">IF(BK37=$B$98,BJ38,0)</f>
        <v>1</v>
      </c>
      <c r="BU38" s="60"/>
      <c r="BV38" s="61">
        <f ca="1">IF(BK34=$B$98,BH34,0)</f>
        <v>2</v>
      </c>
      <c r="CD38" s="2" t="s">
        <v>141</v>
      </c>
      <c r="CE38" s="8"/>
      <c r="CF38" s="220"/>
      <c r="CG38" s="220"/>
      <c r="CH38" s="220"/>
      <c r="CI38" s="220"/>
      <c r="CJ38" s="220"/>
      <c r="CK38" s="220"/>
      <c r="CL38" s="220"/>
      <c r="CM38" s="220"/>
      <c r="CN38" s="220"/>
      <c r="CO38" s="220"/>
      <c r="CP38" s="220"/>
      <c r="CQ38" s="220"/>
      <c r="CR38" s="220"/>
      <c r="CS38" s="220"/>
      <c r="CT38" s="220"/>
      <c r="CV38" s="220"/>
      <c r="CX38" s="17">
        <f ca="1">IF($CX$97="",IF(OR(Ergebnisse!BH38="",Ergebnisse!BJ38=""),0,IF(AND(BH38=Ergebnisse!BH38,BJ38=Ergebnisse!BJ38),7,MIN(7,(BH38-BJ38=Ergebnisse!BH38-Ergebnisse!BJ38)*4+(AND(BH38-BJ38&lt;&gt;Ergebnisse!BH38-Ergebnisse!BJ38,SIGN(BH38-BJ38)=SIGN(Ergebnisse!BH38-Ergebnisse!BJ38)))*2+(BH38=Ergebnisse!BH38)+(BJ38=Ergebnisse!BJ38)))),INT(RAND()*8))</f>
        <v>1</v>
      </c>
      <c r="CY38" s="17" t="str">
        <f ca="1">IF(Ergebnisse!BK38=Ergebnisse!$B$98,Ergebnisse!BK38,"")</f>
        <v>ok</v>
      </c>
      <c r="DA38" s="165" t="s">
        <v>84</v>
      </c>
      <c r="DB38" s="166">
        <f>DB41*(DB40+2*DB39)</f>
        <v>30</v>
      </c>
    </row>
    <row r="39" spans="1:106">
      <c r="E39" s="55"/>
      <c r="F39" s="55"/>
      <c r="G39" s="55"/>
      <c r="M39" s="228" t="str">
        <f ca="1">IF(N34&gt;0,M34,"")</f>
        <v>Ägypten</v>
      </c>
      <c r="N39" s="2" t="s">
        <v>231</v>
      </c>
      <c r="S39" s="61">
        <f ca="1">IF(K38=$B$98,H37,0)</f>
        <v>2</v>
      </c>
      <c r="T39" s="61">
        <f ca="1">IF(K36=$B$98,H36,0)</f>
        <v>2</v>
      </c>
      <c r="U39" s="61">
        <f ca="1">IF(K34=$B$98,J34,0)</f>
        <v>1</v>
      </c>
      <c r="V39" s="60"/>
      <c r="AD39" s="55" t="s">
        <v>143</v>
      </c>
      <c r="AE39" s="108"/>
      <c r="AF39" s="219"/>
      <c r="AG39" s="219"/>
      <c r="AH39" s="219"/>
      <c r="AI39" s="219"/>
      <c r="AJ39" s="219"/>
      <c r="AK39" s="219"/>
      <c r="AL39" s="219"/>
      <c r="AM39" s="219"/>
      <c r="AN39" s="219"/>
      <c r="AO39" s="219"/>
      <c r="AP39" s="219"/>
      <c r="AQ39" s="219"/>
      <c r="AR39" s="219"/>
      <c r="AS39" s="219"/>
      <c r="AT39" s="219"/>
      <c r="AV39" s="219"/>
      <c r="AW39" s="2"/>
      <c r="AX39" s="224">
        <f ca="1">IF($CX$97="",2*COUNTIF(Ergebnisse!$D$63:'Ergebnisse'!$F$78,M39),2*INT(RAND()*2))</f>
        <v>0</v>
      </c>
      <c r="AY39" s="17" t="str">
        <f ca="1">IF(COUNTIF(Ergebnisse!K33:'Ergebnisse'!K38,Ergebnisse!$B$98)=6,"ok","")</f>
        <v>ok</v>
      </c>
      <c r="AZ39" s="2"/>
      <c r="BE39" s="55"/>
      <c r="BF39" s="55"/>
      <c r="BG39" s="55"/>
      <c r="BM39" s="227" t="str">
        <f ca="1">IF(BN34&gt;0,BM34,"")</f>
        <v>Algerien</v>
      </c>
      <c r="BN39" s="2" t="s">
        <v>232</v>
      </c>
      <c r="BS39" s="61">
        <f ca="1">IF(BK38=$B$98,BH37,0)</f>
        <v>2</v>
      </c>
      <c r="BT39" s="61">
        <f ca="1">IF(BK36=$B$98,BH36,0)</f>
        <v>2</v>
      </c>
      <c r="BU39" s="61">
        <f ca="1">IF(BK34=$B$98,BJ34,0)</f>
        <v>1</v>
      </c>
      <c r="BV39" s="60"/>
      <c r="CD39" s="2" t="s">
        <v>143</v>
      </c>
      <c r="CE39" s="8"/>
      <c r="CF39" s="220"/>
      <c r="CG39" s="220"/>
      <c r="CH39" s="220"/>
      <c r="CI39" s="220"/>
      <c r="CJ39" s="220"/>
      <c r="CK39" s="220"/>
      <c r="CL39" s="220"/>
      <c r="CM39" s="220"/>
      <c r="CN39" s="220"/>
      <c r="CO39" s="220"/>
      <c r="CP39" s="220"/>
      <c r="CQ39" s="220"/>
      <c r="CR39" s="220"/>
      <c r="CS39" s="220"/>
      <c r="CT39" s="220"/>
      <c r="CV39" s="220"/>
      <c r="CX39" s="226">
        <f ca="1">IF($CX$97="",2*COUNTIF(Ergebnisse!$D$63:'Ergebnisse'!$F$78,BM39),2*INT(RAND()*2))</f>
        <v>2</v>
      </c>
      <c r="CY39" s="17" t="str">
        <f ca="1">IF(COUNTIF(Ergebnisse!BK33:'Ergebnisse'!BK38,Ergebnisse!$B$98)=6,"ok","")</f>
        <v>ok</v>
      </c>
      <c r="DA39" s="167" t="s">
        <v>128</v>
      </c>
      <c r="DB39" s="164">
        <v>4</v>
      </c>
    </row>
    <row r="40" spans="1:106">
      <c r="D40" s="55"/>
      <c r="E40" s="58"/>
      <c r="F40" s="59"/>
      <c r="G40" s="59"/>
      <c r="H40" s="55"/>
      <c r="I40" s="55"/>
      <c r="J40" s="55"/>
      <c r="AE40" s="108"/>
      <c r="AF40" s="219"/>
      <c r="AG40" s="219"/>
      <c r="AH40" s="219"/>
      <c r="AI40" s="219"/>
      <c r="AJ40" s="219"/>
      <c r="AK40" s="219"/>
      <c r="AL40" s="219"/>
      <c r="AM40" s="219"/>
      <c r="AN40" s="219"/>
      <c r="AO40" s="219"/>
      <c r="AP40" s="219"/>
      <c r="AQ40" s="219"/>
      <c r="AR40" s="219"/>
      <c r="AS40" s="219"/>
      <c r="AT40" s="219"/>
      <c r="AV40" s="219"/>
      <c r="AW40" s="2"/>
      <c r="AX40" s="17"/>
      <c r="AZ40" s="2"/>
      <c r="BD40" s="55"/>
      <c r="BE40" s="58"/>
      <c r="BF40" s="59"/>
      <c r="BG40" s="59"/>
      <c r="BH40" s="55"/>
      <c r="BI40" s="55"/>
      <c r="BJ40" s="55"/>
      <c r="BS40" s="55"/>
      <c r="BT40" s="55"/>
      <c r="BU40" s="55"/>
      <c r="BV40" s="55"/>
      <c r="CE40" s="8"/>
      <c r="CF40" s="220"/>
      <c r="CG40" s="220"/>
      <c r="CH40" s="220"/>
      <c r="CI40" s="220"/>
      <c r="CJ40" s="220"/>
      <c r="CK40" s="220"/>
      <c r="CL40" s="220"/>
      <c r="CM40" s="220"/>
      <c r="CN40" s="220"/>
      <c r="CO40" s="220"/>
      <c r="CP40" s="220"/>
      <c r="CQ40" s="220"/>
      <c r="CR40" s="220"/>
      <c r="CS40" s="220"/>
      <c r="CT40" s="220"/>
      <c r="CV40" s="220"/>
      <c r="DA40" s="171" t="s">
        <v>83</v>
      </c>
      <c r="DB40" s="271">
        <v>7</v>
      </c>
    </row>
    <row r="41" spans="1:106">
      <c r="A41" s="10"/>
      <c r="B41" s="229" t="s">
        <v>0</v>
      </c>
      <c r="C41" s="230" t="s">
        <v>233</v>
      </c>
      <c r="D41" s="53" t="s">
        <v>2</v>
      </c>
      <c r="E41" s="54"/>
      <c r="F41" s="53"/>
      <c r="G41" s="53"/>
      <c r="H41" s="20"/>
      <c r="I41" s="19"/>
      <c r="J41" s="20"/>
      <c r="K41" s="180"/>
      <c r="L41" s="17"/>
      <c r="M41" s="35" t="s">
        <v>3</v>
      </c>
      <c r="N41" s="17" t="s">
        <v>4</v>
      </c>
      <c r="O41" s="17" t="s">
        <v>5</v>
      </c>
      <c r="P41" s="17" t="s">
        <v>6</v>
      </c>
      <c r="Q41" s="17" t="s">
        <v>7</v>
      </c>
      <c r="R41" s="17"/>
      <c r="W41" s="53"/>
      <c r="X41" s="53" t="s">
        <v>8</v>
      </c>
      <c r="Y41" s="56" t="s">
        <v>9</v>
      </c>
      <c r="Z41" s="53" t="s">
        <v>4</v>
      </c>
      <c r="AA41" s="53" t="s">
        <v>5</v>
      </c>
      <c r="AB41" s="53" t="s">
        <v>6</v>
      </c>
      <c r="AC41" s="53" t="s">
        <v>7</v>
      </c>
      <c r="AD41" s="53"/>
      <c r="AE41" s="19" t="s">
        <v>10</v>
      </c>
      <c r="AF41" s="40" t="s">
        <v>11</v>
      </c>
      <c r="AG41" s="40"/>
      <c r="AH41" s="40"/>
      <c r="AI41" s="40"/>
      <c r="AJ41" s="40" t="s">
        <v>12</v>
      </c>
      <c r="AK41" s="56" t="s">
        <v>13</v>
      </c>
      <c r="AL41" s="40" t="s">
        <v>14</v>
      </c>
      <c r="AM41" s="40"/>
      <c r="AN41" s="40"/>
      <c r="AO41" s="40"/>
      <c r="AP41" s="40" t="s">
        <v>15</v>
      </c>
      <c r="AQ41" s="40" t="s">
        <v>16</v>
      </c>
      <c r="AR41" s="40"/>
      <c r="AS41" s="40"/>
      <c r="AT41" s="40"/>
      <c r="AU41" s="58" t="s">
        <v>17</v>
      </c>
      <c r="AV41" s="56" t="s">
        <v>18</v>
      </c>
      <c r="AW41" s="10"/>
      <c r="AX41" s="229">
        <f ca="1">IF($CX$97="",2*COUNTIF(Ergebnisse!$D$63:'Ergebnisse'!$F$78,M47),2*INT(RAND()*2))</f>
        <v>2</v>
      </c>
      <c r="AY41" s="17" t="str">
        <f ca="1">IF(COUNTIF(Ergebnisse!K43:'Ergebnisse'!K48,Ergebnisse!$B$98)=6,"ok","")</f>
        <v>ok</v>
      </c>
      <c r="AZ41" s="10"/>
      <c r="BA41" s="10"/>
      <c r="BB41" s="231" t="s">
        <v>0</v>
      </c>
      <c r="BC41" s="232" t="s">
        <v>234</v>
      </c>
      <c r="BD41" s="53" t="s">
        <v>2</v>
      </c>
      <c r="BE41" s="54"/>
      <c r="BF41" s="53"/>
      <c r="BG41" s="53"/>
      <c r="BH41" s="20"/>
      <c r="BI41" s="19"/>
      <c r="BJ41" s="20"/>
      <c r="BK41" s="180"/>
      <c r="BL41" s="17"/>
      <c r="BM41" s="35" t="s">
        <v>3</v>
      </c>
      <c r="BN41" s="17" t="s">
        <v>4</v>
      </c>
      <c r="BO41" s="17" t="s">
        <v>5</v>
      </c>
      <c r="BP41" s="17" t="s">
        <v>6</v>
      </c>
      <c r="BQ41" s="17" t="s">
        <v>7</v>
      </c>
      <c r="BR41" s="17"/>
      <c r="BS41" s="55"/>
      <c r="BT41" s="55"/>
      <c r="BU41" s="55"/>
      <c r="BV41" s="55"/>
      <c r="BW41" s="17"/>
      <c r="BX41" s="17" t="s">
        <v>8</v>
      </c>
      <c r="BY41" s="56" t="s">
        <v>9</v>
      </c>
      <c r="BZ41" s="17" t="s">
        <v>4</v>
      </c>
      <c r="CA41" s="17" t="s">
        <v>5</v>
      </c>
      <c r="CB41" s="17" t="s">
        <v>6</v>
      </c>
      <c r="CC41" s="17" t="s">
        <v>7</v>
      </c>
      <c r="CD41" s="17"/>
      <c r="CE41" s="180" t="s">
        <v>10</v>
      </c>
      <c r="CF41" s="15" t="s">
        <v>11</v>
      </c>
      <c r="CG41" s="15"/>
      <c r="CH41" s="15"/>
      <c r="CI41" s="15"/>
      <c r="CJ41" s="15" t="s">
        <v>12</v>
      </c>
      <c r="CK41" s="21" t="s">
        <v>13</v>
      </c>
      <c r="CL41" s="15" t="s">
        <v>14</v>
      </c>
      <c r="CM41" s="15"/>
      <c r="CN41" s="15"/>
      <c r="CO41" s="15"/>
      <c r="CP41" s="15" t="s">
        <v>15</v>
      </c>
      <c r="CQ41" s="15" t="s">
        <v>16</v>
      </c>
      <c r="CR41" s="15"/>
      <c r="CS41" s="15"/>
      <c r="CT41" s="15"/>
      <c r="CU41" s="16" t="s">
        <v>17</v>
      </c>
      <c r="CV41" s="21" t="s">
        <v>18</v>
      </c>
      <c r="CW41" s="10"/>
      <c r="CX41" s="231">
        <f ca="1">IF($CX$97="",2*COUNTIF(Ergebnisse!$D$63:'Ergebnisse'!$F$78,BM47),2*INT(RAND()*2))</f>
        <v>0</v>
      </c>
      <c r="CY41" s="17" t="str">
        <f ca="1">IF(COUNTIF(Ergebnisse!BK43:'Ergebnisse'!BK48,Ergebnisse!$B$98)=6,"ok","")</f>
        <v>ok</v>
      </c>
      <c r="CZ41" s="10"/>
      <c r="DA41" s="168" t="s">
        <v>76</v>
      </c>
      <c r="DB41" s="169">
        <v>2</v>
      </c>
    </row>
    <row r="42" spans="1:106">
      <c r="B42" s="3" t="s">
        <v>22</v>
      </c>
      <c r="C42" s="3" t="s">
        <v>23</v>
      </c>
      <c r="D42" s="55"/>
      <c r="E42" s="55"/>
      <c r="F42" s="55"/>
      <c r="G42" s="55"/>
      <c r="L42" s="1"/>
      <c r="M42" s="9" t="str">
        <f ca="1">VLOOKUP(1,$X$42:$AC$45,2,FALSE)</f>
        <v>Uruguay</v>
      </c>
      <c r="N42" s="2">
        <f ca="1">VLOOKUP(1,$X$42:$AC$45,3,FALSE)</f>
        <v>6</v>
      </c>
      <c r="O42" s="2">
        <f ca="1">VLOOKUP(1,$X$42:$AC$45,4,FALSE)</f>
        <v>5</v>
      </c>
      <c r="P42" s="2">
        <f ca="1">VLOOKUP(1,$X$42:$AC$45,5,FALSE)</f>
        <v>4</v>
      </c>
      <c r="Q42" s="2">
        <f ca="1">VLOOKUP(1,$X$42:$AC$45,6,FALSE)</f>
        <v>1</v>
      </c>
      <c r="S42" s="60"/>
      <c r="T42" s="61">
        <f ca="1">IF(H43="",0,IF(K43=$B$98,IF(H43&gt;J43,3,IF(H43=J43,1,0)),0))</f>
        <v>3</v>
      </c>
      <c r="U42" s="61">
        <f ca="1">IF(H45="",0,IF(K45=$B$98,IF(H45&gt;J45,3,IF(H45=J45,1,0)),0))</f>
        <v>3</v>
      </c>
      <c r="V42" s="61">
        <f ca="1">IF(J47="",0,IF(K48=$B$98,IF(H47&lt;J47,3,IF(H47=J47,1,0)),0))</f>
        <v>0</v>
      </c>
      <c r="W42" s="62"/>
      <c r="X42" s="62">
        <f ca="1">RANK(AD42,$AD$42:$AD$45)</f>
        <v>2</v>
      </c>
      <c r="Y42" s="40" t="s">
        <v>66</v>
      </c>
      <c r="Z42" s="62">
        <f ca="1">SUM(S42:V42)</f>
        <v>6</v>
      </c>
      <c r="AA42" s="62">
        <f ca="1">SUM(S46:V46)</f>
        <v>5</v>
      </c>
      <c r="AB42" s="62">
        <f ca="1">SUM(S46:S49)</f>
        <v>4</v>
      </c>
      <c r="AC42" s="62">
        <f ca="1">AA42-AB42</f>
        <v>1</v>
      </c>
      <c r="AD42" s="24">
        <f ca="1">IF(P$18="",(((((((AE42*10+Z42)*100+AC42)*100+AA42)*10+AK42)*10+AJ42)*100+AP42)*100+AU42)*10+AV42,(((((((AE42*10+Z42)*10+AK42)*10+AJ42)*100+AP42)*100+AU42)*100+AC42)*100+AA42)*10+AV42)</f>
        <v>596990101054</v>
      </c>
      <c r="AE42" s="203"/>
      <c r="AF42" s="217"/>
      <c r="AG42" s="217">
        <f ca="1">IF($Z42=$Z43,$T42-$S43,0)</f>
        <v>0</v>
      </c>
      <c r="AH42" s="217">
        <f ca="1">IF($Z42=$Z44,$U42-$S44,0)</f>
        <v>0</v>
      </c>
      <c r="AI42" s="217">
        <f ca="1">IF($Z42=$Z45,$V42-$S45,0)</f>
        <v>-3</v>
      </c>
      <c r="AJ42" s="217">
        <f ca="1">SUM(AF42:AI42)</f>
        <v>-3</v>
      </c>
      <c r="AK42" s="203"/>
      <c r="AL42" s="217"/>
      <c r="AM42" s="217">
        <f ca="1">IF($Z42=$Z43,$T46-$S47,0)</f>
        <v>0</v>
      </c>
      <c r="AN42" s="217">
        <f ca="1">IF($Z42=$Z44,$U46-$S48,0)</f>
        <v>0</v>
      </c>
      <c r="AO42" s="217">
        <f ca="1">IF($Z42=$Z45,$V46-$S49,0)</f>
        <v>-1</v>
      </c>
      <c r="AP42" s="217">
        <f ca="1">SUM(AL42:AO42)</f>
        <v>-1</v>
      </c>
      <c r="AQ42" s="217"/>
      <c r="AR42" s="217">
        <f ca="1">IF($Z42=$Z43,$T46,0)</f>
        <v>0</v>
      </c>
      <c r="AS42" s="217">
        <f ca="1">IF($Z42=$Z44,$U46,0)</f>
        <v>0</v>
      </c>
      <c r="AT42" s="217">
        <f ca="1">IF($Z42=$Z45,$V46,0)</f>
        <v>1</v>
      </c>
      <c r="AU42" s="217">
        <f ca="1">SUM(AQ42:AT42)</f>
        <v>1</v>
      </c>
      <c r="AV42" s="203">
        <v>4</v>
      </c>
      <c r="AW42" s="2"/>
      <c r="AX42" s="229">
        <f ca="1">IF($CX$97="",2*COUNTIF(Ergebnisse!$D$63:'Ergebnisse'!$F$78,M48),2*INT(RAND()*2))</f>
        <v>2</v>
      </c>
      <c r="AY42" s="17" t="str">
        <f ca="1">IF(COUNTIF(Ergebnisse!K43:'Ergebnisse'!K48,Ergebnisse!$B$98)=6,"ok","")</f>
        <v>ok</v>
      </c>
      <c r="AZ42" s="2"/>
      <c r="BB42" s="3" t="s">
        <v>22</v>
      </c>
      <c r="BC42" s="3" t="s">
        <v>23</v>
      </c>
      <c r="BD42" s="55"/>
      <c r="BE42" s="55"/>
      <c r="BF42" s="55"/>
      <c r="BG42" s="55"/>
      <c r="BL42" s="1"/>
      <c r="BM42" s="9" t="str">
        <f ca="1">VLOOKUP(1,$BX$42:$CC$45,2,FALSE)</f>
        <v>Kolumbien</v>
      </c>
      <c r="BN42" s="2">
        <f ca="1">VLOOKUP(1,$BX$42:$CC$45,3,FALSE)</f>
        <v>6</v>
      </c>
      <c r="BO42" s="2">
        <f ca="1">VLOOKUP(1,$BX$42:$CC$45,4,FALSE)</f>
        <v>5</v>
      </c>
      <c r="BP42" s="2">
        <f ca="1">VLOOKUP(1,$BX$42:$CC$45,5,FALSE)</f>
        <v>4</v>
      </c>
      <c r="BQ42" s="2">
        <f ca="1">VLOOKUP(1,$BX$42:$CC$45,6,FALSE)</f>
        <v>1</v>
      </c>
      <c r="BS42" s="60"/>
      <c r="BT42" s="61">
        <f ca="1">IF(BH43="",0,IF(BK43=$B$98,IF(BH43&gt;BJ43,3,IF(BH43=BJ43,1,0)),0))</f>
        <v>3</v>
      </c>
      <c r="BU42" s="61">
        <f ca="1">IF(BH45="",0,IF(BK45=$B$98,IF(BH45&gt;BJ45,3,IF(BH45=BJ45,1,0)),0))</f>
        <v>3</v>
      </c>
      <c r="BV42" s="61">
        <f ca="1">IF(BJ47="",0,IF(BK48=$B$98,IF(BH47&lt;BJ47,3,IF(BH47=BJ47,1,0)),0))</f>
        <v>0</v>
      </c>
      <c r="BW42" s="1"/>
      <c r="BX42" s="1">
        <f ca="1">RANK(CD42,$CD$42:$CD$45)</f>
        <v>2</v>
      </c>
      <c r="BY42" s="40" t="s">
        <v>190</v>
      </c>
      <c r="BZ42" s="1">
        <f ca="1">SUM(BS42:BV42)</f>
        <v>6</v>
      </c>
      <c r="CA42" s="1">
        <f ca="1">SUM(BS46:BV46)</f>
        <v>5</v>
      </c>
      <c r="CB42" s="1">
        <f ca="1">SUM(BS46:BS49)</f>
        <v>4</v>
      </c>
      <c r="CC42" s="1">
        <f ca="1">CA42-CB42</f>
        <v>1</v>
      </c>
      <c r="CD42" s="24">
        <f ca="1">IF(BP$8="",(((((((CE42*10+BZ42)*100+CC42)*100+CA42)*10+CK42)*10+CJ42)*100+CP42)*100+CU42)*10+CV42,(((((((CE42*10+BZ42)*10+CK42)*10+CJ42)*100+CP42)*100+CU42)*100+CC42)*100+CA42)*10+CV42)</f>
        <v>596990101054</v>
      </c>
      <c r="CE42" s="207"/>
      <c r="CF42" s="218"/>
      <c r="CG42" s="218">
        <f ca="1">IF($BZ42=$BZ43,$BT42-$BS43,0)</f>
        <v>0</v>
      </c>
      <c r="CH42" s="218">
        <f ca="1">IF($BZ42=$BZ44,$BU42-$BS44,0)</f>
        <v>0</v>
      </c>
      <c r="CI42" s="218">
        <f ca="1">IF($BZ42=$BZ45,$BV42-$BS45,0)</f>
        <v>-3</v>
      </c>
      <c r="CJ42" s="218">
        <f ca="1">SUM(CF42:CI42)</f>
        <v>-3</v>
      </c>
      <c r="CK42" s="207"/>
      <c r="CL42" s="218"/>
      <c r="CM42" s="218">
        <f ca="1">IF($BZ42=$BZ43,$BT46-$BS47,0)</f>
        <v>0</v>
      </c>
      <c r="CN42" s="218">
        <f ca="1">IF($BZ42=$BZ44,$BU46-$BS48,0)</f>
        <v>0</v>
      </c>
      <c r="CO42" s="218">
        <f ca="1">IF($BZ42=$BZ45,$BV46-$BS49,0)</f>
        <v>-1</v>
      </c>
      <c r="CP42" s="218">
        <f ca="1">SUM(CL42:CO42)</f>
        <v>-1</v>
      </c>
      <c r="CQ42" s="218"/>
      <c r="CR42" s="218">
        <f ca="1">IF($BZ42=$BZ43,$BT46,0)</f>
        <v>0</v>
      </c>
      <c r="CS42" s="218">
        <f ca="1">IF($BZ42=$BZ44,$BU46,0)</f>
        <v>0</v>
      </c>
      <c r="CT42" s="218">
        <f ca="1">IF($BZ42=$BZ45,$BV46,0)</f>
        <v>1</v>
      </c>
      <c r="CU42" s="218">
        <f ca="1">SUM(CQ42:CT42)</f>
        <v>1</v>
      </c>
      <c r="CV42" s="207">
        <v>4</v>
      </c>
      <c r="CX42" s="231">
        <f ca="1">IF($CX$97="",2*COUNTIF(Ergebnisse!$D$63:'Ergebnisse'!$F$78,BM48),2*INT(RAND()*2))</f>
        <v>2</v>
      </c>
      <c r="CY42" s="17" t="str">
        <f ca="1">IF(COUNTIF(Ergebnisse!BK43:'Ergebnisse'!BK48,Ergebnisse!$B$98)=6,"ok","")</f>
        <v>ok</v>
      </c>
    </row>
    <row r="43" spans="1:106">
      <c r="A43" s="2">
        <v>14</v>
      </c>
      <c r="B43" s="6">
        <f>VLOOKUP(A43,Spiele!$A$1:$L$116,2,FALSE)</f>
        <v>46188.5</v>
      </c>
      <c r="C43" s="6" t="str">
        <f>VLOOKUP(A43,Spiele!$A$1:$L$116,9,FALSE)</f>
        <v>Atlanta</v>
      </c>
      <c r="D43" s="56" t="str">
        <f>Y42</f>
        <v>Spanien</v>
      </c>
      <c r="E43" s="40" t="s">
        <v>24</v>
      </c>
      <c r="F43" s="56" t="str">
        <f>Y43</f>
        <v>Kap Verde</v>
      </c>
      <c r="G43" s="53"/>
      <c r="H43" s="107">
        <f t="shared" ref="H43:H48" ca="1" si="16">IF($B$99="",2,INT(RAND()*5)+INT(RAND()*3)*INT(RAND()*2))</f>
        <v>2</v>
      </c>
      <c r="I43" s="11" t="s">
        <v>25</v>
      </c>
      <c r="J43" s="107">
        <f t="shared" ref="J43:J48" ca="1" si="17">IF($B$99="",1,INT(RAND()*5)+INT(RAND()*3)*INT(RAND()*2))</f>
        <v>1</v>
      </c>
      <c r="K43" s="7" t="s">
        <v>26</v>
      </c>
      <c r="L43" s="1"/>
      <c r="M43" s="9" t="str">
        <f ca="1">VLOOKUP(2,$X$42:$AC$45,2,FALSE)</f>
        <v>Spanien</v>
      </c>
      <c r="N43" s="2">
        <f ca="1">VLOOKUP(2,$X$42:$AC$45,3,FALSE)</f>
        <v>6</v>
      </c>
      <c r="O43" s="2">
        <f ca="1">VLOOKUP(2,$X$42:$AC$45,4,FALSE)</f>
        <v>5</v>
      </c>
      <c r="P43" s="2">
        <f ca="1">VLOOKUP(2,$X$42:$AC$45,5,FALSE)</f>
        <v>4</v>
      </c>
      <c r="Q43" s="2">
        <f ca="1">VLOOKUP(2,$X$42:$AC$45,6,FALSE)</f>
        <v>1</v>
      </c>
      <c r="S43" s="61">
        <f ca="1">IF(J43="",0,IF(K43=$B$98,IF(H43&lt;J43,3,IF(H43=J43,1,0)),0))</f>
        <v>0</v>
      </c>
      <c r="T43" s="61"/>
      <c r="U43" s="60">
        <f ca="1">IF(H48="",0,IF(K47=$B$98,IF(H48&gt;J48,3,IF(H48=J48,1,0)),0))</f>
        <v>3</v>
      </c>
      <c r="V43" s="61">
        <f ca="1">IF(J46="",0,IF(K46=$B$98,IF(J46&gt;H46,3,IF(J46=H46,1,0)),0))</f>
        <v>0</v>
      </c>
      <c r="W43" s="62"/>
      <c r="X43" s="62">
        <f ca="1">RANK(AD43,$AD$42:$AD$45)</f>
        <v>3</v>
      </c>
      <c r="Y43" s="40" t="s">
        <v>235</v>
      </c>
      <c r="Z43" s="62">
        <f ca="1">SUM(S43:V43)</f>
        <v>3</v>
      </c>
      <c r="AA43" s="62">
        <f ca="1">SUM(S47:V47)</f>
        <v>4</v>
      </c>
      <c r="AB43" s="62">
        <f ca="1">SUM(T46:T49)</f>
        <v>5</v>
      </c>
      <c r="AC43" s="62">
        <f ca="1">AA43-AB43</f>
        <v>-1</v>
      </c>
      <c r="AD43" s="24">
        <f ca="1">IF(P$18="",(((((((AE43*10+Z43)*100+AC43)*100+AA43)*10+AK43)*10+AJ43)*100+AP43)*100+AU43)*10+AV43,(((((((AE43*10+Z43)*10+AK43)*10+AJ43)*100+AP43)*100+AU43)*100+AC43)*100+AA43)*10+AV43)</f>
        <v>303010199043</v>
      </c>
      <c r="AE43" s="203"/>
      <c r="AF43" s="217">
        <f ca="1">IF($Z43=$Z42,$S43-$T42,0)</f>
        <v>0</v>
      </c>
      <c r="AG43" s="217"/>
      <c r="AH43" s="217">
        <f ca="1">IF($Z43=$Z44,$U43-$T44,0)</f>
        <v>3</v>
      </c>
      <c r="AI43" s="217">
        <f ca="1">IF($Z43=$Z45,$V43-$T45,0)</f>
        <v>0</v>
      </c>
      <c r="AJ43" s="217">
        <f ca="1">SUM(AF43:AI43)</f>
        <v>3</v>
      </c>
      <c r="AK43" s="203"/>
      <c r="AL43" s="217">
        <f ca="1">IF($Z43=$Z42,$S47-$T46,0)</f>
        <v>0</v>
      </c>
      <c r="AM43" s="217"/>
      <c r="AN43" s="217">
        <f ca="1">IF($Z43=$Z44,$U47-$T48,0)</f>
        <v>1</v>
      </c>
      <c r="AO43" s="217">
        <f ca="1">IF($Z43=$Z45,$V47-$T49,0)</f>
        <v>0</v>
      </c>
      <c r="AP43" s="217">
        <f ca="1">SUM(AL43:AO43)</f>
        <v>1</v>
      </c>
      <c r="AQ43" s="217">
        <f ca="1">IF($Z43=$Z42,$S47,0)</f>
        <v>0</v>
      </c>
      <c r="AR43" s="217"/>
      <c r="AS43" s="217">
        <f ca="1">IF($Z43=$Z44,$U47,0)</f>
        <v>2</v>
      </c>
      <c r="AT43" s="217">
        <f ca="1">IF($Z43=$Z45,$V47,0)</f>
        <v>0</v>
      </c>
      <c r="AU43" s="217">
        <f ca="1">SUM(AQ43:AT43)</f>
        <v>2</v>
      </c>
      <c r="AV43" s="203">
        <v>3</v>
      </c>
      <c r="AW43" s="2"/>
      <c r="AX43" s="17">
        <f ca="1">IF($CX$97="",IF(OR(Ergebnisse!H43="",Ergebnisse!J43=""),0,IF(AND(H43=Ergebnisse!H43,J43=Ergebnisse!J43),7,MIN(7,(H43-J43=Ergebnisse!H43-Ergebnisse!J43)*4+(AND(H43-J43&lt;&gt;Ergebnisse!H43-Ergebnisse!J43,SIGN(H43-J43)=SIGN(Ergebnisse!H43-Ergebnisse!J43)))*2+(H43=Ergebnisse!H43)+(J43=Ergebnisse!J43)))),INT(RAND()*8))</f>
        <v>3</v>
      </c>
      <c r="AY43" s="17" t="str">
        <f ca="1">IF(Ergebnisse!K43=Ergebnisse!$B$98,Ergebnisse!K43,"")</f>
        <v>ok</v>
      </c>
      <c r="AZ43" s="2"/>
      <c r="BA43" s="2">
        <v>23</v>
      </c>
      <c r="BB43" s="6">
        <f>VLOOKUP(BA43,Spiele!$A$1:$L$116,2,FALSE)</f>
        <v>46190.5</v>
      </c>
      <c r="BC43" s="6" t="str">
        <f>VLOOKUP(BA43,Spiele!$A$1:$L$116,9,FALSE)</f>
        <v>Houston</v>
      </c>
      <c r="BD43" s="56" t="str">
        <f>BY42</f>
        <v>Portugal</v>
      </c>
      <c r="BE43" s="40" t="s">
        <v>24</v>
      </c>
      <c r="BF43" s="56" t="str">
        <f>BY43</f>
        <v>DR Kongo</v>
      </c>
      <c r="BG43" s="53"/>
      <c r="BH43" s="107">
        <f t="shared" ref="BH43:BH48" ca="1" si="18">IF($B$99="",2,INT(RAND()*5)+INT(RAND()*3)*INT(RAND()*2))</f>
        <v>2</v>
      </c>
      <c r="BI43" s="11" t="s">
        <v>25</v>
      </c>
      <c r="BJ43" s="107">
        <f t="shared" ref="BJ43:BJ48" ca="1" si="19">IF($B$99="",1,INT(RAND()*5)+INT(RAND()*3)*INT(RAND()*2))</f>
        <v>1</v>
      </c>
      <c r="BK43" s="7" t="s">
        <v>26</v>
      </c>
      <c r="BL43" s="1"/>
      <c r="BM43" s="9" t="str">
        <f ca="1">VLOOKUP(2,$BX$42:$CC$45,2,FALSE)</f>
        <v>Portugal</v>
      </c>
      <c r="BN43" s="2">
        <f ca="1">VLOOKUP(2,$BX$42:$CC$45,3,FALSE)</f>
        <v>6</v>
      </c>
      <c r="BO43" s="2">
        <f ca="1">VLOOKUP(2,$BX$42:$CC$45,4,FALSE)</f>
        <v>5</v>
      </c>
      <c r="BP43" s="2">
        <f ca="1">VLOOKUP(2,$BX$42:$CC$45,5,FALSE)</f>
        <v>4</v>
      </c>
      <c r="BQ43" s="2">
        <f ca="1">VLOOKUP(2,$BX$42:$CC$45,6,FALSE)</f>
        <v>1</v>
      </c>
      <c r="BS43" s="61">
        <f ca="1">IF(BJ43="",0,IF(BK43=$B$98,IF(BH43&lt;BJ43,3,IF(BH43=BJ43,1,0)),0))</f>
        <v>0</v>
      </c>
      <c r="BT43" s="61"/>
      <c r="BU43" s="60">
        <f ca="1">IF(BH48="",0,IF(BK47=$B$98,IF(BH48&gt;BJ48,3,IF(BH48=BJ48,1,0)),0))</f>
        <v>3</v>
      </c>
      <c r="BV43" s="61">
        <f ca="1">IF(BJ46="",0,IF(BK46=$B$98,IF(BJ46&gt;BH46,3,IF(BJ46=BH46,1,0)),0))</f>
        <v>0</v>
      </c>
      <c r="BW43" s="1"/>
      <c r="BX43" s="1">
        <f ca="1">RANK(CD43,$CD$42:$CD$45)</f>
        <v>3</v>
      </c>
      <c r="BY43" s="40" t="s">
        <v>236</v>
      </c>
      <c r="BZ43" s="1">
        <f ca="1">SUM(BS43:BV43)</f>
        <v>3</v>
      </c>
      <c r="CA43" s="1">
        <f ca="1">SUM(BS47:BV47)</f>
        <v>4</v>
      </c>
      <c r="CB43" s="1">
        <f ca="1">SUM(BT46:BT49)</f>
        <v>5</v>
      </c>
      <c r="CC43" s="1">
        <f ca="1">CA43-CB43</f>
        <v>-1</v>
      </c>
      <c r="CD43" s="24">
        <f ca="1">IF(BP$8="",(((((((CE43*10+BZ43)*100+CC43)*100+CA43)*10+CK43)*10+CJ43)*100+CP43)*100+CU43)*10+CV43,(((((((CE43*10+BZ43)*10+CK43)*10+CJ43)*100+CP43)*100+CU43)*100+CC43)*100+CA43)*10+CV43)</f>
        <v>303010199043</v>
      </c>
      <c r="CE43" s="207"/>
      <c r="CF43" s="218">
        <f ca="1">IF($BZ43=$BZ42,$BS43-$BT42,0)</f>
        <v>0</v>
      </c>
      <c r="CG43" s="218"/>
      <c r="CH43" s="218">
        <f ca="1">IF($BZ43=$BZ44,$BU43-$BT44,0)</f>
        <v>3</v>
      </c>
      <c r="CI43" s="218">
        <f ca="1">IF($BZ43=$BZ45,$BV43-$BT45,0)</f>
        <v>0</v>
      </c>
      <c r="CJ43" s="218">
        <f ca="1">SUM(CF43:CI43)</f>
        <v>3</v>
      </c>
      <c r="CK43" s="207"/>
      <c r="CL43" s="218">
        <f ca="1">IF($BZ43=$BZ42,$BS47-$BT46,0)</f>
        <v>0</v>
      </c>
      <c r="CM43" s="218"/>
      <c r="CN43" s="218">
        <f ca="1">IF($BZ43=$BZ44,$BU47-$BT48,0)</f>
        <v>1</v>
      </c>
      <c r="CO43" s="218">
        <f ca="1">IF($BZ43=$BZ45,$BV47-$BT49,0)</f>
        <v>0</v>
      </c>
      <c r="CP43" s="218">
        <f ca="1">SUM(CL43:CO43)</f>
        <v>1</v>
      </c>
      <c r="CQ43" s="218">
        <f ca="1">IF($BZ43=$BZ42,$BS47,0)</f>
        <v>0</v>
      </c>
      <c r="CR43" s="218"/>
      <c r="CS43" s="218">
        <f ca="1">IF($BZ43=$BZ44,$BU47,0)</f>
        <v>2</v>
      </c>
      <c r="CT43" s="218">
        <f ca="1">IF($BZ43=$BZ45,$BV47,0)</f>
        <v>0</v>
      </c>
      <c r="CU43" s="218">
        <f ca="1">SUM(CQ43:CT43)</f>
        <v>2</v>
      </c>
      <c r="CV43" s="207">
        <v>3</v>
      </c>
      <c r="CX43" s="17">
        <f ca="1">IF($CX$97="",IF(OR(Ergebnisse!BH43="",Ergebnisse!BJ43=""),0,IF(AND(BH43=Ergebnisse!BH43,BJ43=Ergebnisse!BJ43),7,MIN(7,(BH43-BJ43=Ergebnisse!BH43-Ergebnisse!BJ43)*4+(AND(BH43-BJ43&lt;&gt;Ergebnisse!BH43-Ergebnisse!BJ43,SIGN(BH43-BJ43)=SIGN(Ergebnisse!BH43-Ergebnisse!BJ43)))*2+(BH43=Ergebnisse!BH43)+(BJ43=Ergebnisse!BJ43)))),INT(RAND()*8))</f>
        <v>3</v>
      </c>
      <c r="CY43" s="17" t="str">
        <f ca="1">IF(Ergebnisse!BK43=Ergebnisse!$B$98,Ergebnisse!BK43,"")</f>
        <v>ok</v>
      </c>
      <c r="DA43" s="165" t="s">
        <v>63</v>
      </c>
      <c r="DB43" s="272">
        <v>24</v>
      </c>
    </row>
    <row r="44" spans="1:106">
      <c r="A44" s="2">
        <v>13</v>
      </c>
      <c r="B44" s="6">
        <f>VLOOKUP(A44,Spiele!$A$1:$L$116,2,FALSE)</f>
        <v>46188.75</v>
      </c>
      <c r="C44" s="6" t="str">
        <f>VLOOKUP(A44,Spiele!$A$1:$L$116,9,FALSE)</f>
        <v>Miami</v>
      </c>
      <c r="D44" s="56" t="str">
        <f>Y44</f>
        <v>Saudiarabien</v>
      </c>
      <c r="E44" s="40" t="s">
        <v>24</v>
      </c>
      <c r="F44" s="56" t="str">
        <f>Y45</f>
        <v>Uruguay</v>
      </c>
      <c r="G44" s="53"/>
      <c r="H44" s="107">
        <f t="shared" ca="1" si="16"/>
        <v>2</v>
      </c>
      <c r="I44" s="11" t="s">
        <v>25</v>
      </c>
      <c r="J44" s="107">
        <f t="shared" ca="1" si="17"/>
        <v>1</v>
      </c>
      <c r="K44" s="7" t="s">
        <v>26</v>
      </c>
      <c r="L44" s="1"/>
      <c r="M44" s="9" t="str">
        <f ca="1">VLOOKUP(3,$X$42:$AC$45,2,FALSE)</f>
        <v>Kap Verde</v>
      </c>
      <c r="N44" s="2">
        <f ca="1">VLOOKUP(3,$X$42:$AC$45,3,FALSE)</f>
        <v>3</v>
      </c>
      <c r="O44" s="2">
        <f ca="1">VLOOKUP(3,$X$42:$AC$45,4,FALSE)</f>
        <v>4</v>
      </c>
      <c r="P44" s="2">
        <f ca="1">VLOOKUP(3,$X$42:$AC$45,5,FALSE)</f>
        <v>5</v>
      </c>
      <c r="Q44" s="2">
        <f ca="1">VLOOKUP(3,$X$42:$AC$45,6,FALSE)</f>
        <v>-1</v>
      </c>
      <c r="S44" s="61">
        <f ca="1">IF(J45="",0,IF(K45=$B$98,IF(H45&lt;J45,3,IF(H45=J45,1,0)),0))</f>
        <v>0</v>
      </c>
      <c r="T44" s="61">
        <f ca="1">IF(J48="",0,IF(K47=$B$98,IF(H48&lt;J48,3,IF(H48=J48,1,0)),0))</f>
        <v>0</v>
      </c>
      <c r="U44" s="60"/>
      <c r="V44" s="61">
        <f ca="1">IF(H44="",0,IF(K44=$B$98,IF(H44&gt;J44,3,IF(H44=J44,1,0)),0))</f>
        <v>3</v>
      </c>
      <c r="W44" s="62"/>
      <c r="X44" s="62">
        <f ca="1">RANK(AD44,$AD$42:$AD$45)</f>
        <v>4</v>
      </c>
      <c r="Y44" s="40" t="s">
        <v>237</v>
      </c>
      <c r="Z44" s="62">
        <f ca="1">SUM(S44:V44)</f>
        <v>3</v>
      </c>
      <c r="AA44" s="62">
        <f ca="1">SUM(S48:V48)</f>
        <v>4</v>
      </c>
      <c r="AB44" s="62">
        <f ca="1">SUM(U46:U49)</f>
        <v>5</v>
      </c>
      <c r="AC44" s="62">
        <f ca="1">AA44-AB44</f>
        <v>-1</v>
      </c>
      <c r="AD44" s="24">
        <f ca="1">IF(P$18="",(((((((AE44*10+Z44)*100+AC44)*100+AA44)*10+AK44)*10+AJ44)*100+AP44)*100+AU44)*10+AV44,(((((((AE44*10+Z44)*10+AK44)*10+AJ44)*100+AP44)*100+AU44)*100+AC44)*100+AA44)*10+AV44)</f>
        <v>296990099042</v>
      </c>
      <c r="AE44" s="203"/>
      <c r="AF44" s="217">
        <f ca="1">IF($Z44=$Z42,$S44-$U42,0)</f>
        <v>0</v>
      </c>
      <c r="AG44" s="217">
        <f ca="1">IF($Z44=$Z43,$T44-$U43,0)</f>
        <v>-3</v>
      </c>
      <c r="AH44" s="217"/>
      <c r="AI44" s="217">
        <f ca="1">IF($Z44=$Z45,$V44-$U45,0)</f>
        <v>0</v>
      </c>
      <c r="AJ44" s="217">
        <f ca="1">SUM(AF44:AI44)</f>
        <v>-3</v>
      </c>
      <c r="AK44" s="203"/>
      <c r="AL44" s="217">
        <f ca="1">IF($Z44=$Z42,$S48-$U46,0)</f>
        <v>0</v>
      </c>
      <c r="AM44" s="217">
        <f ca="1">IF($Z44=$Z43,$T48-$U47,0)</f>
        <v>-1</v>
      </c>
      <c r="AN44" s="217"/>
      <c r="AO44" s="217">
        <f ca="1">IF($Z44=$Z45,$V48-$U49,0)</f>
        <v>0</v>
      </c>
      <c r="AP44" s="217">
        <f ca="1">SUM(AL44:AO44)</f>
        <v>-1</v>
      </c>
      <c r="AQ44" s="217">
        <f ca="1">IF($Z44=$Z42,$S48,0)</f>
        <v>0</v>
      </c>
      <c r="AR44" s="217">
        <f ca="1">IF($Z44=$Z43,$T48,0)</f>
        <v>1</v>
      </c>
      <c r="AS44" s="217"/>
      <c r="AT44" s="217">
        <f ca="1">IF($Z44=$Z45,$V48,0)</f>
        <v>0</v>
      </c>
      <c r="AU44" s="217">
        <f ca="1">SUM(AQ44:AT44)</f>
        <v>1</v>
      </c>
      <c r="AV44" s="203">
        <v>2</v>
      </c>
      <c r="AW44" s="2"/>
      <c r="AX44" s="17">
        <f ca="1">IF($CX$97="",IF(OR(Ergebnisse!H44="",Ergebnisse!J44=""),0,IF(AND(H44=Ergebnisse!H44,J44=Ergebnisse!J44),7,MIN(7,(H44-J44=Ergebnisse!H44-Ergebnisse!J44)*4+(AND(H44-J44&lt;&gt;Ergebnisse!H44-Ergebnisse!J44,SIGN(H44-J44)=SIGN(Ergebnisse!H44-Ergebnisse!J44)))*2+(H44=Ergebnisse!H44)+(J44=Ergebnisse!J44)))),INT(RAND()*8))</f>
        <v>0</v>
      </c>
      <c r="AY44" s="17" t="str">
        <f ca="1">IF(Ergebnisse!K44=Ergebnisse!$B$98,Ergebnisse!K44,"")</f>
        <v>ok</v>
      </c>
      <c r="AZ44" s="2"/>
      <c r="BA44" s="2">
        <v>24</v>
      </c>
      <c r="BB44" s="6">
        <f>VLOOKUP(BA44,Spiele!$A$1:$L$116,2,FALSE)</f>
        <v>46190.875</v>
      </c>
      <c r="BC44" s="6" t="str">
        <f>VLOOKUP(BA44,Spiele!$A$1:$L$116,9,FALSE)</f>
        <v>Mexico City</v>
      </c>
      <c r="BD44" s="56" t="str">
        <f>BY44</f>
        <v>Usbekistan</v>
      </c>
      <c r="BE44" s="40" t="s">
        <v>24</v>
      </c>
      <c r="BF44" s="56" t="str">
        <f>BY45</f>
        <v>Kolumbien</v>
      </c>
      <c r="BG44" s="53"/>
      <c r="BH44" s="107">
        <f t="shared" ca="1" si="18"/>
        <v>2</v>
      </c>
      <c r="BI44" s="11" t="s">
        <v>25</v>
      </c>
      <c r="BJ44" s="107">
        <f t="shared" ca="1" si="19"/>
        <v>1</v>
      </c>
      <c r="BK44" s="7" t="s">
        <v>26</v>
      </c>
      <c r="BL44" s="1"/>
      <c r="BM44" s="9" t="str">
        <f ca="1">VLOOKUP(3,$BX$42:$CC$45,2,FALSE)</f>
        <v>DR Kongo</v>
      </c>
      <c r="BN44" s="2">
        <f ca="1">VLOOKUP(3,$BX$42:$CC$45,3,FALSE)</f>
        <v>3</v>
      </c>
      <c r="BO44" s="2">
        <f ca="1">VLOOKUP(3,$BX$42:$CC$45,4,FALSE)</f>
        <v>4</v>
      </c>
      <c r="BP44" s="2">
        <f ca="1">VLOOKUP(3,$BX$42:$CC$45,5,FALSE)</f>
        <v>5</v>
      </c>
      <c r="BQ44" s="2">
        <f ca="1">VLOOKUP(3,$BX$42:$CC$45,6,FALSE)</f>
        <v>-1</v>
      </c>
      <c r="BS44" s="61">
        <f ca="1">IF(BJ45="",0,IF(BK45=$B$98,IF(BH45&lt;BJ45,3,IF(BH45=BJ45,1,0)),0))</f>
        <v>0</v>
      </c>
      <c r="BT44" s="61">
        <f ca="1">IF(BJ48="",0,IF(BK47=$B$98,IF(BH48&lt;BJ48,3,IF(BH48=BJ48,1,0)),0))</f>
        <v>0</v>
      </c>
      <c r="BU44" s="60"/>
      <c r="BV44" s="61">
        <f ca="1">IF(BH44="",0,IF(BK44=$B$98,IF(BH44&gt;BJ44,3,IF(BH44=BJ44,1,0)),0))</f>
        <v>3</v>
      </c>
      <c r="BW44" s="1"/>
      <c r="BX44" s="1">
        <f ca="1">RANK(CD44,$CD$42:$CD$45)</f>
        <v>4</v>
      </c>
      <c r="BY44" s="40" t="s">
        <v>238</v>
      </c>
      <c r="BZ44" s="1">
        <f ca="1">SUM(BS44:BV44)</f>
        <v>3</v>
      </c>
      <c r="CA44" s="1">
        <f ca="1">SUM(BS48:BV48)</f>
        <v>4</v>
      </c>
      <c r="CB44" s="1">
        <f ca="1">SUM(BU46:BU49)</f>
        <v>5</v>
      </c>
      <c r="CC44" s="1">
        <f ca="1">CA44-CB44</f>
        <v>-1</v>
      </c>
      <c r="CD44" s="24">
        <f ca="1">IF(BP$8="",(((((((CE44*10+BZ44)*100+CC44)*100+CA44)*10+CK44)*10+CJ44)*100+CP44)*100+CU44)*10+CV44,(((((((CE44*10+BZ44)*10+CK44)*10+CJ44)*100+CP44)*100+CU44)*100+CC44)*100+CA44)*10+CV44)</f>
        <v>296990099042</v>
      </c>
      <c r="CE44" s="207"/>
      <c r="CF44" s="218">
        <f ca="1">IF($BZ44=$BZ42,$BS44-$BU42,0)</f>
        <v>0</v>
      </c>
      <c r="CG44" s="218">
        <f ca="1">IF($BZ44=$BZ43,$BT44-$BU43,0)</f>
        <v>-3</v>
      </c>
      <c r="CH44" s="218"/>
      <c r="CI44" s="218">
        <f ca="1">IF($BZ44=$BZ45,$BV44-$BU45,0)</f>
        <v>0</v>
      </c>
      <c r="CJ44" s="218">
        <f ca="1">SUM(CF44:CI44)</f>
        <v>-3</v>
      </c>
      <c r="CK44" s="207"/>
      <c r="CL44" s="218">
        <f ca="1">IF($BZ44=$BZ42,$BS48-$BU46,0)</f>
        <v>0</v>
      </c>
      <c r="CM44" s="218">
        <f ca="1">IF($BZ44=$BZ43,$BT48-$BU47,0)</f>
        <v>-1</v>
      </c>
      <c r="CN44" s="218"/>
      <c r="CO44" s="218">
        <f ca="1">IF($BZ44=$BZ45,$BV48-$BU49,0)</f>
        <v>0</v>
      </c>
      <c r="CP44" s="218">
        <f ca="1">SUM(CL44:CO44)</f>
        <v>-1</v>
      </c>
      <c r="CQ44" s="218">
        <f ca="1">IF($BZ44=$BZ42,$BS48,0)</f>
        <v>0</v>
      </c>
      <c r="CR44" s="218">
        <f ca="1">IF($BZ44=$BZ43,$BT48,0)</f>
        <v>1</v>
      </c>
      <c r="CS44" s="218"/>
      <c r="CT44" s="218">
        <f ca="1">IF($BZ44=$BZ45,$BV48,0)</f>
        <v>0</v>
      </c>
      <c r="CU44" s="218">
        <f ca="1">SUM(CQ44:CT44)</f>
        <v>1</v>
      </c>
      <c r="CV44" s="207">
        <v>2</v>
      </c>
      <c r="CX44" s="17">
        <f ca="1">IF($CX$97="",IF(OR(Ergebnisse!BH44="",Ergebnisse!BJ44=""),0,IF(AND(BH44=Ergebnisse!BH44,BJ44=Ergebnisse!BJ44),7,MIN(7,(BH44-BJ44=Ergebnisse!BH44-Ergebnisse!BJ44)*4+(AND(BH44-BJ44&lt;&gt;Ergebnisse!BH44-Ergebnisse!BJ44,SIGN(BH44-BJ44)=SIGN(Ergebnisse!BH44-Ergebnisse!BJ44)))*2+(BH44=Ergebnisse!BH44)+(BJ44=Ergebnisse!BJ44)))),INT(RAND()*8))</f>
        <v>4</v>
      </c>
      <c r="CY44" s="17" t="str">
        <f ca="1">IF(Ergebnisse!BK44=Ergebnisse!$B$98,Ergebnisse!BK44,"")</f>
        <v>ok</v>
      </c>
    </row>
    <row r="45" spans="1:106">
      <c r="A45" s="2">
        <v>38</v>
      </c>
      <c r="B45" s="6">
        <f>VLOOKUP(A45,Spiele!$A$1:$L$116,2,FALSE)</f>
        <v>46194.5</v>
      </c>
      <c r="C45" s="6" t="str">
        <f>VLOOKUP(A45,Spiele!$A$1:$L$116,9,FALSE)</f>
        <v>Atlanta</v>
      </c>
      <c r="D45" s="56" t="str">
        <f>Y42</f>
        <v>Spanien</v>
      </c>
      <c r="E45" s="40" t="s">
        <v>24</v>
      </c>
      <c r="F45" s="56" t="str">
        <f>Y44</f>
        <v>Saudiarabien</v>
      </c>
      <c r="G45" s="53"/>
      <c r="H45" s="107">
        <f t="shared" ca="1" si="16"/>
        <v>2</v>
      </c>
      <c r="I45" s="11" t="s">
        <v>25</v>
      </c>
      <c r="J45" s="107">
        <f t="shared" ca="1" si="17"/>
        <v>1</v>
      </c>
      <c r="K45" s="7" t="s">
        <v>26</v>
      </c>
      <c r="L45" s="1"/>
      <c r="M45" s="9" t="str">
        <f ca="1">VLOOKUP(4,$X$42:$AC$45,2,FALSE)</f>
        <v>Saudiarabien</v>
      </c>
      <c r="N45" s="2">
        <f ca="1">VLOOKUP(4,$X$42:$AC$45,3,FALSE)</f>
        <v>3</v>
      </c>
      <c r="O45" s="2">
        <f ca="1">VLOOKUP(4,$X$42:$AC$45,4,FALSE)</f>
        <v>4</v>
      </c>
      <c r="P45" s="2">
        <f ca="1">VLOOKUP(4,$X$42:$AC$45,5,FALSE)</f>
        <v>5</v>
      </c>
      <c r="Q45" s="2">
        <f ca="1">VLOOKUP(4,$X$42:$AC$45,6,FALSE)</f>
        <v>-1</v>
      </c>
      <c r="S45" s="61">
        <f ca="1">IF(H47="",0,IF(K48=$B$98,IF(H47&gt;J47,3,IF(H47=J47,1,0)),0))</f>
        <v>3</v>
      </c>
      <c r="T45" s="61">
        <f ca="1">IF(H46="",0,IF(K46=$B$98,IF(J46&lt;H46,3,IF(J46=H46,1,0)),0))</f>
        <v>3</v>
      </c>
      <c r="U45" s="60">
        <f ca="1">IF(J44="",0,IF(K44=$B$98,IF(H44&lt;J44,3,IF(H44=J44,1,0)),0))</f>
        <v>0</v>
      </c>
      <c r="V45" s="61"/>
      <c r="W45" s="62"/>
      <c r="X45" s="62">
        <f ca="1">RANK(AD45,$AD$42:$AD$45)</f>
        <v>1</v>
      </c>
      <c r="Y45" s="40" t="s">
        <v>239</v>
      </c>
      <c r="Z45" s="62">
        <f ca="1">SUM(S45:V45)</f>
        <v>6</v>
      </c>
      <c r="AA45" s="62">
        <f ca="1">SUM(S49:V49)</f>
        <v>5</v>
      </c>
      <c r="AB45" s="62">
        <f ca="1">SUM(V46:V49)</f>
        <v>4</v>
      </c>
      <c r="AC45" s="62">
        <f ca="1">AA45-AB45</f>
        <v>1</v>
      </c>
      <c r="AD45" s="24">
        <f ca="1">IF(P$18="",(((((((AE45*10+Z45)*100+AC45)*100+AA45)*10+AK45)*10+AJ45)*100+AP45)*100+AU45)*10+AV45,(((((((AE45*10+Z45)*10+AK45)*10+AJ45)*100+AP45)*100+AU45)*100+AC45)*100+AA45)*10+AV45)</f>
        <v>603010201051</v>
      </c>
      <c r="AE45" s="203"/>
      <c r="AF45" s="217">
        <f ca="1">IF($Z45=$Z42,$S45-$V42,0)</f>
        <v>3</v>
      </c>
      <c r="AG45" s="217">
        <f ca="1">IF($Z45=$Z43,$T45-$V43,0)</f>
        <v>0</v>
      </c>
      <c r="AH45" s="217">
        <f ca="1">IF($Z45=$Z44,$U45-$V44,0)</f>
        <v>0</v>
      </c>
      <c r="AI45" s="217"/>
      <c r="AJ45" s="217">
        <f ca="1">SUM(AF45:AI45)</f>
        <v>3</v>
      </c>
      <c r="AK45" s="203"/>
      <c r="AL45" s="217">
        <f ca="1">IF($Z45=$Z42,$S49-$V46,0)</f>
        <v>1</v>
      </c>
      <c r="AM45" s="217">
        <f ca="1">IF($Z45=$Z43,$T49-$V47,0)</f>
        <v>0</v>
      </c>
      <c r="AN45" s="217">
        <f ca="1">IF($Z45=$Z44,$U49-$V48,0)</f>
        <v>0</v>
      </c>
      <c r="AO45" s="217"/>
      <c r="AP45" s="217">
        <f ca="1">SUM(AL45:AO45)</f>
        <v>1</v>
      </c>
      <c r="AQ45" s="217">
        <f ca="1">IF($Z45=$Z42,$S49,0)</f>
        <v>2</v>
      </c>
      <c r="AR45" s="217">
        <f ca="1">IF($Z45=$Z43,$T49,0)</f>
        <v>0</v>
      </c>
      <c r="AS45" s="217">
        <f ca="1">IF($Z45=$Z44,$U49,0)</f>
        <v>0</v>
      </c>
      <c r="AT45" s="217"/>
      <c r="AU45" s="217">
        <f ca="1">SUM(AQ45:AT45)</f>
        <v>2</v>
      </c>
      <c r="AV45" s="203">
        <v>1</v>
      </c>
      <c r="AW45" s="2"/>
      <c r="AX45" s="17">
        <f ca="1">IF($CX$97="",IF(OR(Ergebnisse!H45="",Ergebnisse!J45=""),0,IF(AND(H45=Ergebnisse!H45,J45=Ergebnisse!J45),7,MIN(7,(H45-J45=Ergebnisse!H45-Ergebnisse!J45)*4+(AND(H45-J45&lt;&gt;Ergebnisse!H45-Ergebnisse!J45,SIGN(H45-J45)=SIGN(Ergebnisse!H45-Ergebnisse!J45)))*2+(H45=Ergebnisse!H45)+(J45=Ergebnisse!J45)))),INT(RAND()*8))</f>
        <v>0</v>
      </c>
      <c r="AY45" s="17" t="str">
        <f ca="1">IF(Ergebnisse!K45=Ergebnisse!$B$98,Ergebnisse!K45,"")</f>
        <v>ok</v>
      </c>
      <c r="AZ45" s="2"/>
      <c r="BA45" s="2">
        <v>47</v>
      </c>
      <c r="BB45" s="6">
        <f>VLOOKUP(BA45,Spiele!$A$1:$L$116,2,FALSE)</f>
        <v>46196.5</v>
      </c>
      <c r="BC45" s="6" t="str">
        <f>VLOOKUP(BA45,Spiele!$A$1:$L$116,9,FALSE)</f>
        <v>Houston</v>
      </c>
      <c r="BD45" s="56" t="str">
        <f>BY42</f>
        <v>Portugal</v>
      </c>
      <c r="BE45" s="40" t="s">
        <v>24</v>
      </c>
      <c r="BF45" s="56" t="str">
        <f>BY44</f>
        <v>Usbekistan</v>
      </c>
      <c r="BG45" s="53"/>
      <c r="BH45" s="107">
        <f t="shared" ca="1" si="18"/>
        <v>2</v>
      </c>
      <c r="BI45" s="11" t="s">
        <v>25</v>
      </c>
      <c r="BJ45" s="107">
        <f t="shared" ca="1" si="19"/>
        <v>1</v>
      </c>
      <c r="BK45" s="7" t="s">
        <v>26</v>
      </c>
      <c r="BL45" s="1"/>
      <c r="BM45" s="9" t="str">
        <f ca="1">VLOOKUP(4,$BX$42:CC$45,2,FALSE)</f>
        <v>Usbekistan</v>
      </c>
      <c r="BN45" s="2">
        <f ca="1">VLOOKUP(4,$BX$42:$CC$45,3,FALSE)</f>
        <v>3</v>
      </c>
      <c r="BO45" s="2">
        <f ca="1">VLOOKUP(4,$BX$42:$CC$45,4,FALSE)</f>
        <v>4</v>
      </c>
      <c r="BP45" s="2">
        <f ca="1">VLOOKUP(4,$BX$42:$CC$45,5,FALSE)</f>
        <v>5</v>
      </c>
      <c r="BQ45" s="2">
        <f ca="1">VLOOKUP(4,$BX$42:$CC$45,6,FALSE)</f>
        <v>-1</v>
      </c>
      <c r="BS45" s="61">
        <f ca="1">IF(BH47="",0,IF(BK48=$B$98,IF(BH47&gt;BJ47,3,IF(BH47=BJ47,1,0)),0))</f>
        <v>3</v>
      </c>
      <c r="BT45" s="61">
        <f ca="1">IF(BH46="",0,IF(BK46=$B$98,IF(BJ46&lt;BH46,3,IF(BJ46=BH46,1,0)),0))</f>
        <v>3</v>
      </c>
      <c r="BU45" s="60">
        <f ca="1">IF(BJ44="",0,IF(BK44=$B$98,IF(BH44&lt;BJ44,3,IF(BH44=BJ44,1,0)),0))</f>
        <v>0</v>
      </c>
      <c r="BV45" s="61"/>
      <c r="BW45" s="1"/>
      <c r="BX45" s="1">
        <f ca="1">RANK(CD45,$CD$42:$CD$45)</f>
        <v>1</v>
      </c>
      <c r="BY45" s="40" t="s">
        <v>240</v>
      </c>
      <c r="BZ45" s="1">
        <f ca="1">SUM(BS45:BV45)</f>
        <v>6</v>
      </c>
      <c r="CA45" s="1">
        <f ca="1">SUM(BS49:BV49)</f>
        <v>5</v>
      </c>
      <c r="CB45" s="1">
        <f ca="1">SUM(BV46:BV49)</f>
        <v>4</v>
      </c>
      <c r="CC45" s="1">
        <f ca="1">CA45-CB45</f>
        <v>1</v>
      </c>
      <c r="CD45" s="24">
        <f ca="1">IF(BP$8="",(((((((CE45*10+BZ45)*100+CC45)*100+CA45)*10+CK45)*10+CJ45)*100+CP45)*100+CU45)*10+CV45,(((((((CE45*10+BZ45)*10+CK45)*10+CJ45)*100+CP45)*100+CU45)*100+CC45)*100+CA45)*10+CV45)</f>
        <v>603010201051</v>
      </c>
      <c r="CE45" s="207"/>
      <c r="CF45" s="218">
        <f ca="1">IF($BZ45=$BZ42,$BS45-$BV42,0)</f>
        <v>3</v>
      </c>
      <c r="CG45" s="218">
        <f ca="1">IF($BZ45=$BZ43,$BT45-$BV43,0)</f>
        <v>0</v>
      </c>
      <c r="CH45" s="218">
        <f ca="1">IF($BZ45=$BZ44,$BU45-$BV44,0)</f>
        <v>0</v>
      </c>
      <c r="CI45" s="218"/>
      <c r="CJ45" s="218">
        <f ca="1">SUM(CF45:CI45)</f>
        <v>3</v>
      </c>
      <c r="CK45" s="207"/>
      <c r="CL45" s="218">
        <f ca="1">IF($BZ45=$BZ42,$BS49-$BV46,0)</f>
        <v>1</v>
      </c>
      <c r="CM45" s="218">
        <f ca="1">IF($BZ45=$BZ43,$BT49-$BV47,0)</f>
        <v>0</v>
      </c>
      <c r="CN45" s="218">
        <f ca="1">IF($BZ45=$BZ44,$BU49-$BV48,0)</f>
        <v>0</v>
      </c>
      <c r="CO45" s="218"/>
      <c r="CP45" s="218">
        <f ca="1">SUM(CL45:CO45)</f>
        <v>1</v>
      </c>
      <c r="CQ45" s="218">
        <f ca="1">IF($BZ45=$BZ42,$BS49,0)</f>
        <v>2</v>
      </c>
      <c r="CR45" s="218">
        <f ca="1">IF($BZ45=$BZ43,$BT49,0)</f>
        <v>0</v>
      </c>
      <c r="CS45" s="218">
        <f ca="1">IF($BZ45=$BZ44,$BU49,0)</f>
        <v>0</v>
      </c>
      <c r="CT45" s="218"/>
      <c r="CU45" s="218">
        <f ca="1">SUM(CQ45:CT45)</f>
        <v>2</v>
      </c>
      <c r="CV45" s="207">
        <v>1</v>
      </c>
      <c r="CX45" s="17">
        <f ca="1">IF($CX$97="",IF(OR(Ergebnisse!BH45="",Ergebnisse!BJ45=""),0,IF(AND(BH45=Ergebnisse!BH45,BJ45=Ergebnisse!BJ45),7,MIN(7,(BH45-BJ45=Ergebnisse!BH45-Ergebnisse!BJ45)*4+(AND(BH45-BJ45&lt;&gt;Ergebnisse!BH45-Ergebnisse!BJ45,SIGN(BH45-BJ45)=SIGN(Ergebnisse!BH45-Ergebnisse!BJ45)))*2+(BH45=Ergebnisse!BH45)+(BJ45=Ergebnisse!BJ45)))),INT(RAND()*8))</f>
        <v>0</v>
      </c>
      <c r="CY45" s="17" t="str">
        <f ca="1">IF(Ergebnisse!BK45=Ergebnisse!$B$98,Ergebnisse!BK45,"")</f>
        <v>ok</v>
      </c>
      <c r="DA45" s="165" t="s">
        <v>180</v>
      </c>
      <c r="DB45" s="186">
        <f>DB47*(2*DB46)</f>
        <v>64</v>
      </c>
    </row>
    <row r="46" spans="1:106">
      <c r="A46" s="2">
        <v>37</v>
      </c>
      <c r="B46" s="6">
        <f>VLOOKUP(A46,Spiele!$A$1:$L$116,2,FALSE)</f>
        <v>46194.75</v>
      </c>
      <c r="C46" s="6" t="str">
        <f>VLOOKUP(A46,Spiele!$A$1:$L$116,9,FALSE)</f>
        <v>Miami</v>
      </c>
      <c r="D46" s="56" t="str">
        <f>Y45</f>
        <v>Uruguay</v>
      </c>
      <c r="E46" s="40" t="s">
        <v>24</v>
      </c>
      <c r="F46" s="56" t="str">
        <f>Y43</f>
        <v>Kap Verde</v>
      </c>
      <c r="G46" s="53"/>
      <c r="H46" s="107">
        <f t="shared" ca="1" si="16"/>
        <v>2</v>
      </c>
      <c r="I46" s="11" t="s">
        <v>25</v>
      </c>
      <c r="J46" s="107">
        <f t="shared" ca="1" si="17"/>
        <v>1</v>
      </c>
      <c r="K46" s="7" t="s">
        <v>26</v>
      </c>
      <c r="L46" s="1"/>
      <c r="S46" s="61"/>
      <c r="T46" s="61">
        <f ca="1">IF(K43=$B$98,H43,0)</f>
        <v>2</v>
      </c>
      <c r="U46" s="60">
        <f ca="1">IF(K45=$B$98,H45,0)</f>
        <v>2</v>
      </c>
      <c r="V46" s="61">
        <f ca="1">IF(K48=$B$98,J47,0)</f>
        <v>1</v>
      </c>
      <c r="W46" s="62"/>
      <c r="X46" s="62"/>
      <c r="Y46" s="40"/>
      <c r="Z46" s="62"/>
      <c r="AA46" s="62"/>
      <c r="AB46" s="62"/>
      <c r="AC46" s="62"/>
      <c r="AD46" s="24"/>
      <c r="AE46" s="203"/>
      <c r="AF46" s="217"/>
      <c r="AG46" s="217"/>
      <c r="AH46" s="217"/>
      <c r="AI46" s="217"/>
      <c r="AJ46" s="217"/>
      <c r="AK46" s="203"/>
      <c r="AL46" s="217"/>
      <c r="AM46" s="217"/>
      <c r="AN46" s="217"/>
      <c r="AO46" s="217"/>
      <c r="AP46" s="217"/>
      <c r="AQ46" s="217"/>
      <c r="AR46" s="217"/>
      <c r="AS46" s="217"/>
      <c r="AT46" s="217"/>
      <c r="AU46" s="217"/>
      <c r="AV46" s="203"/>
      <c r="AW46" s="2"/>
      <c r="AX46" s="17">
        <f ca="1">IF($CX$97="",IF(OR(Ergebnisse!H46="",Ergebnisse!J46=""),0,IF(AND(H46=Ergebnisse!H46,J46=Ergebnisse!J46),7,MIN(7,(H46-J46=Ergebnisse!H46-Ergebnisse!J46)*4+(AND(H46-J46&lt;&gt;Ergebnisse!H46-Ergebnisse!J46,SIGN(H46-J46)=SIGN(Ergebnisse!H46-Ergebnisse!J46)))*2+(H46=Ergebnisse!H46)+(J46=Ergebnisse!J46)))),INT(RAND()*8))</f>
        <v>2</v>
      </c>
      <c r="AY46" s="17" t="str">
        <f ca="1">IF(Ergebnisse!K46=Ergebnisse!$B$98,Ergebnisse!K46,"")</f>
        <v>ok</v>
      </c>
      <c r="AZ46" s="2"/>
      <c r="BA46" s="2">
        <v>48</v>
      </c>
      <c r="BB46" s="6">
        <f>VLOOKUP(BA46,Spiele!$A$1:$L$116,2,FALSE)</f>
        <v>46196.875</v>
      </c>
      <c r="BC46" s="6" t="str">
        <f>VLOOKUP(BA46,Spiele!$A$1:$L$116,9,FALSE)</f>
        <v>Guadalajara</v>
      </c>
      <c r="BD46" s="56" t="str">
        <f>BY45</f>
        <v>Kolumbien</v>
      </c>
      <c r="BE46" s="40" t="s">
        <v>24</v>
      </c>
      <c r="BF46" s="56" t="str">
        <f>BY43</f>
        <v>DR Kongo</v>
      </c>
      <c r="BG46" s="53"/>
      <c r="BH46" s="107">
        <f t="shared" ca="1" si="18"/>
        <v>2</v>
      </c>
      <c r="BI46" s="11" t="s">
        <v>25</v>
      </c>
      <c r="BJ46" s="107">
        <f t="shared" ca="1" si="19"/>
        <v>1</v>
      </c>
      <c r="BK46" s="7" t="s">
        <v>26</v>
      </c>
      <c r="BL46" s="1"/>
      <c r="BS46" s="61"/>
      <c r="BT46" s="61">
        <f ca="1">IF(BK43=$B$98,BH43,0)</f>
        <v>2</v>
      </c>
      <c r="BU46" s="60">
        <f ca="1">IF(BK45=$B$98,BH45,0)</f>
        <v>2</v>
      </c>
      <c r="BV46" s="61">
        <f ca="1">IF(BK48=$B$98,BJ47,0)</f>
        <v>1</v>
      </c>
      <c r="BW46" s="1"/>
      <c r="BX46" s="1"/>
      <c r="BY46" s="40"/>
      <c r="BZ46" s="1"/>
      <c r="CA46" s="1"/>
      <c r="CB46" s="1"/>
      <c r="CC46" s="1"/>
      <c r="CD46" s="24"/>
      <c r="CE46" s="207"/>
      <c r="CF46" s="218"/>
      <c r="CG46" s="218"/>
      <c r="CH46" s="218"/>
      <c r="CI46" s="218"/>
      <c r="CJ46" s="218"/>
      <c r="CK46" s="207"/>
      <c r="CL46" s="218"/>
      <c r="CM46" s="218"/>
      <c r="CN46" s="218"/>
      <c r="CO46" s="218"/>
      <c r="CP46" s="218"/>
      <c r="CQ46" s="218"/>
      <c r="CR46" s="218"/>
      <c r="CS46" s="218"/>
      <c r="CT46" s="218"/>
      <c r="CU46" s="218"/>
      <c r="CV46" s="207"/>
      <c r="CX46" s="17">
        <f ca="1">IF($CX$97="",IF(OR(Ergebnisse!BH46="",Ergebnisse!BJ46=""),0,IF(AND(BH46=Ergebnisse!BH46,BJ46=Ergebnisse!BJ46),7,MIN(7,(BH46-BJ46=Ergebnisse!BH46-Ergebnisse!BJ46)*4+(AND(BH46-BJ46&lt;&gt;Ergebnisse!BH46-Ergebnisse!BJ46,SIGN(BH46-BJ46)=SIGN(Ergebnisse!BH46-Ergebnisse!BJ46)))*2+(BH46=Ergebnisse!BH46)+(BJ46=Ergebnisse!BJ46)))),INT(RAND()*8))</f>
        <v>0</v>
      </c>
      <c r="CY46" s="17" t="str">
        <f ca="1">IF(Ergebnisse!BK46=Ergebnisse!$B$98,Ergebnisse!BK46,"")</f>
        <v>ok</v>
      </c>
      <c r="DA46" s="167" t="s">
        <v>181</v>
      </c>
      <c r="DB46" s="270">
        <v>1</v>
      </c>
    </row>
    <row r="47" spans="1:106">
      <c r="A47" s="2">
        <v>66</v>
      </c>
      <c r="B47" s="6">
        <f>VLOOKUP(A47,Spiele!$A$1:$L$116,2,FALSE)</f>
        <v>46199.791666666672</v>
      </c>
      <c r="C47" s="6" t="str">
        <f>VLOOKUP(A47,Spiele!$A$1:$L$116,9,FALSE)</f>
        <v>Guadalajara</v>
      </c>
      <c r="D47" s="56" t="str">
        <f>Y45</f>
        <v>Uruguay</v>
      </c>
      <c r="E47" s="40" t="s">
        <v>24</v>
      </c>
      <c r="F47" s="56" t="str">
        <f>Y42</f>
        <v>Spanien</v>
      </c>
      <c r="G47" s="53"/>
      <c r="H47" s="107">
        <f t="shared" ca="1" si="16"/>
        <v>2</v>
      </c>
      <c r="I47" s="11" t="s">
        <v>25</v>
      </c>
      <c r="J47" s="107">
        <f t="shared" ca="1" si="17"/>
        <v>1</v>
      </c>
      <c r="K47" s="7" t="s">
        <v>26</v>
      </c>
      <c r="L47" s="1"/>
      <c r="M47" s="233" t="str">
        <f ca="1">IF(N42&gt;0,M42,"")</f>
        <v>Uruguay</v>
      </c>
      <c r="N47" s="2" t="s">
        <v>241</v>
      </c>
      <c r="S47" s="61">
        <f ca="1">IF(K43=$B$98,J43,0)</f>
        <v>1</v>
      </c>
      <c r="T47" s="61"/>
      <c r="U47" s="60">
        <f ca="1">IF(K47=$B$98,H48,0)</f>
        <v>2</v>
      </c>
      <c r="V47" s="61">
        <f ca="1">IF(K46=$B$98,J46,0)</f>
        <v>1</v>
      </c>
      <c r="W47" s="62"/>
      <c r="X47" s="62"/>
      <c r="Y47" s="40"/>
      <c r="Z47" s="62"/>
      <c r="AA47" s="62"/>
      <c r="AB47" s="62"/>
      <c r="AC47" s="62"/>
      <c r="AD47" s="24" t="s">
        <v>140</v>
      </c>
      <c r="AE47" s="203"/>
      <c r="AF47" s="217"/>
      <c r="AG47" s="217"/>
      <c r="AH47" s="217"/>
      <c r="AI47" s="217"/>
      <c r="AJ47" s="217"/>
      <c r="AK47" s="203"/>
      <c r="AL47" s="217"/>
      <c r="AM47" s="217"/>
      <c r="AN47" s="217"/>
      <c r="AO47" s="217"/>
      <c r="AP47" s="217"/>
      <c r="AQ47" s="217"/>
      <c r="AR47" s="217"/>
      <c r="AS47" s="217"/>
      <c r="AT47" s="217"/>
      <c r="AU47" s="217"/>
      <c r="AV47" s="203"/>
      <c r="AW47" s="2"/>
      <c r="AX47" s="17">
        <f ca="1">IF($CX$97="",IF(OR(Ergebnisse!H47="",Ergebnisse!J47=""),0,IF(AND(H47=Ergebnisse!H47,J47=Ergebnisse!J47),7,MIN(7,(H47-J47=Ergebnisse!H47-Ergebnisse!J47)*4+(AND(H47-J47&lt;&gt;Ergebnisse!H47-Ergebnisse!J47,SIGN(H47-J47)=SIGN(Ergebnisse!H47-Ergebnisse!J47)))*2+(H47=Ergebnisse!H47)+(J47=Ergebnisse!J47)))),INT(RAND()*8))</f>
        <v>0</v>
      </c>
      <c r="AY47" s="17" t="str">
        <f ca="1">IF(Ergebnisse!K47=Ergebnisse!$B$98,Ergebnisse!K47,"")</f>
        <v>ok</v>
      </c>
      <c r="AZ47" s="2"/>
      <c r="BA47" s="2">
        <v>72</v>
      </c>
      <c r="BB47" s="6">
        <f>VLOOKUP(BA47,Spiele!$A$1:$L$116,2,FALSE)</f>
        <v>46200.8125</v>
      </c>
      <c r="BC47" s="6" t="str">
        <f>VLOOKUP(BA47,Spiele!$A$1:$L$116,9,FALSE)</f>
        <v>Atlanta</v>
      </c>
      <c r="BD47" s="56" t="str">
        <f>BY45</f>
        <v>Kolumbien</v>
      </c>
      <c r="BE47" s="40" t="s">
        <v>24</v>
      </c>
      <c r="BF47" s="56" t="str">
        <f>BY42</f>
        <v>Portugal</v>
      </c>
      <c r="BG47" s="53"/>
      <c r="BH47" s="107">
        <f t="shared" ca="1" si="18"/>
        <v>2</v>
      </c>
      <c r="BI47" s="11" t="s">
        <v>25</v>
      </c>
      <c r="BJ47" s="107">
        <f t="shared" ca="1" si="19"/>
        <v>1</v>
      </c>
      <c r="BK47" s="7" t="s">
        <v>26</v>
      </c>
      <c r="BL47" s="1"/>
      <c r="BM47" s="9" t="str">
        <f ca="1">IF(BN42&gt;0,BM42,"")</f>
        <v>Kolumbien</v>
      </c>
      <c r="BN47" s="2" t="s">
        <v>242</v>
      </c>
      <c r="BS47" s="61">
        <f ca="1">IF(BK43=$B$98,BJ43,0)</f>
        <v>1</v>
      </c>
      <c r="BT47" s="61"/>
      <c r="BU47" s="60">
        <f ca="1">IF(BK47=$B$98,BH48,0)</f>
        <v>2</v>
      </c>
      <c r="BV47" s="61">
        <f ca="1">IF(BK46=$B$98,BJ46,0)</f>
        <v>1</v>
      </c>
      <c r="BW47" s="1"/>
      <c r="BX47" s="1"/>
      <c r="BY47" s="40"/>
      <c r="BZ47" s="1"/>
      <c r="CA47" s="1"/>
      <c r="CB47" s="1"/>
      <c r="CC47" s="1"/>
      <c r="CD47" s="24" t="s">
        <v>140</v>
      </c>
      <c r="CE47" s="207"/>
      <c r="CF47" s="218"/>
      <c r="CG47" s="218"/>
      <c r="CH47" s="218"/>
      <c r="CI47" s="218"/>
      <c r="CJ47" s="218"/>
      <c r="CK47" s="207"/>
      <c r="CL47" s="218"/>
      <c r="CM47" s="218"/>
      <c r="CN47" s="218"/>
      <c r="CO47" s="218"/>
      <c r="CP47" s="218"/>
      <c r="CQ47" s="218"/>
      <c r="CR47" s="218"/>
      <c r="CS47" s="218"/>
      <c r="CT47" s="218"/>
      <c r="CU47" s="218"/>
      <c r="CV47" s="207"/>
      <c r="CX47" s="17">
        <f ca="1">IF($CX$97="",IF(OR(Ergebnisse!BH47="",Ergebnisse!BJ47=""),0,IF(AND(BH47=Ergebnisse!BH47,BJ47=Ergebnisse!BJ47),7,MIN(7,(BH47-BJ47=Ergebnisse!BH47-Ergebnisse!BJ47)*4+(AND(BH47-BJ47&lt;&gt;Ergebnisse!BH47-Ergebnisse!BJ47,SIGN(BH47-BJ47)=SIGN(Ergebnisse!BH47-Ergebnisse!BJ47)))*2+(BH47=Ergebnisse!BH47)+(BJ47=Ergebnisse!BJ47)))),INT(RAND()*8))</f>
        <v>0</v>
      </c>
      <c r="CY47" s="17" t="str">
        <f ca="1">IF(Ergebnisse!BK47=Ergebnisse!$B$98,Ergebnisse!BK47,"")</f>
        <v>ok</v>
      </c>
      <c r="DA47" s="168" t="s">
        <v>182</v>
      </c>
      <c r="DB47" s="188">
        <v>32</v>
      </c>
    </row>
    <row r="48" spans="1:106">
      <c r="A48" s="2">
        <v>65</v>
      </c>
      <c r="B48" s="6">
        <f>VLOOKUP(A48,Spiele!$A$1:$L$116,2,FALSE)</f>
        <v>46199.791666666672</v>
      </c>
      <c r="C48" s="6" t="str">
        <f>VLOOKUP(A48,Spiele!$A$1:$L$116,9,FALSE)</f>
        <v>Houston</v>
      </c>
      <c r="D48" s="56" t="str">
        <f>Y43</f>
        <v>Kap Verde</v>
      </c>
      <c r="E48" s="40" t="s">
        <v>24</v>
      </c>
      <c r="F48" s="56" t="str">
        <f>Y44</f>
        <v>Saudiarabien</v>
      </c>
      <c r="G48" s="53"/>
      <c r="H48" s="107">
        <f t="shared" ca="1" si="16"/>
        <v>2</v>
      </c>
      <c r="I48" s="11" t="s">
        <v>25</v>
      </c>
      <c r="J48" s="107">
        <f t="shared" ca="1" si="17"/>
        <v>1</v>
      </c>
      <c r="K48" s="7" t="s">
        <v>26</v>
      </c>
      <c r="L48" s="1"/>
      <c r="M48" s="233" t="str">
        <f ca="1">IF(N43&gt;0,M43,"")</f>
        <v>Spanien</v>
      </c>
      <c r="N48" s="2" t="s">
        <v>243</v>
      </c>
      <c r="P48" s="2" t="s">
        <v>11</v>
      </c>
      <c r="S48" s="61">
        <f ca="1">IF(K45=$B$98,J45,0)</f>
        <v>1</v>
      </c>
      <c r="T48" s="61">
        <f ca="1">IF(K47=$B$98,J48,0)</f>
        <v>1</v>
      </c>
      <c r="U48" s="60"/>
      <c r="V48" s="61">
        <f ca="1">IF(K44=$B$98,H44,0)</f>
        <v>2</v>
      </c>
      <c r="W48" s="62"/>
      <c r="X48" s="62"/>
      <c r="Y48" s="40"/>
      <c r="Z48" s="62"/>
      <c r="AA48" s="62"/>
      <c r="AB48" s="62"/>
      <c r="AC48" s="62"/>
      <c r="AD48" s="24" t="s">
        <v>141</v>
      </c>
      <c r="AE48" s="203"/>
      <c r="AF48" s="217"/>
      <c r="AG48" s="217"/>
      <c r="AH48" s="217"/>
      <c r="AI48" s="217"/>
      <c r="AJ48" s="217"/>
      <c r="AK48" s="203"/>
      <c r="AL48" s="217"/>
      <c r="AM48" s="217"/>
      <c r="AN48" s="217"/>
      <c r="AO48" s="217"/>
      <c r="AP48" s="217"/>
      <c r="AQ48" s="217"/>
      <c r="AR48" s="217"/>
      <c r="AS48" s="217"/>
      <c r="AT48" s="217"/>
      <c r="AU48" s="217"/>
      <c r="AV48" s="203"/>
      <c r="AW48" s="2"/>
      <c r="AX48" s="17">
        <f ca="1">IF($CX$97="",IF(OR(Ergebnisse!H48="",Ergebnisse!J48=""),0,IF(AND(H48=Ergebnisse!H48,J48=Ergebnisse!J48),7,MIN(7,(H48-J48=Ergebnisse!H48-Ergebnisse!J48)*4+(AND(H48-J48&lt;&gt;Ergebnisse!H48-Ergebnisse!J48,SIGN(H48-J48)=SIGN(Ergebnisse!H48-Ergebnisse!J48)))*2+(H48=Ergebnisse!H48)+(J48=Ergebnisse!J48)))),INT(RAND()*8))</f>
        <v>4</v>
      </c>
      <c r="AY48" s="17" t="str">
        <f ca="1">IF(Ergebnisse!K48=Ergebnisse!$B$98,Ergebnisse!K48,"")</f>
        <v>ok</v>
      </c>
      <c r="AZ48" s="2"/>
      <c r="BA48" s="2">
        <v>71</v>
      </c>
      <c r="BB48" s="6">
        <f>VLOOKUP(BA48,Spiele!$A$1:$L$116,2,FALSE)</f>
        <v>46200.8125</v>
      </c>
      <c r="BC48" s="6" t="str">
        <f>VLOOKUP(BA48,Spiele!$A$1:$L$116,9,FALSE)</f>
        <v>Miami</v>
      </c>
      <c r="BD48" s="56" t="str">
        <f>BY43</f>
        <v>DR Kongo</v>
      </c>
      <c r="BE48" s="40" t="s">
        <v>24</v>
      </c>
      <c r="BF48" s="56" t="str">
        <f>BY44</f>
        <v>Usbekistan</v>
      </c>
      <c r="BG48" s="53"/>
      <c r="BH48" s="107">
        <f t="shared" ca="1" si="18"/>
        <v>2</v>
      </c>
      <c r="BI48" s="11" t="s">
        <v>25</v>
      </c>
      <c r="BJ48" s="107">
        <f t="shared" ca="1" si="19"/>
        <v>1</v>
      </c>
      <c r="BK48" s="7" t="s">
        <v>26</v>
      </c>
      <c r="BL48" s="1"/>
      <c r="BM48" s="9" t="str">
        <f ca="1">IF(BN43&gt;0,BM43,"")</f>
        <v>Portugal</v>
      </c>
      <c r="BN48" s="2" t="s">
        <v>244</v>
      </c>
      <c r="BP48" s="2" t="s">
        <v>11</v>
      </c>
      <c r="BS48" s="61">
        <f ca="1">IF(BK45=$B$98,BJ45,0)</f>
        <v>1</v>
      </c>
      <c r="BT48" s="61">
        <f ca="1">IF(BK47=$B$98,BJ48,0)</f>
        <v>1</v>
      </c>
      <c r="BU48" s="60"/>
      <c r="BV48" s="61">
        <f ca="1">IF(BK44=$B$98,BH44,0)</f>
        <v>2</v>
      </c>
      <c r="BW48" s="1"/>
      <c r="BX48" s="1"/>
      <c r="BY48" s="40"/>
      <c r="BZ48" s="1"/>
      <c r="CA48" s="1"/>
      <c r="CB48" s="1"/>
      <c r="CC48" s="1"/>
      <c r="CD48" s="24" t="s">
        <v>141</v>
      </c>
      <c r="CE48" s="207"/>
      <c r="CF48" s="218"/>
      <c r="CG48" s="218"/>
      <c r="CH48" s="218"/>
      <c r="CI48" s="218"/>
      <c r="CJ48" s="218"/>
      <c r="CK48" s="207"/>
      <c r="CL48" s="218"/>
      <c r="CM48" s="218"/>
      <c r="CN48" s="218"/>
      <c r="CO48" s="218"/>
      <c r="CP48" s="218"/>
      <c r="CQ48" s="218"/>
      <c r="CR48" s="218"/>
      <c r="CS48" s="218"/>
      <c r="CT48" s="218"/>
      <c r="CU48" s="218"/>
      <c r="CV48" s="207"/>
      <c r="CX48" s="17">
        <f ca="1">IF($CX$97="",IF(OR(Ergebnisse!BH48="",Ergebnisse!BJ48=""),0,IF(AND(BH48=Ergebnisse!BH48,BJ48=Ergebnisse!BJ48),7,MIN(7,(BH48-BJ48=Ergebnisse!BH48-Ergebnisse!BJ48)*4+(AND(BH48-BJ48&lt;&gt;Ergebnisse!BH48-Ergebnisse!BJ48,SIGN(BH48-BJ48)=SIGN(Ergebnisse!BH48-Ergebnisse!BJ48)))*2+(BH48=Ergebnisse!BH48)+(BJ48=Ergebnisse!BJ48)))),INT(RAND()*8))</f>
        <v>7</v>
      </c>
      <c r="CY48" s="17" t="str">
        <f ca="1">IF(Ergebnisse!BK48=Ergebnisse!$B$98,Ergebnisse!BK48,"")</f>
        <v>ok</v>
      </c>
      <c r="DA48" s="163"/>
      <c r="DB48" s="187"/>
    </row>
    <row r="49" spans="1:106">
      <c r="E49" s="55"/>
      <c r="F49" s="55"/>
      <c r="G49" s="55"/>
      <c r="M49" s="233" t="str">
        <f ca="1">IF(N44&gt;0,M44,"")</f>
        <v>Kap Verde</v>
      </c>
      <c r="N49" s="2" t="s">
        <v>245</v>
      </c>
      <c r="S49" s="61">
        <f ca="1">IF(K48=$B$98,H47,0)</f>
        <v>2</v>
      </c>
      <c r="T49" s="61">
        <f ca="1">IF(K46=$B$98,H46,0)</f>
        <v>2</v>
      </c>
      <c r="U49" s="61">
        <f ca="1">IF(K44=$B$98,J44,0)</f>
        <v>1</v>
      </c>
      <c r="V49" s="60"/>
      <c r="AD49" s="55" t="s">
        <v>143</v>
      </c>
      <c r="AE49" s="108"/>
      <c r="AF49" s="219"/>
      <c r="AG49" s="219"/>
      <c r="AH49" s="219"/>
      <c r="AI49" s="219"/>
      <c r="AJ49" s="219"/>
      <c r="AK49" s="219"/>
      <c r="AL49" s="219"/>
      <c r="AM49" s="219"/>
      <c r="AN49" s="219"/>
      <c r="AO49" s="219"/>
      <c r="AP49" s="219"/>
      <c r="AQ49" s="219"/>
      <c r="AR49" s="219"/>
      <c r="AS49" s="219"/>
      <c r="AT49" s="219"/>
      <c r="AV49" s="219"/>
      <c r="AW49" s="2"/>
      <c r="AX49" s="229">
        <f ca="1">IF($CX$97="",2*COUNTIF(Ergebnisse!$D$63:'Ergebnisse'!$F$78,M49),2*INT(RAND()*2))</f>
        <v>0</v>
      </c>
      <c r="AY49" s="17" t="str">
        <f ca="1">IF(COUNTIF(Ergebnisse!K43:'Ergebnisse'!K48,Ergebnisse!$B$98)=6,"ok","")</f>
        <v>ok</v>
      </c>
      <c r="AZ49" s="2"/>
      <c r="BB49" s="2" t="s">
        <v>2</v>
      </c>
      <c r="BE49" s="55"/>
      <c r="BF49" s="55"/>
      <c r="BG49" s="55"/>
      <c r="BM49" s="232" t="str">
        <f ca="1">IF(BN44&gt;0,BM44,"")</f>
        <v>DR Kongo</v>
      </c>
      <c r="BN49" s="2" t="s">
        <v>246</v>
      </c>
      <c r="BS49" s="61">
        <f ca="1">IF(BK48=$B$98,BH47,0)</f>
        <v>2</v>
      </c>
      <c r="BT49" s="61">
        <f ca="1">IF(BK46=$B$98,BH46,0)</f>
        <v>2</v>
      </c>
      <c r="BU49" s="61">
        <f ca="1">IF(BK44=$B$98,BJ44,0)</f>
        <v>1</v>
      </c>
      <c r="BV49" s="60"/>
      <c r="CD49" s="2" t="s">
        <v>143</v>
      </c>
      <c r="CE49" s="8"/>
      <c r="CF49" s="220"/>
      <c r="CG49" s="220"/>
      <c r="CH49" s="220"/>
      <c r="CI49" s="220"/>
      <c r="CJ49" s="220"/>
      <c r="CK49" s="220"/>
      <c r="CL49" s="220"/>
      <c r="CM49" s="220"/>
      <c r="CN49" s="220"/>
      <c r="CO49" s="220"/>
      <c r="CP49" s="220"/>
      <c r="CQ49" s="220"/>
      <c r="CR49" s="220"/>
      <c r="CS49" s="220"/>
      <c r="CT49" s="220"/>
      <c r="CV49" s="220"/>
      <c r="CX49" s="231">
        <f ca="1">IF($CX$97="",2*COUNTIF(Ergebnisse!$D$63:'Ergebnisse'!$F$78,BM49),2*INT(RAND()*2))</f>
        <v>2</v>
      </c>
      <c r="CY49" s="17" t="str">
        <f ca="1">IF(COUNTIF(Ergebnisse!BK43:'Ergebnisse'!BK48,Ergebnisse!$B$98)=6,"ok","")</f>
        <v>ok</v>
      </c>
      <c r="DA49" s="165" t="s">
        <v>74</v>
      </c>
      <c r="DB49" s="186">
        <f>DB3+DB9+DB14+DB19+DB25+DB32+DB38+DB43+DB45</f>
        <v>1000</v>
      </c>
    </row>
    <row r="50" spans="1:106">
      <c r="D50" s="55"/>
      <c r="E50" s="58"/>
      <c r="F50" s="59"/>
      <c r="G50" s="59"/>
      <c r="H50" s="55"/>
      <c r="I50" s="55"/>
      <c r="J50" s="55"/>
      <c r="AE50" s="108"/>
      <c r="AF50" s="219"/>
      <c r="AG50" s="219"/>
      <c r="AH50" s="219"/>
      <c r="AI50" s="219"/>
      <c r="AJ50" s="219"/>
      <c r="AK50" s="219"/>
      <c r="AL50" s="219"/>
      <c r="AM50" s="219"/>
      <c r="AN50" s="219"/>
      <c r="AO50" s="219"/>
      <c r="AP50" s="219"/>
      <c r="AQ50" s="219"/>
      <c r="AR50" s="219"/>
      <c r="AS50" s="219"/>
      <c r="AT50" s="219"/>
      <c r="AV50" s="219"/>
      <c r="AW50" s="2"/>
      <c r="AZ50" s="2"/>
      <c r="BD50" s="55"/>
      <c r="BE50" s="58"/>
      <c r="BF50" s="59"/>
      <c r="BG50" s="59"/>
      <c r="BH50" s="55"/>
      <c r="BI50" s="55"/>
      <c r="BJ50" s="55"/>
      <c r="BS50" s="55"/>
      <c r="BT50" s="55"/>
      <c r="BU50" s="55"/>
      <c r="BV50" s="55"/>
      <c r="CE50" s="8"/>
      <c r="CF50" s="220"/>
      <c r="CG50" s="220"/>
      <c r="CH50" s="220"/>
      <c r="CI50" s="220"/>
      <c r="CJ50" s="220"/>
      <c r="CK50" s="220"/>
      <c r="CL50" s="220"/>
      <c r="CM50" s="220"/>
      <c r="CN50" s="220"/>
      <c r="CO50" s="220"/>
      <c r="CP50" s="220"/>
      <c r="CQ50" s="220"/>
      <c r="CR50" s="220"/>
      <c r="CS50" s="220"/>
      <c r="CT50" s="220"/>
      <c r="CV50" s="220"/>
      <c r="CX50" s="1"/>
    </row>
    <row r="51" spans="1:106">
      <c r="A51" s="10"/>
      <c r="B51" s="234" t="s">
        <v>0</v>
      </c>
      <c r="C51" s="235" t="s">
        <v>247</v>
      </c>
      <c r="D51" s="53" t="s">
        <v>2</v>
      </c>
      <c r="E51" s="54"/>
      <c r="F51" s="53"/>
      <c r="G51" s="53"/>
      <c r="H51" s="20"/>
      <c r="I51" s="19"/>
      <c r="J51" s="20"/>
      <c r="K51" s="180"/>
      <c r="L51" s="17"/>
      <c r="M51" s="35" t="s">
        <v>3</v>
      </c>
      <c r="N51" s="17" t="s">
        <v>4</v>
      </c>
      <c r="O51" s="17" t="s">
        <v>5</v>
      </c>
      <c r="P51" s="17" t="s">
        <v>6</v>
      </c>
      <c r="Q51" s="17" t="s">
        <v>7</v>
      </c>
      <c r="R51" s="17"/>
      <c r="W51" s="53"/>
      <c r="X51" s="53" t="s">
        <v>8</v>
      </c>
      <c r="Y51" s="56" t="s">
        <v>9</v>
      </c>
      <c r="Z51" s="53" t="s">
        <v>4</v>
      </c>
      <c r="AA51" s="53" t="s">
        <v>5</v>
      </c>
      <c r="AB51" s="53" t="s">
        <v>6</v>
      </c>
      <c r="AC51" s="53" t="s">
        <v>7</v>
      </c>
      <c r="AD51" s="53"/>
      <c r="AE51" s="19" t="s">
        <v>10</v>
      </c>
      <c r="AF51" s="40" t="s">
        <v>11</v>
      </c>
      <c r="AG51" s="40"/>
      <c r="AH51" s="40"/>
      <c r="AI51" s="40"/>
      <c r="AJ51" s="40" t="s">
        <v>12</v>
      </c>
      <c r="AK51" s="56" t="s">
        <v>13</v>
      </c>
      <c r="AL51" s="40" t="s">
        <v>14</v>
      </c>
      <c r="AM51" s="40"/>
      <c r="AN51" s="40"/>
      <c r="AO51" s="40"/>
      <c r="AP51" s="40" t="s">
        <v>15</v>
      </c>
      <c r="AQ51" s="40" t="s">
        <v>16</v>
      </c>
      <c r="AR51" s="40"/>
      <c r="AS51" s="40"/>
      <c r="AT51" s="40"/>
      <c r="AU51" s="58" t="s">
        <v>17</v>
      </c>
      <c r="AV51" s="56" t="s">
        <v>18</v>
      </c>
      <c r="AW51" s="10"/>
      <c r="AX51" s="234">
        <f ca="1">IF($CX$97="",2*COUNTIF(Ergebnisse!$D$63:'Ergebnisse'!$F$78,M57),2*INT(RAND()*2))</f>
        <v>0</v>
      </c>
      <c r="AY51" s="17" t="str">
        <f ca="1">IF(COUNTIF(Ergebnisse!K53:'Ergebnisse'!K58,Ergebnisse!$B$98)=6,"ok","")</f>
        <v>ok</v>
      </c>
      <c r="AZ51" s="10"/>
      <c r="BA51" s="10"/>
      <c r="BB51" s="236" t="s">
        <v>0</v>
      </c>
      <c r="BC51" s="237" t="s">
        <v>248</v>
      </c>
      <c r="BD51" s="53" t="s">
        <v>2</v>
      </c>
      <c r="BE51" s="54"/>
      <c r="BF51" s="53"/>
      <c r="BG51" s="53"/>
      <c r="BH51" s="20"/>
      <c r="BI51" s="19"/>
      <c r="BJ51" s="20"/>
      <c r="BK51" s="180"/>
      <c r="BL51" s="17"/>
      <c r="BM51" s="35" t="s">
        <v>3</v>
      </c>
      <c r="BN51" s="17" t="s">
        <v>4</v>
      </c>
      <c r="BO51" s="17" t="s">
        <v>5</v>
      </c>
      <c r="BP51" s="17" t="s">
        <v>6</v>
      </c>
      <c r="BQ51" s="17" t="s">
        <v>7</v>
      </c>
      <c r="BR51" s="17"/>
      <c r="BS51" s="55"/>
      <c r="BT51" s="55"/>
      <c r="BU51" s="55"/>
      <c r="BV51" s="55"/>
      <c r="BW51" s="17"/>
      <c r="BX51" s="17" t="s">
        <v>8</v>
      </c>
      <c r="BY51" s="56" t="s">
        <v>9</v>
      </c>
      <c r="BZ51" s="17" t="s">
        <v>4</v>
      </c>
      <c r="CA51" s="17" t="s">
        <v>5</v>
      </c>
      <c r="CB51" s="17" t="s">
        <v>6</v>
      </c>
      <c r="CC51" s="17" t="s">
        <v>7</v>
      </c>
      <c r="CD51" s="17"/>
      <c r="CE51" s="180" t="s">
        <v>10</v>
      </c>
      <c r="CF51" s="15" t="s">
        <v>11</v>
      </c>
      <c r="CG51" s="15"/>
      <c r="CH51" s="15"/>
      <c r="CI51" s="15"/>
      <c r="CJ51" s="15" t="s">
        <v>12</v>
      </c>
      <c r="CK51" s="21" t="s">
        <v>13</v>
      </c>
      <c r="CL51" s="15" t="s">
        <v>14</v>
      </c>
      <c r="CM51" s="15"/>
      <c r="CN51" s="15"/>
      <c r="CO51" s="15"/>
      <c r="CP51" s="15" t="s">
        <v>15</v>
      </c>
      <c r="CQ51" s="15" t="s">
        <v>16</v>
      </c>
      <c r="CR51" s="15"/>
      <c r="CS51" s="15"/>
      <c r="CT51" s="15"/>
      <c r="CU51" s="16" t="s">
        <v>17</v>
      </c>
      <c r="CV51" s="21" t="s">
        <v>18</v>
      </c>
      <c r="CW51" s="10"/>
      <c r="CX51" s="236">
        <f ca="1">IF($CX$97="",2*COUNTIF(Ergebnisse!$D$63:'Ergebnisse'!$F$78,BM57),2*INT(RAND()*2))</f>
        <v>2</v>
      </c>
      <c r="CY51" s="17" t="str">
        <f ca="1">IF(COUNTIF(Ergebnisse!BK53:'Ergebnisse'!BK58,Ergebnisse!$B$98)=6,"ok","")</f>
        <v>ok</v>
      </c>
      <c r="CZ51" s="10"/>
    </row>
    <row r="52" spans="1:106">
      <c r="B52" s="3" t="s">
        <v>22</v>
      </c>
      <c r="C52" s="3" t="s">
        <v>23</v>
      </c>
      <c r="D52" s="55"/>
      <c r="E52" s="55"/>
      <c r="F52" s="55"/>
      <c r="G52" s="55"/>
      <c r="L52" s="1"/>
      <c r="M52" s="9" t="str">
        <f ca="1">VLOOKUP(1,$X$52:$AC$55,2,FALSE)</f>
        <v>Norwegen</v>
      </c>
      <c r="N52" s="2">
        <f ca="1">VLOOKUP(1,$X$52:$AC$55,3,FALSE)</f>
        <v>6</v>
      </c>
      <c r="O52" s="2">
        <f ca="1">VLOOKUP(1,$X$52:$AC$55,4,FALSE)</f>
        <v>5</v>
      </c>
      <c r="P52" s="2">
        <f ca="1">VLOOKUP(1,$X$52:$AC$55,5,FALSE)</f>
        <v>4</v>
      </c>
      <c r="Q52" s="2">
        <f ca="1">VLOOKUP(1,$X$52:$AC$55,6,FALSE)</f>
        <v>1</v>
      </c>
      <c r="S52" s="60"/>
      <c r="T52" s="61">
        <f ca="1">IF(H53="",0,IF(K53=$B$98,IF(H53&gt;J53,3,IF(H53=J53,1,0)),0))</f>
        <v>3</v>
      </c>
      <c r="U52" s="61">
        <f ca="1">IF(H55="",0,IF(K55=$B$98,IF(H55&gt;J55,3,IF(H55=J55,1,0)),0))</f>
        <v>3</v>
      </c>
      <c r="V52" s="61">
        <f ca="1">IF(J57="",0,IF(K58=$B$98,IF(H57&lt;J57,3,IF(H57=J57,1,0)),0))</f>
        <v>0</v>
      </c>
      <c r="W52" s="62"/>
      <c r="X52" s="62">
        <f ca="1">RANK(AD52,$AD$52:$AD$55)</f>
        <v>2</v>
      </c>
      <c r="Y52" s="40" t="s">
        <v>69</v>
      </c>
      <c r="Z52" s="62">
        <f ca="1">SUM(S52:V52)</f>
        <v>6</v>
      </c>
      <c r="AA52" s="62">
        <f ca="1">SUM(S56:V56)</f>
        <v>5</v>
      </c>
      <c r="AB52" s="62">
        <f ca="1">SUM(S56:S59)</f>
        <v>4</v>
      </c>
      <c r="AC52" s="62">
        <f ca="1">AA52-AB52</f>
        <v>1</v>
      </c>
      <c r="AD52" s="24">
        <f ca="1">IF(P$28="",(((((((AE52*10+Z52)*100+AC52)*100+AA52)*10+AK52)*10+AJ52)*100+AP52)*100+AU52)*10+AV52,(((((((AE52*10+Z52)*10+AK52)*10+AJ52)*100+AP52)*100+AU52)*100+AC52)*100+AA52)*10+AV52)</f>
        <v>596990101054</v>
      </c>
      <c r="AE52" s="203"/>
      <c r="AF52" s="217"/>
      <c r="AG52" s="217">
        <f ca="1">IF($Z52=$Z53,$T52-$S53,0)</f>
        <v>0</v>
      </c>
      <c r="AH52" s="217">
        <f ca="1">IF($Z52=$Z54,$U52-$S54,0)</f>
        <v>0</v>
      </c>
      <c r="AI52" s="217">
        <f ca="1">IF($Z52=$Z55,$V52-$S55,0)</f>
        <v>-3</v>
      </c>
      <c r="AJ52" s="217">
        <f ca="1">SUM(AF52:AI52)</f>
        <v>-3</v>
      </c>
      <c r="AK52" s="203"/>
      <c r="AL52" s="217"/>
      <c r="AM52" s="217">
        <f ca="1">IF($Z52=$Z53,$T56-$S57,0)</f>
        <v>0</v>
      </c>
      <c r="AN52" s="217">
        <f ca="1">IF($Z52=$Z54,$U56-$S58,0)</f>
        <v>0</v>
      </c>
      <c r="AO52" s="217">
        <f ca="1">IF($Z52=$Z55,$V56-$S59,0)</f>
        <v>-1</v>
      </c>
      <c r="AP52" s="217">
        <f ca="1">SUM(AL52:AO52)</f>
        <v>-1</v>
      </c>
      <c r="AQ52" s="217"/>
      <c r="AR52" s="217">
        <f ca="1">IF($Z52=$Z53,$T56,0)</f>
        <v>0</v>
      </c>
      <c r="AS52" s="217">
        <f ca="1">IF($Z52=$Z54,$U56,0)</f>
        <v>0</v>
      </c>
      <c r="AT52" s="217">
        <f ca="1">IF($Z52=$Z55,$V56,0)</f>
        <v>1</v>
      </c>
      <c r="AU52" s="217">
        <f ca="1">SUM(AQ52:AT52)</f>
        <v>1</v>
      </c>
      <c r="AV52" s="203">
        <v>4</v>
      </c>
      <c r="AW52" s="2"/>
      <c r="AX52" s="234">
        <f ca="1">IF($CX$97="",2*COUNTIF(Ergebnisse!$D$63:'Ergebnisse'!$F$78,M58),2*INT(RAND()*2))</f>
        <v>2</v>
      </c>
      <c r="AY52" s="17" t="str">
        <f ca="1">IF(COUNTIF(Ergebnisse!K53:'Ergebnisse'!K58,Ergebnisse!$B$98)=6,"ok","")</f>
        <v>ok</v>
      </c>
      <c r="AZ52" s="2"/>
      <c r="BB52" s="3" t="s">
        <v>22</v>
      </c>
      <c r="BC52" s="3" t="s">
        <v>23</v>
      </c>
      <c r="BD52" s="55"/>
      <c r="BE52" s="55"/>
      <c r="BF52" s="55"/>
      <c r="BG52" s="55"/>
      <c r="BL52" s="1"/>
      <c r="BM52" s="9" t="str">
        <f ca="1">VLOOKUP(1,$BX$52:$CC$55,2,FALSE)</f>
        <v>Panama</v>
      </c>
      <c r="BN52" s="2">
        <f ca="1">VLOOKUP(1,$BX$52:$CC$55,3,FALSE)</f>
        <v>6</v>
      </c>
      <c r="BO52" s="2">
        <f ca="1">VLOOKUP(1,$BX$52:$CC$55,4,FALSE)</f>
        <v>5</v>
      </c>
      <c r="BP52" s="2">
        <f ca="1">VLOOKUP(1,$BX$52:$CC$55,5,FALSE)</f>
        <v>4</v>
      </c>
      <c r="BQ52" s="2">
        <f ca="1">VLOOKUP(1,$BX$52:$CC$55,6,FALSE)</f>
        <v>1</v>
      </c>
      <c r="BS52" s="60"/>
      <c r="BT52" s="61">
        <f ca="1">IF(BH53="",0,IF(BK53=$B$98,IF(BH53&gt;BJ53,3,IF(BH53=BJ53,1,0)),0))</f>
        <v>3</v>
      </c>
      <c r="BU52" s="61">
        <f ca="1">IF(BH55="",0,IF(BK55=$B$98,IF(BH55&gt;BJ55,3,IF(BH55=BJ55,1,0)),0))</f>
        <v>3</v>
      </c>
      <c r="BV52" s="61">
        <f ca="1">IF(BJ57="",0,IF(BK58=$B$98,IF(BH57&lt;BJ57,3,IF(BH57=BJ57,1,0)),0))</f>
        <v>0</v>
      </c>
      <c r="BW52" s="1"/>
      <c r="BX52" s="1">
        <f ca="1">RANK(CD52,$CD$52:$CD$55)</f>
        <v>2</v>
      </c>
      <c r="BY52" s="40" t="s">
        <v>70</v>
      </c>
      <c r="BZ52" s="1">
        <f ca="1">SUM(BS52:BV52)</f>
        <v>6</v>
      </c>
      <c r="CA52" s="1">
        <f ca="1">SUM(BS56:BV56)</f>
        <v>5</v>
      </c>
      <c r="CB52" s="1">
        <f ca="1">SUM(BS56:BS59)</f>
        <v>4</v>
      </c>
      <c r="CC52" s="1">
        <f ca="1">CA52-CB52</f>
        <v>1</v>
      </c>
      <c r="CD52" s="24">
        <f ca="1">IF(BP$28="",(((((((CE52*10+BZ52)*100+CC52)*100+CA52)*10+CK52)*10+CJ52)*100+CP52)*100+CU52)*10+CV52,(((((((CE52*10+BZ52)*10+CK52)*10+CJ52)*100+CP52)*100+CU52)*100+CC52)*100+CA52)*10+CV52)</f>
        <v>596990101054</v>
      </c>
      <c r="CE52" s="207"/>
      <c r="CF52" s="218"/>
      <c r="CG52" s="218">
        <f ca="1">IF($BZ52=$BZ53,$BT52-$BS53,0)</f>
        <v>0</v>
      </c>
      <c r="CH52" s="218">
        <f ca="1">IF($BZ52=$BZ54,$BU52-$BS54,0)</f>
        <v>0</v>
      </c>
      <c r="CI52" s="218">
        <f ca="1">IF($BZ52=$BZ55,$BV52-$BS55,0)</f>
        <v>-3</v>
      </c>
      <c r="CJ52" s="218">
        <f ca="1">SUM(CF52:CI52)</f>
        <v>-3</v>
      </c>
      <c r="CK52" s="207"/>
      <c r="CL52" s="218"/>
      <c r="CM52" s="218">
        <f ca="1">IF($BZ52=$BZ53,$BT56-$BS57,0)</f>
        <v>0</v>
      </c>
      <c r="CN52" s="218">
        <f ca="1">IF($BZ52=$BZ54,$BU56-$BS58,0)</f>
        <v>0</v>
      </c>
      <c r="CO52" s="218">
        <f ca="1">IF($BZ52=$BZ55,$BV56-$BS59,0)</f>
        <v>-1</v>
      </c>
      <c r="CP52" s="218">
        <f ca="1">SUM(CL52:CO52)</f>
        <v>-1</v>
      </c>
      <c r="CQ52" s="218"/>
      <c r="CR52" s="218">
        <f ca="1">IF($BZ52=$BZ53,$BT56,0)</f>
        <v>0</v>
      </c>
      <c r="CS52" s="218">
        <f ca="1">IF($BZ52=$BZ54,$BU56,0)</f>
        <v>0</v>
      </c>
      <c r="CT52" s="218">
        <f ca="1">IF($BZ52=$BZ55,$BV56,0)</f>
        <v>1</v>
      </c>
      <c r="CU52" s="218">
        <f ca="1">SUM(CQ52:CT52)</f>
        <v>1</v>
      </c>
      <c r="CV52" s="207">
        <v>4</v>
      </c>
      <c r="CX52" s="236">
        <f ca="1">IF($CX$97="",2*COUNTIF(Ergebnisse!$D$63:'Ergebnisse'!$F$78,BM58),2*INT(RAND()*2))</f>
        <v>0</v>
      </c>
      <c r="CY52" s="17" t="str">
        <f ca="1">IF(COUNTIF(Ergebnisse!BK53:'Ergebnisse'!BK58,Ergebnisse!$B$98)=6,"ok","")</f>
        <v>ok</v>
      </c>
      <c r="DA52" s="2" t="s">
        <v>456</v>
      </c>
    </row>
    <row r="53" spans="1:106">
      <c r="A53" s="2">
        <v>17</v>
      </c>
      <c r="B53" s="6">
        <f>VLOOKUP(A53,Spiele!$A$1:$L$116,2,FALSE)</f>
        <v>46189.625</v>
      </c>
      <c r="C53" s="6" t="str">
        <f>VLOOKUP(A53,Spiele!$A$1:$L$116,9,FALSE)</f>
        <v>New York</v>
      </c>
      <c r="D53" s="56" t="str">
        <f>Y52</f>
        <v>Frankreich</v>
      </c>
      <c r="E53" s="40" t="s">
        <v>24</v>
      </c>
      <c r="F53" s="56" t="str">
        <f>Y53</f>
        <v>Senegal</v>
      </c>
      <c r="G53" s="53"/>
      <c r="H53" s="107">
        <f t="shared" ref="H53:H58" ca="1" si="20">IF($B$99="",2,INT(RAND()*5)+INT(RAND()*3)*INT(RAND()*2))</f>
        <v>2</v>
      </c>
      <c r="I53" s="11" t="s">
        <v>25</v>
      </c>
      <c r="J53" s="107">
        <f t="shared" ref="J53:J58" ca="1" si="21">IF($B$99="",1,INT(RAND()*5)+INT(RAND()*3)*INT(RAND()*2))</f>
        <v>1</v>
      </c>
      <c r="K53" s="7" t="s">
        <v>26</v>
      </c>
      <c r="L53" s="1"/>
      <c r="M53" s="9" t="str">
        <f ca="1">VLOOKUP(2,$X$52:$AC$55,2,FALSE)</f>
        <v>Frankreich</v>
      </c>
      <c r="N53" s="2">
        <f ca="1">VLOOKUP(2,$X$52:$AC$55,3,FALSE)</f>
        <v>6</v>
      </c>
      <c r="O53" s="2">
        <f ca="1">VLOOKUP(2,$X$52:$AC$55,4,FALSE)</f>
        <v>5</v>
      </c>
      <c r="P53" s="2">
        <f ca="1">VLOOKUP(2,$X$52:$AC$55,5,FALSE)</f>
        <v>4</v>
      </c>
      <c r="Q53" s="2">
        <f ca="1">VLOOKUP(2,$X$52:$AC$55,6,FALSE)</f>
        <v>1</v>
      </c>
      <c r="S53" s="61">
        <f ca="1">IF(J53="",0,IF(K53=$B$98,IF(H53&lt;J53,3,IF(H53=J53,1,0)),0))</f>
        <v>0</v>
      </c>
      <c r="T53" s="60"/>
      <c r="U53" s="61">
        <f ca="1">IF(H58="",0,IF(K57=$B$98,IF(H58&gt;J58,3,IF(H58=J58,1,0)),0))</f>
        <v>3</v>
      </c>
      <c r="V53" s="61">
        <f ca="1">IF(J56="",0,IF(K56=$B$98,IF(J56&gt;H56,3,IF(J56=H56,1,0)),0))</f>
        <v>0</v>
      </c>
      <c r="W53" s="62"/>
      <c r="X53" s="62">
        <f ca="1">RANK(AD53,$AD$52:$AD$55)</f>
        <v>3</v>
      </c>
      <c r="Y53" s="40" t="s">
        <v>249</v>
      </c>
      <c r="Z53" s="62">
        <f ca="1">SUM(S53:V53)</f>
        <v>3</v>
      </c>
      <c r="AA53" s="62">
        <f ca="1">SUM(S57:V57)</f>
        <v>4</v>
      </c>
      <c r="AB53" s="62">
        <f ca="1">SUM(T56:T59)</f>
        <v>5</v>
      </c>
      <c r="AC53" s="62">
        <f ca="1">AA53-AB53</f>
        <v>-1</v>
      </c>
      <c r="AD53" s="24">
        <f ca="1">IF(P$28="",(((((((AE53*10+Z53)*100+AC53)*100+AA53)*10+AK53)*10+AJ53)*100+AP53)*100+AU53)*10+AV53,(((((((AE53*10+Z53)*10+AK53)*10+AJ53)*100+AP53)*100+AU53)*100+AC53)*100+AA53)*10+AV53)</f>
        <v>303010199043</v>
      </c>
      <c r="AE53" s="203"/>
      <c r="AF53" s="217">
        <f ca="1">IF($Z53=$Z52,$S53-$T52,0)</f>
        <v>0</v>
      </c>
      <c r="AG53" s="217"/>
      <c r="AH53" s="217">
        <f ca="1">IF($Z53=$Z54,$U53-$T54,0)</f>
        <v>3</v>
      </c>
      <c r="AI53" s="217">
        <f ca="1">IF($Z53=$Z55,$V53-$T55,0)</f>
        <v>0</v>
      </c>
      <c r="AJ53" s="217">
        <f ca="1">SUM(AF53:AI53)</f>
        <v>3</v>
      </c>
      <c r="AK53" s="203"/>
      <c r="AL53" s="217">
        <f ca="1">IF($Z53=$Z52,$S57-$T56,0)</f>
        <v>0</v>
      </c>
      <c r="AM53" s="217"/>
      <c r="AN53" s="217">
        <f ca="1">IF($Z53=$Z54,$U57-$T58,0)</f>
        <v>1</v>
      </c>
      <c r="AO53" s="217">
        <f ca="1">IF($Z53=$Z55,$V57-$T59,0)</f>
        <v>0</v>
      </c>
      <c r="AP53" s="217">
        <f ca="1">SUM(AL53:AO53)</f>
        <v>1</v>
      </c>
      <c r="AQ53" s="217">
        <f ca="1">IF($Z53=$Z52,$S57,0)</f>
        <v>0</v>
      </c>
      <c r="AR53" s="217"/>
      <c r="AS53" s="217">
        <f ca="1">IF($Z53=$Z54,$U57,0)</f>
        <v>2</v>
      </c>
      <c r="AT53" s="217">
        <f ca="1">IF($Z53=$Z55,$V57,0)</f>
        <v>0</v>
      </c>
      <c r="AU53" s="217">
        <f ca="1">SUM(AQ53:AT53)</f>
        <v>2</v>
      </c>
      <c r="AV53" s="203">
        <v>3</v>
      </c>
      <c r="AW53" s="2"/>
      <c r="AX53" s="17">
        <f ca="1">IF($CX$97="",IF(OR(Ergebnisse!H53="",Ergebnisse!J53=""),0,IF(AND(H53=Ergebnisse!H53,J53=Ergebnisse!J53),7,MIN(7,(H53-J53=Ergebnisse!H53-Ergebnisse!J53)*4+(AND(H53-J53&lt;&gt;Ergebnisse!H53-Ergebnisse!J53,SIGN(H53-J53)=SIGN(Ergebnisse!H53-Ergebnisse!J53)))*2+(H53=Ergebnisse!H53)+(J53=Ergebnisse!J53)))),INT(RAND()*8))</f>
        <v>4</v>
      </c>
      <c r="AY53" s="17" t="str">
        <f ca="1">IF(Ergebnisse!K53=Ergebnisse!$B$98,Ergebnisse!K53,"")</f>
        <v>ok</v>
      </c>
      <c r="AZ53" s="2"/>
      <c r="BA53" s="2">
        <v>22</v>
      </c>
      <c r="BB53" s="6">
        <f>VLOOKUP(BA53,Spiele!$A$1:$L$116,2,FALSE)</f>
        <v>46190.625</v>
      </c>
      <c r="BC53" s="6" t="str">
        <f>VLOOKUP(BA53,Spiele!$A$1:$L$116,9,FALSE)</f>
        <v>Dallas</v>
      </c>
      <c r="BD53" s="56" t="str">
        <f>BY52</f>
        <v>England</v>
      </c>
      <c r="BE53" s="40" t="s">
        <v>24</v>
      </c>
      <c r="BF53" s="56" t="str">
        <f>BY53</f>
        <v>Kroatien</v>
      </c>
      <c r="BG53" s="53"/>
      <c r="BH53" s="107">
        <f t="shared" ref="BH53:BH58" ca="1" si="22">IF($B$99="",2,INT(RAND()*5)+INT(RAND()*3)*INT(RAND()*2))</f>
        <v>2</v>
      </c>
      <c r="BI53" s="11" t="s">
        <v>25</v>
      </c>
      <c r="BJ53" s="107">
        <f t="shared" ref="BJ53:BJ58" ca="1" si="23">IF($B$99="",1,INT(RAND()*5)+INT(RAND()*3)*INT(RAND()*2))</f>
        <v>1</v>
      </c>
      <c r="BK53" s="7" t="s">
        <v>26</v>
      </c>
      <c r="BL53" s="1"/>
      <c r="BM53" s="9" t="str">
        <f ca="1">VLOOKUP(2,$BX$52:$CC$55,2,FALSE)</f>
        <v>England</v>
      </c>
      <c r="BN53" s="2">
        <f ca="1">VLOOKUP(2,$BX$52:$CC$55,3,FALSE)</f>
        <v>6</v>
      </c>
      <c r="BO53" s="2">
        <f ca="1">VLOOKUP(2,$BX$52:$CC$55,4,FALSE)</f>
        <v>5</v>
      </c>
      <c r="BP53" s="2">
        <f ca="1">VLOOKUP(2,$BX$52:$CC$55,5,FALSE)</f>
        <v>4</v>
      </c>
      <c r="BQ53" s="2">
        <f ca="1">VLOOKUP(2,$BX$52:$CC$55,6,FALSE)</f>
        <v>1</v>
      </c>
      <c r="BS53" s="61">
        <f ca="1">IF(BJ53="",0,IF(BK53=$B$98,IF(BH53&lt;BJ53,3,IF(BH53=BJ53,1,0)),0))</f>
        <v>0</v>
      </c>
      <c r="BT53" s="60"/>
      <c r="BU53" s="61">
        <f ca="1">IF(BH58="",0,IF(BK57=$B$98,IF(BH58&gt;BJ58,3,IF(BH58=BJ58,1,0)),0))</f>
        <v>3</v>
      </c>
      <c r="BV53" s="61">
        <f ca="1">IF(BJ56="",0,IF(BK56=$B$98,IF(BJ56&gt;BH56,3,IF(BJ56=BH56,1,0)),0))</f>
        <v>0</v>
      </c>
      <c r="BW53" s="1"/>
      <c r="BX53" s="1">
        <f ca="1">RANK(CD53,$CD$52:$CD$55)</f>
        <v>3</v>
      </c>
      <c r="BY53" s="40" t="s">
        <v>188</v>
      </c>
      <c r="BZ53" s="1">
        <f ca="1">SUM(BS53:BV53)</f>
        <v>3</v>
      </c>
      <c r="CA53" s="1">
        <f ca="1">SUM(BS57:BV57)</f>
        <v>4</v>
      </c>
      <c r="CB53" s="1">
        <f ca="1">SUM(BT56:BT59)</f>
        <v>5</v>
      </c>
      <c r="CC53" s="1">
        <f ca="1">CA53-CB53</f>
        <v>-1</v>
      </c>
      <c r="CD53" s="24">
        <f ca="1">IF(BP$28="",(((((((CE53*10+BZ53)*100+CC53)*100+CA53)*10+CK53)*10+CJ53)*100+CP53)*100+CU53)*10+CV53,(((((((CE53*10+BZ53)*10+CK53)*10+CJ53)*100+CP53)*100+CU53)*100+CC53)*100+CA53)*10+CV53)</f>
        <v>303010199043</v>
      </c>
      <c r="CE53" s="207"/>
      <c r="CF53" s="218">
        <f ca="1">IF($BZ53=$BZ52,$BS53-$BT52,0)</f>
        <v>0</v>
      </c>
      <c r="CG53" s="218"/>
      <c r="CH53" s="218">
        <f ca="1">IF($BZ53=$BZ54,$BU53-$BT54,0)</f>
        <v>3</v>
      </c>
      <c r="CI53" s="218">
        <f ca="1">IF($BZ53=$BZ55,$BV53-$BT55,0)</f>
        <v>0</v>
      </c>
      <c r="CJ53" s="218">
        <f ca="1">SUM(CF53:CI53)</f>
        <v>3</v>
      </c>
      <c r="CK53" s="207"/>
      <c r="CL53" s="218">
        <f ca="1">IF($BZ53=$BZ52,$BS57-$BT56,0)</f>
        <v>0</v>
      </c>
      <c r="CM53" s="218"/>
      <c r="CN53" s="218">
        <f ca="1">IF($BZ53=$BZ54,$BU57-$BT58,0)</f>
        <v>1</v>
      </c>
      <c r="CO53" s="218">
        <f ca="1">IF($BZ53=$BZ55,$BV57-$BT59,0)</f>
        <v>0</v>
      </c>
      <c r="CP53" s="218">
        <f ca="1">SUM(CL53:CO53)</f>
        <v>1</v>
      </c>
      <c r="CQ53" s="218">
        <f ca="1">IF($BZ53=$BZ52,$BS57,0)</f>
        <v>0</v>
      </c>
      <c r="CR53" s="218"/>
      <c r="CS53" s="218">
        <f ca="1">IF($BZ53=$BZ54,$BU57,0)</f>
        <v>2</v>
      </c>
      <c r="CT53" s="218">
        <f ca="1">IF($BZ53=$BZ55,$BV57,0)</f>
        <v>0</v>
      </c>
      <c r="CU53" s="218">
        <f ca="1">SUM(CQ53:CT53)</f>
        <v>2</v>
      </c>
      <c r="CV53" s="207">
        <v>3</v>
      </c>
      <c r="CX53" s="17">
        <f ca="1">IF($CX$97="",IF(OR(Ergebnisse!BH53="",Ergebnisse!BJ53=""),0,IF(AND(BH53=Ergebnisse!BH53,BJ53=Ergebnisse!BJ53),7,MIN(7,(BH53-BJ53=Ergebnisse!BH53-Ergebnisse!BJ53)*4+(AND(BH53-BJ53&lt;&gt;Ergebnisse!BH53-Ergebnisse!BJ53,SIGN(BH53-BJ53)=SIGN(Ergebnisse!BH53-Ergebnisse!BJ53)))*2+(BH53=Ergebnisse!BH53)+(BJ53=Ergebnisse!BJ53)))),INT(RAND()*8))</f>
        <v>1</v>
      </c>
      <c r="CY53" s="17" t="str">
        <f ca="1">IF(Ergebnisse!BK53=Ergebnisse!$B$98,Ergebnisse!BK53,"")</f>
        <v>ok</v>
      </c>
    </row>
    <row r="54" spans="1:106">
      <c r="A54" s="2">
        <v>18</v>
      </c>
      <c r="B54" s="6">
        <f>VLOOKUP(A54,Spiele!$A$1:$L$116,2,FALSE)</f>
        <v>46189.75</v>
      </c>
      <c r="C54" s="6" t="str">
        <f>VLOOKUP(A54,Spiele!$A$1:$L$116,9,FALSE)</f>
        <v>Boston</v>
      </c>
      <c r="D54" s="56" t="str">
        <f>Y54</f>
        <v>Irak</v>
      </c>
      <c r="E54" s="40" t="s">
        <v>24</v>
      </c>
      <c r="F54" s="56" t="str">
        <f>Y55</f>
        <v>Norwegen</v>
      </c>
      <c r="G54" s="53"/>
      <c r="H54" s="107">
        <f t="shared" ca="1" si="20"/>
        <v>2</v>
      </c>
      <c r="I54" s="11" t="s">
        <v>25</v>
      </c>
      <c r="J54" s="107">
        <f t="shared" ca="1" si="21"/>
        <v>1</v>
      </c>
      <c r="K54" s="7" t="s">
        <v>26</v>
      </c>
      <c r="L54" s="1"/>
      <c r="M54" s="9" t="str">
        <f ca="1">VLOOKUP(3,$X$52:$AC$55,2,FALSE)</f>
        <v>Senegal</v>
      </c>
      <c r="N54" s="2">
        <f ca="1">VLOOKUP(3,$X$52:$AC$55,3,FALSE)</f>
        <v>3</v>
      </c>
      <c r="O54" s="2">
        <f ca="1">VLOOKUP(3,$X$52:$AC$55,4,FALSE)</f>
        <v>4</v>
      </c>
      <c r="P54" s="2">
        <f ca="1">VLOOKUP(3,$X$52:$AC$55,5,FALSE)</f>
        <v>5</v>
      </c>
      <c r="Q54" s="2">
        <f ca="1">VLOOKUP(3,$X$52:$AC$55,6,FALSE)</f>
        <v>-1</v>
      </c>
      <c r="S54" s="61">
        <f ca="1">IF(J55="",0,IF(K55=$B$98,IF(H55&lt;J55,3,IF(H55=J55,1,0)),0))</f>
        <v>0</v>
      </c>
      <c r="T54" s="61">
        <f ca="1">IF(J58="",0,IF(K57=$B$98,IF(H58&lt;J58,3,IF(H58=J58,1,0)),0))</f>
        <v>0</v>
      </c>
      <c r="U54" s="60"/>
      <c r="V54" s="61">
        <f ca="1">IF(H54="",0,IF(K54=$B$98,IF(H54&gt;J54,3,IF(H54=J54,1,0)),0))</f>
        <v>3</v>
      </c>
      <c r="W54" s="62"/>
      <c r="X54" s="62">
        <f ca="1">RANK(AD54,$AD$52:$AD$55)</f>
        <v>4</v>
      </c>
      <c r="Y54" s="40" t="s">
        <v>250</v>
      </c>
      <c r="Z54" s="62">
        <f ca="1">SUM(S54:V54)</f>
        <v>3</v>
      </c>
      <c r="AA54" s="62">
        <f ca="1">SUM(S58:V58)</f>
        <v>4</v>
      </c>
      <c r="AB54" s="62">
        <f ca="1">SUM(U56:U59)</f>
        <v>5</v>
      </c>
      <c r="AC54" s="62">
        <f ca="1">AA54-AB54</f>
        <v>-1</v>
      </c>
      <c r="AD54" s="24">
        <f ca="1">IF(P$28="",(((((((AE54*10+Z54)*100+AC54)*100+AA54)*10+AK54)*10+AJ54)*100+AP54)*100+AU54)*10+AV54,(((((((AE54*10+Z54)*10+AK54)*10+AJ54)*100+AP54)*100+AU54)*100+AC54)*100+AA54)*10+AV54)</f>
        <v>296990099042</v>
      </c>
      <c r="AE54" s="203"/>
      <c r="AF54" s="217">
        <f ca="1">IF($Z54=$Z52,$S54-$U52,0)</f>
        <v>0</v>
      </c>
      <c r="AG54" s="217">
        <f ca="1">IF($Z54=$Z53,$T54-$U53,0)</f>
        <v>-3</v>
      </c>
      <c r="AH54" s="217"/>
      <c r="AI54" s="217">
        <f ca="1">IF($Z54=$Z55,$V54-$U55,0)</f>
        <v>0</v>
      </c>
      <c r="AJ54" s="217">
        <f ca="1">SUM(AF54:AI54)</f>
        <v>-3</v>
      </c>
      <c r="AK54" s="203"/>
      <c r="AL54" s="217">
        <f ca="1">IF($Z54=$Z52,$S58-$U56,0)</f>
        <v>0</v>
      </c>
      <c r="AM54" s="217">
        <f ca="1">IF($Z54=$Z53,$T58-$U57,0)</f>
        <v>-1</v>
      </c>
      <c r="AN54" s="217"/>
      <c r="AO54" s="217">
        <f ca="1">IF($Z54=$Z55,$V58-$U59,0)</f>
        <v>0</v>
      </c>
      <c r="AP54" s="217">
        <f ca="1">SUM(AL54:AO54)</f>
        <v>-1</v>
      </c>
      <c r="AQ54" s="217">
        <f ca="1">IF($Z54=$Z52,$S58,0)</f>
        <v>0</v>
      </c>
      <c r="AR54" s="217">
        <f ca="1">IF($Z54=$Z53,$T58,0)</f>
        <v>1</v>
      </c>
      <c r="AS54" s="217"/>
      <c r="AT54" s="217">
        <f ca="1">IF($Z54=$Z55,$V58,0)</f>
        <v>0</v>
      </c>
      <c r="AU54" s="217">
        <f ca="1">SUM(AQ54:AT54)</f>
        <v>1</v>
      </c>
      <c r="AV54" s="203">
        <v>2</v>
      </c>
      <c r="AW54" s="2"/>
      <c r="AX54" s="17">
        <f ca="1">IF($CX$97="",IF(OR(Ergebnisse!H54="",Ergebnisse!J54=""),0,IF(AND(H54=Ergebnisse!H54,J54=Ergebnisse!J54),7,MIN(7,(H54-J54=Ergebnisse!H54-Ergebnisse!J54)*4+(AND(H54-J54&lt;&gt;Ergebnisse!H54-Ergebnisse!J54,SIGN(H54-J54)=SIGN(Ergebnisse!H54-Ergebnisse!J54)))*2+(H54=Ergebnisse!H54)+(J54=Ergebnisse!J54)))),INT(RAND()*8))</f>
        <v>3</v>
      </c>
      <c r="AY54" s="17" t="str">
        <f ca="1">IF(Ergebnisse!K54=Ergebnisse!$B$98,Ergebnisse!K54,"")</f>
        <v>ok</v>
      </c>
      <c r="AZ54" s="2"/>
      <c r="BA54" s="2">
        <v>21</v>
      </c>
      <c r="BB54" s="6">
        <f>VLOOKUP(BA54,Spiele!$A$1:$L$116,2,FALSE)</f>
        <v>46190.791666666664</v>
      </c>
      <c r="BC54" s="6" t="str">
        <f>VLOOKUP(BA54,Spiele!$A$1:$L$116,9,FALSE)</f>
        <v>Toronto</v>
      </c>
      <c r="BD54" s="56" t="str">
        <f>BY54</f>
        <v>Ghana</v>
      </c>
      <c r="BE54" s="40" t="s">
        <v>24</v>
      </c>
      <c r="BF54" s="56" t="str">
        <f>BY55</f>
        <v>Panama</v>
      </c>
      <c r="BG54" s="53"/>
      <c r="BH54" s="107">
        <f t="shared" ca="1" si="22"/>
        <v>2</v>
      </c>
      <c r="BI54" s="11" t="s">
        <v>25</v>
      </c>
      <c r="BJ54" s="107">
        <f t="shared" ca="1" si="23"/>
        <v>1</v>
      </c>
      <c r="BK54" s="7" t="s">
        <v>26</v>
      </c>
      <c r="BL54" s="1"/>
      <c r="BM54" s="9" t="str">
        <f ca="1">VLOOKUP(3,$BX$52:$CC$55,2,FALSE)</f>
        <v>Kroatien</v>
      </c>
      <c r="BN54" s="2">
        <f ca="1">VLOOKUP(3,$BX$52:$CC$55,3,FALSE)</f>
        <v>3</v>
      </c>
      <c r="BO54" s="2">
        <f ca="1">VLOOKUP(3,$BX$52:$CC$55,4,FALSE)</f>
        <v>4</v>
      </c>
      <c r="BP54" s="2">
        <f ca="1">VLOOKUP(3,$BX$52:$CC$55,5,FALSE)</f>
        <v>5</v>
      </c>
      <c r="BQ54" s="2">
        <f ca="1">VLOOKUP(3,$BX$52:$CC$55,6,FALSE)</f>
        <v>-1</v>
      </c>
      <c r="BS54" s="61">
        <f ca="1">IF(BJ55="",0,IF(BK55=$B$98,IF(BH55&lt;BJ55,3,IF(BH55=BJ55,1,0)),0))</f>
        <v>0</v>
      </c>
      <c r="BT54" s="61">
        <f ca="1">IF(BJ58="",0,IF(BK57=$B$98,IF(BH58&lt;BJ58,3,IF(BH58=BJ58,1,0)),0))</f>
        <v>0</v>
      </c>
      <c r="BU54" s="60"/>
      <c r="BV54" s="61">
        <f ca="1">IF(BH54="",0,IF(BK54=$B$98,IF(BH54&gt;BJ54,3,IF(BH54=BJ54,1,0)),0))</f>
        <v>3</v>
      </c>
      <c r="BW54" s="1"/>
      <c r="BX54" s="1">
        <f ca="1">RANK(CD54,$CD$52:$CD$55)</f>
        <v>4</v>
      </c>
      <c r="BY54" s="40" t="s">
        <v>251</v>
      </c>
      <c r="BZ54" s="1">
        <f ca="1">SUM(BS54:BV54)</f>
        <v>3</v>
      </c>
      <c r="CA54" s="1">
        <f ca="1">SUM(BS58:BV58)</f>
        <v>4</v>
      </c>
      <c r="CB54" s="1">
        <f ca="1">SUM(BU56:BU59)</f>
        <v>5</v>
      </c>
      <c r="CC54" s="1">
        <f ca="1">CA54-CB54</f>
        <v>-1</v>
      </c>
      <c r="CD54" s="24">
        <f ca="1">IF(BP$28="",(((((((CE54*10+BZ54)*100+CC54)*100+CA54)*10+CK54)*10+CJ54)*100+CP54)*100+CU54)*10+CV54,(((((((CE54*10+BZ54)*10+CK54)*10+CJ54)*100+CP54)*100+CU54)*100+CC54)*100+CA54)*10+CV54)</f>
        <v>296990099042</v>
      </c>
      <c r="CE54" s="207"/>
      <c r="CF54" s="218">
        <f ca="1">IF($BZ54=$BZ52,$BS54-$BU52,0)</f>
        <v>0</v>
      </c>
      <c r="CG54" s="218">
        <f ca="1">IF($BZ54=$BZ53,$BT54-$BU53,0)</f>
        <v>-3</v>
      </c>
      <c r="CH54" s="218"/>
      <c r="CI54" s="218">
        <f ca="1">IF($BZ54=$BZ55,$BV54-$BU55,0)</f>
        <v>0</v>
      </c>
      <c r="CJ54" s="218">
        <f ca="1">SUM(CF54:CI54)</f>
        <v>-3</v>
      </c>
      <c r="CK54" s="207"/>
      <c r="CL54" s="218">
        <f ca="1">IF($BZ54=$BZ52,$BS58-$BU56,0)</f>
        <v>0</v>
      </c>
      <c r="CM54" s="218">
        <f ca="1">IF($BZ54=$BZ53,$BT58-$BU57,0)</f>
        <v>-1</v>
      </c>
      <c r="CN54" s="218"/>
      <c r="CO54" s="218">
        <f ca="1">IF($BZ54=$BZ55,$BV58-$BU59,0)</f>
        <v>0</v>
      </c>
      <c r="CP54" s="218">
        <f ca="1">SUM(CL54:CO54)</f>
        <v>-1</v>
      </c>
      <c r="CQ54" s="218">
        <f ca="1">IF($BZ54=$BZ52,$BS58,0)</f>
        <v>0</v>
      </c>
      <c r="CR54" s="218">
        <f ca="1">IF($BZ54=$BZ53,$BT58,0)</f>
        <v>1</v>
      </c>
      <c r="CS54" s="218"/>
      <c r="CT54" s="218">
        <f ca="1">IF($BZ54=$BZ55,$BV58,0)</f>
        <v>0</v>
      </c>
      <c r="CU54" s="218">
        <f ca="1">SUM(CQ54:CT54)</f>
        <v>1</v>
      </c>
      <c r="CV54" s="207">
        <v>2</v>
      </c>
      <c r="CX54" s="17">
        <f ca="1">IF($CX$97="",IF(OR(Ergebnisse!BH54="",Ergebnisse!BJ54=""),0,IF(AND(BH54=Ergebnisse!BH54,BJ54=Ergebnisse!BJ54),7,MIN(7,(BH54-BJ54=Ergebnisse!BH54-Ergebnisse!BJ54)*4+(AND(BH54-BJ54&lt;&gt;Ergebnisse!BH54-Ergebnisse!BJ54,SIGN(BH54-BJ54)=SIGN(Ergebnisse!BH54-Ergebnisse!BJ54)))*2+(BH54=Ergebnisse!BH54)+(BJ54=Ergebnisse!BJ54)))),INT(RAND()*8))</f>
        <v>3</v>
      </c>
      <c r="CY54" s="17" t="str">
        <f ca="1">IF(Ergebnisse!BK54=Ergebnisse!$B$98,Ergebnisse!BK54,"")</f>
        <v>ok</v>
      </c>
    </row>
    <row r="55" spans="1:106">
      <c r="A55" s="2">
        <v>42</v>
      </c>
      <c r="B55" s="6">
        <f>VLOOKUP(A55,Spiele!$A$1:$L$116,2,FALSE)</f>
        <v>46195.708333333336</v>
      </c>
      <c r="C55" s="6" t="str">
        <f>VLOOKUP(A55,Spiele!$A$1:$L$116,9,FALSE)</f>
        <v>Philadelphia</v>
      </c>
      <c r="D55" s="56" t="str">
        <f>Y52</f>
        <v>Frankreich</v>
      </c>
      <c r="E55" s="40" t="s">
        <v>24</v>
      </c>
      <c r="F55" s="56" t="str">
        <f>Y54</f>
        <v>Irak</v>
      </c>
      <c r="G55" s="53"/>
      <c r="H55" s="107">
        <f t="shared" ca="1" si="20"/>
        <v>2</v>
      </c>
      <c r="I55" s="11" t="s">
        <v>25</v>
      </c>
      <c r="J55" s="107">
        <f t="shared" ca="1" si="21"/>
        <v>1</v>
      </c>
      <c r="K55" s="7" t="s">
        <v>26</v>
      </c>
      <c r="L55" s="1"/>
      <c r="M55" s="9" t="str">
        <f ca="1">VLOOKUP(4,$X$52:$AC$55,2,FALSE)</f>
        <v>Irak</v>
      </c>
      <c r="N55" s="2">
        <f ca="1">VLOOKUP(4,$X$52:$AC$55,3,FALSE)</f>
        <v>3</v>
      </c>
      <c r="O55" s="2">
        <f ca="1">VLOOKUP(4,$X$52:$AC$55,4,FALSE)</f>
        <v>4</v>
      </c>
      <c r="P55" s="2">
        <f ca="1">VLOOKUP(4,$X$52:$AC$55,5,FALSE)</f>
        <v>5</v>
      </c>
      <c r="Q55" s="2">
        <f ca="1">VLOOKUP(4,$X$52:$AC$55,6,FALSE)</f>
        <v>-1</v>
      </c>
      <c r="S55" s="61">
        <f ca="1">IF(H57="",0,IF(K58=$B$98,IF(H57&gt;J57,3,IF(H57=J57,1,0)),0))</f>
        <v>3</v>
      </c>
      <c r="T55" s="61">
        <f ca="1">IF(H56="",0,IF(K56=$B$98,IF(J56&lt;H56,3,IF(J56=H56,1,0)),0))</f>
        <v>3</v>
      </c>
      <c r="U55" s="61">
        <f ca="1">IF(J54="",0,IF(K54=$B$98,IF(H54&lt;J54,3,IF(H54=J54,1,0)),0))</f>
        <v>0</v>
      </c>
      <c r="V55" s="60"/>
      <c r="W55" s="62"/>
      <c r="X55" s="62">
        <f ca="1">RANK(AD55,$AD$52:$AD$55)</f>
        <v>1</v>
      </c>
      <c r="Y55" s="40" t="s">
        <v>252</v>
      </c>
      <c r="Z55" s="62">
        <f ca="1">SUM(S55:V55)</f>
        <v>6</v>
      </c>
      <c r="AA55" s="62">
        <f ca="1">SUM(S59:V59)</f>
        <v>5</v>
      </c>
      <c r="AB55" s="62">
        <f ca="1">SUM(V56:V59)</f>
        <v>4</v>
      </c>
      <c r="AC55" s="62">
        <f ca="1">AA55-AB55</f>
        <v>1</v>
      </c>
      <c r="AD55" s="24">
        <f ca="1">IF(P$28="",(((((((AE55*10+Z55)*100+AC55)*100+AA55)*10+AK55)*10+AJ55)*100+AP55)*100+AU55)*10+AV55,(((((((AE55*10+Z55)*10+AK55)*10+AJ55)*100+AP55)*100+AU55)*100+AC55)*100+AA55)*10+AV55)</f>
        <v>603010201051</v>
      </c>
      <c r="AE55" s="203"/>
      <c r="AF55" s="217">
        <f ca="1">IF($Z55=$Z52,$S55-$V52,0)</f>
        <v>3</v>
      </c>
      <c r="AG55" s="217">
        <f ca="1">IF($Z55=$Z53,$T55-$V53,0)</f>
        <v>0</v>
      </c>
      <c r="AH55" s="217">
        <f ca="1">IF($Z55=$Z54,$U55-$V54,0)</f>
        <v>0</v>
      </c>
      <c r="AI55" s="217"/>
      <c r="AJ55" s="217">
        <f ca="1">SUM(AF55:AI55)</f>
        <v>3</v>
      </c>
      <c r="AK55" s="203"/>
      <c r="AL55" s="217">
        <f ca="1">IF($Z55=$Z52,$S59-$V56,0)</f>
        <v>1</v>
      </c>
      <c r="AM55" s="217">
        <f ca="1">IF($Z55=$Z53,$T59-$V57,0)</f>
        <v>0</v>
      </c>
      <c r="AN55" s="217">
        <f ca="1">IF($Z55=$Z54,$U59-$V58,0)</f>
        <v>0</v>
      </c>
      <c r="AO55" s="217"/>
      <c r="AP55" s="217">
        <f ca="1">SUM(AL55:AO55)</f>
        <v>1</v>
      </c>
      <c r="AQ55" s="217">
        <f ca="1">IF($Z55=$Z52,$S59,0)</f>
        <v>2</v>
      </c>
      <c r="AR55" s="217">
        <f ca="1">IF($Z55=$Z53,$T59,0)</f>
        <v>0</v>
      </c>
      <c r="AS55" s="217">
        <f ca="1">IF($Z55=$Z54,$U59,0)</f>
        <v>0</v>
      </c>
      <c r="AT55" s="217"/>
      <c r="AU55" s="217">
        <f ca="1">SUM(AQ55:AT55)</f>
        <v>2</v>
      </c>
      <c r="AV55" s="203">
        <v>1</v>
      </c>
      <c r="AW55" s="2"/>
      <c r="AX55" s="17">
        <f ca="1">IF($CX$97="",IF(OR(Ergebnisse!H55="",Ergebnisse!J55=""),0,IF(AND(H55=Ergebnisse!H55,J55=Ergebnisse!J55),7,MIN(7,(H55-J55=Ergebnisse!H55-Ergebnisse!J55)*4+(AND(H55-J55&lt;&gt;Ergebnisse!H55-Ergebnisse!J55,SIGN(H55-J55)=SIGN(Ergebnisse!H55-Ergebnisse!J55)))*2+(H55=Ergebnisse!H55)+(J55=Ergebnisse!J55)))),INT(RAND()*8))</f>
        <v>0</v>
      </c>
      <c r="AY55" s="17" t="str">
        <f ca="1">IF(Ergebnisse!K55=Ergebnisse!$B$98,Ergebnisse!K55,"")</f>
        <v>ok</v>
      </c>
      <c r="AZ55" s="2"/>
      <c r="BA55" s="2">
        <v>45</v>
      </c>
      <c r="BB55" s="6">
        <f>VLOOKUP(BA55,Spiele!$A$1:$L$116,2,FALSE)</f>
        <v>46196.666666666664</v>
      </c>
      <c r="BC55" s="6" t="str">
        <f>VLOOKUP(BA55,Spiele!$A$1:$L$116,9,FALSE)</f>
        <v>Boston</v>
      </c>
      <c r="BD55" s="56" t="str">
        <f>BY52</f>
        <v>England</v>
      </c>
      <c r="BE55" s="40" t="s">
        <v>24</v>
      </c>
      <c r="BF55" s="56" t="str">
        <f>BY54</f>
        <v>Ghana</v>
      </c>
      <c r="BG55" s="53"/>
      <c r="BH55" s="107">
        <f t="shared" ca="1" si="22"/>
        <v>2</v>
      </c>
      <c r="BI55" s="11" t="s">
        <v>25</v>
      </c>
      <c r="BJ55" s="107">
        <f t="shared" ca="1" si="23"/>
        <v>1</v>
      </c>
      <c r="BK55" s="7" t="s">
        <v>26</v>
      </c>
      <c r="BL55" s="1"/>
      <c r="BM55" s="9" t="str">
        <f ca="1">VLOOKUP(4,$BX$52:$CC$55,2,FALSE)</f>
        <v>Ghana</v>
      </c>
      <c r="BN55" s="2">
        <f ca="1">VLOOKUP(4,$BX$52:$CC$55,3,FALSE)</f>
        <v>3</v>
      </c>
      <c r="BO55" s="2">
        <f ca="1">VLOOKUP(4,$BX$52:$CC$55,4,FALSE)</f>
        <v>4</v>
      </c>
      <c r="BP55" s="2">
        <f ca="1">VLOOKUP(4,$BX$52:$CC$55,5,FALSE)</f>
        <v>5</v>
      </c>
      <c r="BQ55" s="2">
        <f ca="1">VLOOKUP(4,$BX$52:$CC$55,6,FALSE)</f>
        <v>-1</v>
      </c>
      <c r="BS55" s="61">
        <f ca="1">IF(BH57="",0,IF(BK58=$B$98,IF(BH57&gt;BJ57,3,IF(BH57=BJ57,1,0)),0))</f>
        <v>3</v>
      </c>
      <c r="BT55" s="61">
        <f ca="1">IF(BH56="",0,IF(BK56=$B$98,IF(BJ56&lt;BH56,3,IF(BJ56=BH56,1,0)),0))</f>
        <v>3</v>
      </c>
      <c r="BU55" s="61">
        <f ca="1">IF(BJ54="",0,IF(BK54=$B$98,IF(BH54&lt;BJ54,3,IF(BH54=BJ54,1,0)),0))</f>
        <v>0</v>
      </c>
      <c r="BV55" s="60"/>
      <c r="BW55" s="1"/>
      <c r="BX55" s="1">
        <f ca="1">RANK(CD55,$CD$52:$CD$55)</f>
        <v>1</v>
      </c>
      <c r="BY55" s="40" t="s">
        <v>253</v>
      </c>
      <c r="BZ55" s="1">
        <f ca="1">SUM(BS55:BV55)</f>
        <v>6</v>
      </c>
      <c r="CA55" s="1">
        <f ca="1">SUM(BS59:BV59)</f>
        <v>5</v>
      </c>
      <c r="CB55" s="1">
        <f ca="1">SUM(BV56:BV59)</f>
        <v>4</v>
      </c>
      <c r="CC55" s="1">
        <f ca="1">CA55-CB55</f>
        <v>1</v>
      </c>
      <c r="CD55" s="24">
        <f ca="1">IF(BP$28="",(((((((CE55*10+BZ55)*100+CC55)*100+CA55)*10+CK55)*10+CJ55)*100+CP55)*100+CU55)*10+CV55,(((((((CE55*10+BZ55)*10+CK55)*10+CJ55)*100+CP55)*100+CU55)*100+CC55)*100+CA55)*10+CV55)</f>
        <v>603010201051</v>
      </c>
      <c r="CE55" s="207"/>
      <c r="CF55" s="218">
        <f ca="1">IF($BZ55=$BZ52,$BS55-$BV52,0)</f>
        <v>3</v>
      </c>
      <c r="CG55" s="218">
        <f ca="1">IF($BZ55=$BZ53,$BT55-$BV53,0)</f>
        <v>0</v>
      </c>
      <c r="CH55" s="218">
        <f ca="1">IF($BZ55=$BZ54,$BU55-$BV54,0)</f>
        <v>0</v>
      </c>
      <c r="CI55" s="218"/>
      <c r="CJ55" s="218">
        <f ca="1">SUM(CF55:CI55)</f>
        <v>3</v>
      </c>
      <c r="CK55" s="207"/>
      <c r="CL55" s="218">
        <f ca="1">IF($BZ55=$BZ52,$BS59-$BV56,0)</f>
        <v>1</v>
      </c>
      <c r="CM55" s="218">
        <f ca="1">IF($BZ55=$BZ53,$BT59-$BV57,0)</f>
        <v>0</v>
      </c>
      <c r="CN55" s="218">
        <f ca="1">IF($BZ55=$BZ54,$BU59-$BV58,0)</f>
        <v>0</v>
      </c>
      <c r="CO55" s="218"/>
      <c r="CP55" s="218">
        <f ca="1">SUM(CL55:CO55)</f>
        <v>1</v>
      </c>
      <c r="CQ55" s="218">
        <f ca="1">IF($BZ55=$BZ52,$BS59,0)</f>
        <v>2</v>
      </c>
      <c r="CR55" s="218">
        <f ca="1">IF($BZ55=$BZ53,$BT59,0)</f>
        <v>0</v>
      </c>
      <c r="CS55" s="218">
        <f ca="1">IF($BZ55=$BZ54,$BU59,0)</f>
        <v>0</v>
      </c>
      <c r="CT55" s="218"/>
      <c r="CU55" s="218">
        <f ca="1">SUM(CQ55:CT55)</f>
        <v>2</v>
      </c>
      <c r="CV55" s="207">
        <v>1</v>
      </c>
      <c r="CX55" s="17">
        <f ca="1">IF($CX$97="",IF(OR(Ergebnisse!BH55="",Ergebnisse!BJ55=""),0,IF(AND(BH55=Ergebnisse!BH55,BJ55=Ergebnisse!BJ55),7,MIN(7,(BH55-BJ55=Ergebnisse!BH55-Ergebnisse!BJ55)*4+(AND(BH55-BJ55&lt;&gt;Ergebnisse!BH55-Ergebnisse!BJ55,SIGN(BH55-BJ55)=SIGN(Ergebnisse!BH55-Ergebnisse!BJ55)))*2+(BH55=Ergebnisse!BH55)+(BJ55=Ergebnisse!BJ55)))),INT(RAND()*8))</f>
        <v>0</v>
      </c>
      <c r="CY55" s="17" t="str">
        <f ca="1">IF(Ergebnisse!BK55=Ergebnisse!$B$98,Ergebnisse!BK55,"")</f>
        <v>ok</v>
      </c>
    </row>
    <row r="56" spans="1:106">
      <c r="A56" s="2">
        <v>41</v>
      </c>
      <c r="B56" s="6">
        <f>VLOOKUP(A56,Spiele!$A$1:$L$116,2,FALSE)</f>
        <v>46195.833333333336</v>
      </c>
      <c r="C56" s="6" t="str">
        <f>VLOOKUP(A56,Spiele!$A$1:$L$116,9,FALSE)</f>
        <v>New York</v>
      </c>
      <c r="D56" s="56" t="str">
        <f>Y55</f>
        <v>Norwegen</v>
      </c>
      <c r="E56" s="40" t="s">
        <v>24</v>
      </c>
      <c r="F56" s="56" t="str">
        <f>Y53</f>
        <v>Senegal</v>
      </c>
      <c r="G56" s="53"/>
      <c r="H56" s="107">
        <f t="shared" ca="1" si="20"/>
        <v>2</v>
      </c>
      <c r="I56" s="11" t="s">
        <v>25</v>
      </c>
      <c r="J56" s="107">
        <f t="shared" ca="1" si="21"/>
        <v>1</v>
      </c>
      <c r="K56" s="7" t="s">
        <v>26</v>
      </c>
      <c r="L56" s="1"/>
      <c r="N56" s="1"/>
      <c r="O56" s="1"/>
      <c r="P56" s="1"/>
      <c r="S56" s="60"/>
      <c r="T56" s="61">
        <f ca="1">IF(K53=$B$98,H53,0)</f>
        <v>2</v>
      </c>
      <c r="U56" s="61">
        <f ca="1">IF(K55=$B$98,H55,0)</f>
        <v>2</v>
      </c>
      <c r="V56" s="61">
        <f ca="1">IF(K58=$B$98,J57,0)</f>
        <v>1</v>
      </c>
      <c r="W56" s="62"/>
      <c r="X56" s="62"/>
      <c r="Y56" s="62"/>
      <c r="Z56" s="62"/>
      <c r="AA56" s="62"/>
      <c r="AB56" s="62"/>
      <c r="AC56" s="62"/>
      <c r="AD56" s="66"/>
      <c r="AE56" s="204"/>
      <c r="AF56" s="217"/>
      <c r="AG56" s="217"/>
      <c r="AH56" s="217"/>
      <c r="AI56" s="217"/>
      <c r="AJ56" s="217"/>
      <c r="AK56" s="217"/>
      <c r="AL56" s="217"/>
      <c r="AM56" s="217"/>
      <c r="AN56" s="217"/>
      <c r="AO56" s="217"/>
      <c r="AP56" s="217"/>
      <c r="AQ56" s="217"/>
      <c r="AR56" s="217"/>
      <c r="AS56" s="217"/>
      <c r="AT56" s="217"/>
      <c r="AV56" s="217"/>
      <c r="AW56" s="2"/>
      <c r="AX56" s="17">
        <f ca="1">IF($CX$97="",IF(OR(Ergebnisse!H56="",Ergebnisse!J56=""),0,IF(AND(H56=Ergebnisse!H56,J56=Ergebnisse!J56),7,MIN(7,(H56-J56=Ergebnisse!H56-Ergebnisse!J56)*4+(AND(H56-J56&lt;&gt;Ergebnisse!H56-Ergebnisse!J56,SIGN(H56-J56)=SIGN(Ergebnisse!H56-Ergebnisse!J56)))*2+(H56=Ergebnisse!H56)+(J56=Ergebnisse!J56)))),INT(RAND()*8))</f>
        <v>0</v>
      </c>
      <c r="AY56" s="17" t="str">
        <f ca="1">IF(Ergebnisse!K56=Ergebnisse!$B$98,Ergebnisse!K56,"")</f>
        <v>ok</v>
      </c>
      <c r="AZ56" s="2"/>
      <c r="BA56" s="2">
        <v>46</v>
      </c>
      <c r="BB56" s="6">
        <f>VLOOKUP(BA56,Spiele!$A$1:$L$116,2,FALSE)</f>
        <v>46196.791666666664</v>
      </c>
      <c r="BC56" s="6" t="str">
        <f>VLOOKUP(BA56,Spiele!$A$1:$L$116,9,FALSE)</f>
        <v>Toronto</v>
      </c>
      <c r="BD56" s="56" t="str">
        <f>BY55</f>
        <v>Panama</v>
      </c>
      <c r="BE56" s="40" t="s">
        <v>24</v>
      </c>
      <c r="BF56" s="56" t="str">
        <f>BY53</f>
        <v>Kroatien</v>
      </c>
      <c r="BG56" s="53"/>
      <c r="BH56" s="107">
        <f t="shared" ca="1" si="22"/>
        <v>2</v>
      </c>
      <c r="BI56" s="11" t="s">
        <v>25</v>
      </c>
      <c r="BJ56" s="107">
        <f t="shared" ca="1" si="23"/>
        <v>1</v>
      </c>
      <c r="BK56" s="7" t="s">
        <v>26</v>
      </c>
      <c r="BL56" s="1"/>
      <c r="BN56" s="1"/>
      <c r="BO56" s="1"/>
      <c r="BP56" s="1"/>
      <c r="BS56" s="60"/>
      <c r="BT56" s="61">
        <f ca="1">IF(BK53=$B$98,BH53,0)</f>
        <v>2</v>
      </c>
      <c r="BU56" s="61">
        <f ca="1">IF(BK55=$B$98,BH55,0)</f>
        <v>2</v>
      </c>
      <c r="BV56" s="61">
        <f ca="1">IF(BK58=$B$98,BJ57,0)</f>
        <v>1</v>
      </c>
      <c r="BW56" s="1"/>
      <c r="BX56" s="1"/>
      <c r="BY56" s="62"/>
      <c r="BZ56" s="1"/>
      <c r="CA56" s="1"/>
      <c r="CB56" s="1"/>
      <c r="CC56" s="1"/>
      <c r="CD56" s="5"/>
      <c r="CE56" s="7"/>
      <c r="CF56" s="218"/>
      <c r="CG56" s="218"/>
      <c r="CH56" s="218"/>
      <c r="CI56" s="218"/>
      <c r="CJ56" s="218"/>
      <c r="CK56" s="218"/>
      <c r="CL56" s="218"/>
      <c r="CM56" s="218"/>
      <c r="CN56" s="218"/>
      <c r="CO56" s="218"/>
      <c r="CP56" s="218"/>
      <c r="CQ56" s="218"/>
      <c r="CR56" s="218"/>
      <c r="CS56" s="218"/>
      <c r="CT56" s="218"/>
      <c r="CV56" s="218"/>
      <c r="CX56" s="17">
        <f ca="1">IF($CX$97="",IF(OR(Ergebnisse!BH56="",Ergebnisse!BJ56=""),0,IF(AND(BH56=Ergebnisse!BH56,BJ56=Ergebnisse!BJ56),7,MIN(7,(BH56-BJ56=Ergebnisse!BH56-Ergebnisse!BJ56)*4+(AND(BH56-BJ56&lt;&gt;Ergebnisse!BH56-Ergebnisse!BJ56,SIGN(BH56-BJ56)=SIGN(Ergebnisse!BH56-Ergebnisse!BJ56)))*2+(BH56=Ergebnisse!BH56)+(BJ56=Ergebnisse!BJ56)))),INT(RAND()*8))</f>
        <v>2</v>
      </c>
      <c r="CY56" s="17" t="str">
        <f ca="1">IF(Ergebnisse!BK56=Ergebnisse!$B$98,Ergebnisse!BK56,"")</f>
        <v>ok</v>
      </c>
    </row>
    <row r="57" spans="1:106">
      <c r="A57" s="2">
        <v>61</v>
      </c>
      <c r="B57" s="6">
        <f>VLOOKUP(A57,Spiele!$A$1:$L$116,2,FALSE)</f>
        <v>46199.625</v>
      </c>
      <c r="C57" s="6" t="str">
        <f>VLOOKUP(A57,Spiele!$A$1:$L$116,9,FALSE)</f>
        <v>Boston</v>
      </c>
      <c r="D57" s="56" t="str">
        <f>Y55</f>
        <v>Norwegen</v>
      </c>
      <c r="E57" s="40" t="s">
        <v>24</v>
      </c>
      <c r="F57" s="56" t="str">
        <f>Y52</f>
        <v>Frankreich</v>
      </c>
      <c r="G57" s="55"/>
      <c r="H57" s="107">
        <f t="shared" ca="1" si="20"/>
        <v>2</v>
      </c>
      <c r="I57" s="11" t="s">
        <v>25</v>
      </c>
      <c r="J57" s="107">
        <f t="shared" ca="1" si="21"/>
        <v>1</v>
      </c>
      <c r="K57" s="7" t="s">
        <v>26</v>
      </c>
      <c r="M57" s="238" t="str">
        <f ca="1">IF(N52&gt;0,M52,"")</f>
        <v>Norwegen</v>
      </c>
      <c r="N57" s="2" t="s">
        <v>254</v>
      </c>
      <c r="P57" s="29"/>
      <c r="S57" s="61">
        <f ca="1">IF(K53=$B$98,J53,0)</f>
        <v>1</v>
      </c>
      <c r="T57" s="60"/>
      <c r="U57" s="61">
        <f ca="1">IF(K57=$B$98,H58,0)</f>
        <v>2</v>
      </c>
      <c r="V57" s="61">
        <f ca="1">IF(K56=$B$98,J56,0)</f>
        <v>1</v>
      </c>
      <c r="AD57" s="55" t="s">
        <v>140</v>
      </c>
      <c r="AE57" s="108"/>
      <c r="AF57" s="219"/>
      <c r="AG57" s="219"/>
      <c r="AH57" s="219"/>
      <c r="AI57" s="219"/>
      <c r="AJ57" s="219"/>
      <c r="AK57" s="219"/>
      <c r="AL57" s="219"/>
      <c r="AM57" s="219"/>
      <c r="AN57" s="219"/>
      <c r="AO57" s="219"/>
      <c r="AP57" s="219"/>
      <c r="AQ57" s="219"/>
      <c r="AR57" s="219"/>
      <c r="AS57" s="219"/>
      <c r="AT57" s="219"/>
      <c r="AV57" s="219"/>
      <c r="AW57" s="2"/>
      <c r="AX57" s="17">
        <f ca="1">IF($CX$97="",IF(OR(Ergebnisse!H57="",Ergebnisse!J57=""),0,IF(AND(H57=Ergebnisse!H57,J57=Ergebnisse!J57),7,MIN(7,(H57-J57=Ergebnisse!H57-Ergebnisse!J57)*4+(AND(H57-J57&lt;&gt;Ergebnisse!H57-Ergebnisse!J57,SIGN(H57-J57)=SIGN(Ergebnisse!H57-Ergebnisse!J57)))*2+(H57=Ergebnisse!H57)+(J57=Ergebnisse!J57)))),INT(RAND()*8))</f>
        <v>0</v>
      </c>
      <c r="AY57" s="17" t="str">
        <f ca="1">IF(Ergebnisse!K57=Ergebnisse!$B$98,Ergebnisse!K57,"")</f>
        <v>ok</v>
      </c>
      <c r="AZ57" s="2"/>
      <c r="BA57" s="2">
        <v>68</v>
      </c>
      <c r="BB57" s="6">
        <f>VLOOKUP(BA57,Spiele!$A$1:$L$116,2,FALSE)</f>
        <v>46200.708333333336</v>
      </c>
      <c r="BC57" s="6" t="str">
        <f>VLOOKUP(BA57,Spiele!$A$1:$L$116,9,FALSE)</f>
        <v>Philadelphia</v>
      </c>
      <c r="BD57" s="56" t="str">
        <f>BY55</f>
        <v>Panama</v>
      </c>
      <c r="BE57" s="40" t="s">
        <v>24</v>
      </c>
      <c r="BF57" s="56" t="str">
        <f>BY52</f>
        <v>England</v>
      </c>
      <c r="BG57" s="55"/>
      <c r="BH57" s="107">
        <f t="shared" ca="1" si="22"/>
        <v>2</v>
      </c>
      <c r="BI57" s="11" t="s">
        <v>25</v>
      </c>
      <c r="BJ57" s="107">
        <f t="shared" ca="1" si="23"/>
        <v>1</v>
      </c>
      <c r="BK57" s="7" t="s">
        <v>26</v>
      </c>
      <c r="BM57" s="237" t="str">
        <f ca="1">IF(BN52&gt;0,BM52,"")</f>
        <v>Panama</v>
      </c>
      <c r="BN57" s="2" t="s">
        <v>255</v>
      </c>
      <c r="BP57" s="29"/>
      <c r="BS57" s="61">
        <f ca="1">IF(BK53=$B$98,BJ53,0)</f>
        <v>1</v>
      </c>
      <c r="BT57" s="60"/>
      <c r="BU57" s="61">
        <f ca="1">IF(BK57=$B$98,BH58,0)</f>
        <v>2</v>
      </c>
      <c r="BV57" s="61">
        <f ca="1">IF(BK56=$B$98,BJ56,0)</f>
        <v>1</v>
      </c>
      <c r="CD57" s="2" t="s">
        <v>140</v>
      </c>
      <c r="CE57" s="8"/>
      <c r="CF57" s="220"/>
      <c r="CG57" s="220"/>
      <c r="CH57" s="220"/>
      <c r="CI57" s="220"/>
      <c r="CJ57" s="220"/>
      <c r="CK57" s="220"/>
      <c r="CL57" s="220"/>
      <c r="CM57" s="220"/>
      <c r="CN57" s="220"/>
      <c r="CO57" s="220"/>
      <c r="CP57" s="220"/>
      <c r="CQ57" s="220"/>
      <c r="CR57" s="220"/>
      <c r="CS57" s="220"/>
      <c r="CT57" s="220"/>
      <c r="CV57" s="220"/>
      <c r="CX57" s="17">
        <f ca="1">IF($CX$97="",IF(OR(Ergebnisse!BH57="",Ergebnisse!BJ57=""),0,IF(AND(BH57=Ergebnisse!BH57,BJ57=Ergebnisse!BJ57),7,MIN(7,(BH57-BJ57=Ergebnisse!BH57-Ergebnisse!BJ57)*4+(AND(BH57-BJ57&lt;&gt;Ergebnisse!BH57-Ergebnisse!BJ57,SIGN(BH57-BJ57)=SIGN(Ergebnisse!BH57-Ergebnisse!BJ57)))*2+(BH57=Ergebnisse!BH57)+(BJ57=Ergebnisse!BJ57)))),INT(RAND()*8))</f>
        <v>0</v>
      </c>
      <c r="CY57" s="17" t="str">
        <f ca="1">IF(Ergebnisse!BK57=Ergebnisse!$B$98,Ergebnisse!BK57,"")</f>
        <v>ok</v>
      </c>
    </row>
    <row r="58" spans="1:106">
      <c r="A58" s="2">
        <v>62</v>
      </c>
      <c r="B58" s="6">
        <f>VLOOKUP(A58,Spiele!$A$1:$L$116,2,FALSE)</f>
        <v>46199.625</v>
      </c>
      <c r="C58" s="6" t="str">
        <f>VLOOKUP(A58,Spiele!$A$1:$L$116,9,FALSE)</f>
        <v>Toronto</v>
      </c>
      <c r="D58" s="56" t="str">
        <f>Y53</f>
        <v>Senegal</v>
      </c>
      <c r="E58" s="40" t="s">
        <v>24</v>
      </c>
      <c r="F58" s="56" t="str">
        <f>Y54</f>
        <v>Irak</v>
      </c>
      <c r="G58" s="55"/>
      <c r="H58" s="107">
        <f t="shared" ca="1" si="20"/>
        <v>2</v>
      </c>
      <c r="I58" s="11" t="s">
        <v>25</v>
      </c>
      <c r="J58" s="107">
        <f t="shared" ca="1" si="21"/>
        <v>1</v>
      </c>
      <c r="K58" s="7" t="s">
        <v>26</v>
      </c>
      <c r="M58" s="238" t="str">
        <f ca="1">IF(N53&gt;0,M53,"")</f>
        <v>Frankreich</v>
      </c>
      <c r="N58" s="2" t="s">
        <v>256</v>
      </c>
      <c r="O58" s="30"/>
      <c r="P58" s="205" t="s">
        <v>11</v>
      </c>
      <c r="S58" s="61">
        <f ca="1">IF(K55=$B$98,J55,0)</f>
        <v>1</v>
      </c>
      <c r="T58" s="61">
        <f ca="1">IF(K57=$B$98,J58,0)</f>
        <v>1</v>
      </c>
      <c r="U58" s="60"/>
      <c r="V58" s="61">
        <f ca="1">IF(K54=$B$98,H54,0)</f>
        <v>2</v>
      </c>
      <c r="AD58" s="55" t="s">
        <v>141</v>
      </c>
      <c r="AE58" s="108"/>
      <c r="AF58" s="219"/>
      <c r="AG58" s="219"/>
      <c r="AH58" s="219"/>
      <c r="AI58" s="219"/>
      <c r="AJ58" s="219"/>
      <c r="AK58" s="219"/>
      <c r="AL58" s="219"/>
      <c r="AM58" s="219"/>
      <c r="AN58" s="219"/>
      <c r="AO58" s="219"/>
      <c r="AP58" s="219"/>
      <c r="AQ58" s="219"/>
      <c r="AR58" s="219"/>
      <c r="AS58" s="219"/>
      <c r="AT58" s="219"/>
      <c r="AV58" s="219"/>
      <c r="AW58" s="2"/>
      <c r="AX58" s="17">
        <f ca="1">IF($CX$97="",IF(OR(Ergebnisse!H58="",Ergebnisse!J58=""),0,IF(AND(H58=Ergebnisse!H58,J58=Ergebnisse!J58),7,MIN(7,(H58-J58=Ergebnisse!H58-Ergebnisse!J58)*4+(AND(H58-J58&lt;&gt;Ergebnisse!H58-Ergebnisse!J58,SIGN(H58-J58)=SIGN(Ergebnisse!H58-Ergebnisse!J58)))*2+(H58=Ergebnisse!H58)+(J58=Ergebnisse!J58)))),INT(RAND()*8))</f>
        <v>4</v>
      </c>
      <c r="AY58" s="17" t="str">
        <f ca="1">IF(Ergebnisse!K58=Ergebnisse!$B$98,Ergebnisse!K58,"")</f>
        <v>ok</v>
      </c>
      <c r="AZ58" s="2"/>
      <c r="BA58" s="2">
        <v>67</v>
      </c>
      <c r="BB58" s="6">
        <f>VLOOKUP(BA58,Spiele!$A$1:$L$116,2,FALSE)</f>
        <v>46200.708333333336</v>
      </c>
      <c r="BC58" s="6" t="str">
        <f>VLOOKUP(BA58,Spiele!$A$1:$L$116,9,FALSE)</f>
        <v>New York</v>
      </c>
      <c r="BD58" s="56" t="str">
        <f>BY53</f>
        <v>Kroatien</v>
      </c>
      <c r="BE58" s="40" t="s">
        <v>24</v>
      </c>
      <c r="BF58" s="56" t="str">
        <f>BY54</f>
        <v>Ghana</v>
      </c>
      <c r="BG58" s="55"/>
      <c r="BH58" s="107">
        <f t="shared" ca="1" si="22"/>
        <v>2</v>
      </c>
      <c r="BI58" s="11" t="s">
        <v>25</v>
      </c>
      <c r="BJ58" s="107">
        <f t="shared" ca="1" si="23"/>
        <v>1</v>
      </c>
      <c r="BK58" s="7" t="s">
        <v>26</v>
      </c>
      <c r="BM58" s="237" t="str">
        <f ca="1">IF(BN53&gt;0,BM53,"")</f>
        <v>England</v>
      </c>
      <c r="BN58" s="2" t="s">
        <v>257</v>
      </c>
      <c r="BO58" s="30"/>
      <c r="BP58" s="205" t="s">
        <v>11</v>
      </c>
      <c r="BS58" s="61">
        <f ca="1">IF(BK55=$B$98,BJ55,0)</f>
        <v>1</v>
      </c>
      <c r="BT58" s="61">
        <f ca="1">IF(BK57=$B$98,BJ58,0)</f>
        <v>1</v>
      </c>
      <c r="BU58" s="60"/>
      <c r="BV58" s="61">
        <f ca="1">IF(BK54=$B$98,BH54,0)</f>
        <v>2</v>
      </c>
      <c r="CD58" s="2" t="s">
        <v>141</v>
      </c>
      <c r="CE58" s="8"/>
      <c r="CF58" s="220"/>
      <c r="CG58" s="220"/>
      <c r="CH58" s="220"/>
      <c r="CI58" s="220"/>
      <c r="CJ58" s="220"/>
      <c r="CK58" s="220"/>
      <c r="CL58" s="220"/>
      <c r="CM58" s="220"/>
      <c r="CN58" s="220"/>
      <c r="CO58" s="220"/>
      <c r="CP58" s="220"/>
      <c r="CQ58" s="220"/>
      <c r="CR58" s="220"/>
      <c r="CS58" s="220"/>
      <c r="CT58" s="220"/>
      <c r="CV58" s="220"/>
      <c r="CX58" s="17">
        <f ca="1">IF($CX$97="",IF(OR(Ergebnisse!BH58="",Ergebnisse!BJ58=""),0,IF(AND(BH58=Ergebnisse!BH58,BJ58=Ergebnisse!BJ58),7,MIN(7,(BH58-BJ58=Ergebnisse!BH58-Ergebnisse!BJ58)*4+(AND(BH58-BJ58&lt;&gt;Ergebnisse!BH58-Ergebnisse!BJ58,SIGN(BH58-BJ58)=SIGN(Ergebnisse!BH58-Ergebnisse!BJ58)))*2+(BH58=Ergebnisse!BH58)+(BJ58=Ergebnisse!BJ58)))),INT(RAND()*8))</f>
        <v>0</v>
      </c>
      <c r="CY58" s="17" t="str">
        <f ca="1">IF(Ergebnisse!BK58=Ergebnisse!$B$98,Ergebnisse!BK58,"")</f>
        <v>ok</v>
      </c>
    </row>
    <row r="59" spans="1:106">
      <c r="E59" s="55"/>
      <c r="F59" s="55"/>
      <c r="G59" s="55"/>
      <c r="M59" s="238" t="str">
        <f ca="1">IF(N54&gt;0,M54,"")</f>
        <v>Senegal</v>
      </c>
      <c r="N59" s="2" t="s">
        <v>258</v>
      </c>
      <c r="S59" s="61">
        <f ca="1">IF(K58=$B$98,H57,0)</f>
        <v>2</v>
      </c>
      <c r="T59" s="61">
        <f ca="1">IF(K56=$B$98,H56,0)</f>
        <v>2</v>
      </c>
      <c r="U59" s="61">
        <f ca="1">IF(K54=$B$98,J54,0)</f>
        <v>1</v>
      </c>
      <c r="V59" s="60"/>
      <c r="AD59" s="55" t="s">
        <v>143</v>
      </c>
      <c r="AE59" s="108"/>
      <c r="AF59" s="219"/>
      <c r="AG59" s="219"/>
      <c r="AH59" s="219"/>
      <c r="AI59" s="219"/>
      <c r="AJ59" s="219"/>
      <c r="AK59" s="219"/>
      <c r="AL59" s="219"/>
      <c r="AM59" s="219"/>
      <c r="AN59" s="219"/>
      <c r="AO59" s="219"/>
      <c r="AP59" s="219"/>
      <c r="AQ59" s="219"/>
      <c r="AR59" s="219"/>
      <c r="AS59" s="219"/>
      <c r="AT59" s="219"/>
      <c r="AV59" s="219"/>
      <c r="AW59" s="2"/>
      <c r="AX59" s="234">
        <f ca="1">IF($CX$97="",2*COUNTIF(Ergebnisse!$D$63:'Ergebnisse'!$F$78,M59),2*INT(RAND()*2))</f>
        <v>2</v>
      </c>
      <c r="AY59" s="17" t="str">
        <f ca="1">IF(COUNTIF(Ergebnisse!K53:'Ergebnisse'!K58,Ergebnisse!$B$98)=6,"ok","")</f>
        <v>ok</v>
      </c>
      <c r="AZ59" s="2"/>
      <c r="BE59" s="55"/>
      <c r="BF59" s="55"/>
      <c r="BG59" s="55"/>
      <c r="BM59" s="237" t="str">
        <f ca="1">IF(BN54&gt;0,BM54,"")</f>
        <v>Kroatien</v>
      </c>
      <c r="BN59" s="2" t="s">
        <v>259</v>
      </c>
      <c r="BS59" s="61">
        <f ca="1">IF(BK58=$B$98,BH57,0)</f>
        <v>2</v>
      </c>
      <c r="BT59" s="61">
        <f ca="1">IF(BK56=$B$98,BH56,0)</f>
        <v>2</v>
      </c>
      <c r="BU59" s="61">
        <f ca="1">IF(BK54=$B$98,BJ54,0)</f>
        <v>1</v>
      </c>
      <c r="BV59" s="60"/>
      <c r="CD59" s="2" t="s">
        <v>143</v>
      </c>
      <c r="CE59" s="8"/>
      <c r="CF59" s="220"/>
      <c r="CG59" s="220"/>
      <c r="CH59" s="220"/>
      <c r="CI59" s="220"/>
      <c r="CJ59" s="220"/>
      <c r="CK59" s="220"/>
      <c r="CL59" s="220"/>
      <c r="CM59" s="220"/>
      <c r="CN59" s="220"/>
      <c r="CO59" s="220"/>
      <c r="CP59" s="220"/>
      <c r="CQ59" s="220"/>
      <c r="CR59" s="220"/>
      <c r="CS59" s="220"/>
      <c r="CT59" s="220"/>
      <c r="CV59" s="220"/>
      <c r="CX59" s="236">
        <f ca="1">IF($CX$97="",2*COUNTIF(Ergebnisse!$D$63:'Ergebnisse'!$F$78,BM59),2*INT(RAND()*2))</f>
        <v>2</v>
      </c>
      <c r="CY59" s="17" t="str">
        <f ca="1">IF(COUNTIF(Ergebnisse!BK53:'Ergebnisse'!BK58,Ergebnisse!$B$98)=6,"ok","")</f>
        <v>ok</v>
      </c>
    </row>
    <row r="60" spans="1:106">
      <c r="D60" s="55"/>
      <c r="E60" s="58"/>
      <c r="F60" s="59"/>
      <c r="G60" s="59"/>
      <c r="H60" s="55"/>
      <c r="I60" s="55"/>
      <c r="J60" s="55"/>
      <c r="AE60" s="108"/>
      <c r="AF60" s="219"/>
      <c r="AG60" s="219"/>
      <c r="AH60" s="219"/>
      <c r="AI60" s="219"/>
      <c r="AJ60" s="219"/>
      <c r="AK60" s="219"/>
      <c r="AL60" s="219"/>
      <c r="AM60" s="219"/>
      <c r="AN60" s="219"/>
      <c r="AO60" s="219"/>
      <c r="AP60" s="219"/>
      <c r="AQ60" s="219"/>
      <c r="AR60" s="219"/>
      <c r="AS60" s="219"/>
      <c r="AT60" s="219"/>
      <c r="AV60" s="219"/>
      <c r="AW60" s="2"/>
      <c r="AY60" s="17"/>
      <c r="AZ60" s="2"/>
      <c r="BD60" s="55"/>
      <c r="BE60" s="58"/>
      <c r="BF60" s="59"/>
      <c r="BG60" s="59"/>
      <c r="BH60" s="55"/>
      <c r="BI60" s="55"/>
      <c r="BJ60" s="55"/>
      <c r="BS60" s="55"/>
      <c r="BT60" s="55"/>
      <c r="BU60" s="55"/>
      <c r="BV60" s="55"/>
      <c r="CE60" s="8"/>
      <c r="CF60" s="220"/>
      <c r="CG60" s="220"/>
      <c r="CH60" s="220"/>
      <c r="CI60" s="220"/>
      <c r="CJ60" s="220"/>
      <c r="CK60" s="220"/>
      <c r="CL60" s="220"/>
      <c r="CM60" s="220"/>
      <c r="CN60" s="220"/>
      <c r="CO60" s="220"/>
      <c r="CP60" s="220"/>
      <c r="CQ60" s="220"/>
      <c r="CR60" s="220"/>
      <c r="CS60" s="220"/>
      <c r="CT60" s="220"/>
      <c r="CV60" s="220"/>
      <c r="CX60" s="1"/>
    </row>
    <row r="61" spans="1:106">
      <c r="A61" s="10"/>
      <c r="B61" s="21" t="s">
        <v>260</v>
      </c>
      <c r="C61" s="21"/>
      <c r="D61" s="17"/>
      <c r="E61" s="14"/>
      <c r="F61" s="17"/>
      <c r="G61" s="17"/>
      <c r="H61" s="20"/>
      <c r="I61" s="19"/>
      <c r="J61" s="20"/>
      <c r="K61" s="181"/>
      <c r="L61" s="17"/>
      <c r="M61" s="21"/>
      <c r="N61" s="17"/>
      <c r="O61" s="17"/>
      <c r="P61" s="17"/>
      <c r="Q61" s="17"/>
      <c r="R61" s="17"/>
      <c r="S61" s="53"/>
      <c r="T61" s="53"/>
      <c r="U61" s="53"/>
      <c r="V61" s="53"/>
      <c r="W61" s="53"/>
      <c r="X61" s="53"/>
      <c r="Y61" s="56"/>
      <c r="Z61" s="53"/>
      <c r="AA61" s="53"/>
      <c r="AB61" s="53"/>
      <c r="AC61" s="53"/>
      <c r="AD61" s="176"/>
      <c r="AE61" s="19"/>
      <c r="AF61" s="53"/>
      <c r="AG61" s="53"/>
      <c r="AH61" s="53"/>
      <c r="AI61" s="59"/>
      <c r="AJ61" s="59"/>
      <c r="AK61" s="59"/>
      <c r="AL61" s="59"/>
      <c r="AM61" s="59"/>
      <c r="AN61" s="59"/>
      <c r="AO61" s="59"/>
      <c r="AP61" s="59"/>
      <c r="AQ61" s="59"/>
      <c r="AR61" s="59"/>
      <c r="AS61" s="59"/>
      <c r="AT61" s="59"/>
      <c r="AU61" s="59"/>
      <c r="AV61" s="59"/>
      <c r="AZ61" s="206"/>
      <c r="BA61" s="10"/>
      <c r="BB61" s="10"/>
      <c r="BC61" s="10"/>
      <c r="BD61" s="10"/>
      <c r="BE61" s="10"/>
      <c r="BF61" s="10"/>
      <c r="BG61" s="10"/>
      <c r="BH61" s="10"/>
      <c r="BI61" s="10"/>
      <c r="BJ61" s="10"/>
      <c r="BK61" s="10"/>
      <c r="BL61" s="10"/>
      <c r="BM61" s="10"/>
      <c r="BN61" s="10"/>
      <c r="BO61" s="10"/>
      <c r="BP61" s="10"/>
      <c r="BQ61" s="1"/>
      <c r="BR61" s="1"/>
      <c r="BS61" s="62"/>
      <c r="BT61" s="62"/>
      <c r="BU61" s="62"/>
      <c r="BV61" s="62"/>
      <c r="BW61" s="62"/>
      <c r="BX61" s="62"/>
      <c r="BY61" s="63"/>
      <c r="BZ61" s="62"/>
      <c r="CA61" s="62"/>
      <c r="CB61" s="62"/>
      <c r="CC61" s="62"/>
      <c r="CD61" s="62"/>
      <c r="CE61" s="66"/>
      <c r="CF61" s="204"/>
      <c r="CG61" s="62"/>
      <c r="CH61" s="62"/>
      <c r="CI61" s="55"/>
      <c r="CJ61" s="55"/>
      <c r="CK61" s="55"/>
      <c r="CL61" s="55"/>
      <c r="CM61" s="55"/>
      <c r="CN61" s="55"/>
      <c r="CO61" s="62"/>
      <c r="CP61" s="55"/>
      <c r="CQ61" s="55"/>
      <c r="CR61" s="55"/>
      <c r="CS61" s="55"/>
      <c r="CT61" s="55"/>
      <c r="CU61" s="55"/>
      <c r="CV61" s="55"/>
      <c r="CW61" s="55"/>
      <c r="CX61" s="1"/>
      <c r="CZ61" s="206"/>
      <c r="DA61" s="163"/>
      <c r="DB61" s="164"/>
    </row>
    <row r="62" spans="1:106">
      <c r="B62" s="3" t="s">
        <v>22</v>
      </c>
      <c r="C62" s="3" t="s">
        <v>23</v>
      </c>
      <c r="D62" s="17"/>
      <c r="E62" s="14"/>
      <c r="F62" s="17"/>
      <c r="G62" s="17"/>
      <c r="H62" s="20"/>
      <c r="I62" s="11"/>
      <c r="J62" s="20"/>
      <c r="K62" s="181"/>
      <c r="L62" s="1"/>
      <c r="M62" s="3"/>
      <c r="N62" s="1"/>
      <c r="O62" s="1"/>
      <c r="P62" s="1"/>
      <c r="Q62" s="1"/>
      <c r="V62" s="62"/>
      <c r="W62" s="62"/>
      <c r="Z62" s="62"/>
      <c r="AA62" s="58"/>
      <c r="AB62" s="62"/>
      <c r="AC62" s="58"/>
      <c r="AE62" s="19"/>
      <c r="AF62" s="62"/>
      <c r="AG62" s="62"/>
      <c r="AH62" s="62"/>
      <c r="AZ62" s="206"/>
      <c r="BB62" s="74" t="s">
        <v>146</v>
      </c>
      <c r="BC62" s="239" t="str">
        <f ca="1">CONCATENATE(BH66,BH67,BH68,BH69,BH70,BH71,BH72,BH73)</f>
        <v>ABCDEFGH</v>
      </c>
      <c r="BS62" s="55"/>
      <c r="BT62" s="55"/>
      <c r="BU62" s="55"/>
      <c r="BV62" s="55"/>
      <c r="BW62" s="55"/>
      <c r="BX62" s="55"/>
      <c r="BZ62" s="55"/>
      <c r="CA62" s="55"/>
      <c r="CB62" s="55"/>
      <c r="CC62" s="55"/>
      <c r="CD62" s="55"/>
      <c r="CE62" s="108"/>
      <c r="CF62" s="55"/>
      <c r="CG62" s="55"/>
      <c r="CH62" s="55"/>
      <c r="CI62" s="55"/>
      <c r="CJ62" s="55"/>
      <c r="CK62" s="55"/>
      <c r="CL62" s="55"/>
      <c r="CM62" s="55"/>
      <c r="CN62" s="55"/>
      <c r="CO62" s="55"/>
      <c r="CP62" s="55"/>
      <c r="CQ62" s="55"/>
      <c r="CR62" s="55"/>
      <c r="CS62" s="55"/>
      <c r="CT62" s="55"/>
      <c r="CU62" s="55"/>
      <c r="CV62" s="55"/>
      <c r="CW62" s="55"/>
      <c r="CZ62" s="206"/>
    </row>
    <row r="63" spans="1:106">
      <c r="A63" s="2">
        <v>73</v>
      </c>
      <c r="B63" s="6">
        <f>VLOOKUP(A63,Spiele!$A$1:$L$116,2,FALSE)</f>
        <v>46201.5</v>
      </c>
      <c r="C63" s="6" t="str">
        <f>VLOOKUP(A63,Spiele!$A$1:$L$116,9,FALSE)</f>
        <v>Los Angeles</v>
      </c>
      <c r="D63" s="26" t="str">
        <f ca="1">M8</f>
        <v>Mexiko</v>
      </c>
      <c r="E63" s="15" t="s">
        <v>24</v>
      </c>
      <c r="F63" s="37" t="str">
        <f ca="1">M18</f>
        <v>Kanada</v>
      </c>
      <c r="G63" s="17"/>
      <c r="H63" s="107">
        <f t="shared" ref="H63:H78" ca="1" si="24">IF($B$99="",2,INT(RAND()*5)+INT(RAND()*3)*INT(RAND()*2))</f>
        <v>2</v>
      </c>
      <c r="I63" s="11" t="s">
        <v>25</v>
      </c>
      <c r="J63" s="107">
        <f ca="1">IF($B$99="",1, H63 + IF(H63=0, 1, IF(H63=9, -1, CHOOSE(INT(RAND()*2)+1, 1, -1))))</f>
        <v>1</v>
      </c>
      <c r="K63" s="7" t="s">
        <v>26</v>
      </c>
      <c r="L63" s="1"/>
      <c r="M63" s="240" t="str">
        <f t="shared" ref="M63:M78" ca="1" si="25">IF(J63="","",IF(J63=H63,"falsch!!! K.Remis",IF(H63&gt;J63,D63,F63)))</f>
        <v>Mexiko</v>
      </c>
      <c r="N63" s="241" t="str">
        <f>N8</f>
        <v>2A</v>
      </c>
      <c r="O63" s="241" t="str">
        <f>N18</f>
        <v>2B</v>
      </c>
      <c r="P63" s="241" t="s">
        <v>261</v>
      </c>
      <c r="Q63" s="17"/>
      <c r="R63" s="16"/>
      <c r="V63" s="62"/>
      <c r="W63" s="62"/>
      <c r="Z63" s="62"/>
      <c r="AB63" s="62"/>
      <c r="AE63" s="2"/>
      <c r="AF63" s="206"/>
      <c r="AG63" s="206"/>
      <c r="AH63" s="206"/>
      <c r="AI63" s="206"/>
      <c r="AJ63" s="206"/>
      <c r="AK63" s="206"/>
      <c r="AL63" s="206"/>
      <c r="AM63" s="206"/>
      <c r="AN63" s="206"/>
      <c r="AO63" s="206"/>
      <c r="AP63" s="206"/>
      <c r="AX63" s="17">
        <f ca="1">IF(AY63="",0,IF($CX$97="",(D63=Ergebnisse!D63)+(F63=Ergebnisse!F63)+(SIGN(H63-J63)=SIGN(Ergebnisse!H63-Ergebnisse!J63))*7+(H63=Ergebnisse!H63)+(J63=Ergebnisse!J63),INT(RAND()*12)))</f>
        <v>0</v>
      </c>
      <c r="AY63" s="17" t="str">
        <f ca="1">IF(Ergebnisse!K63=Ergebnisse!$B$98,Ergebnisse!K63,"")</f>
        <v>ok</v>
      </c>
      <c r="AZ63" s="206"/>
      <c r="BS63" s="55"/>
      <c r="BT63" s="55"/>
      <c r="BU63" s="55"/>
      <c r="BV63" s="55"/>
      <c r="BW63" s="55"/>
      <c r="BX63" s="55"/>
      <c r="BZ63" s="55"/>
      <c r="CA63" s="55"/>
      <c r="CB63" s="55"/>
      <c r="CC63" s="55"/>
      <c r="CD63" s="55"/>
      <c r="CE63" s="108"/>
      <c r="CF63" s="55"/>
      <c r="CG63" s="55"/>
      <c r="CH63" s="55"/>
      <c r="CI63" s="55"/>
      <c r="CJ63" s="55"/>
      <c r="CK63" s="55"/>
      <c r="CL63" s="55"/>
      <c r="CM63" s="55"/>
      <c r="CN63" s="55"/>
      <c r="CO63" s="55"/>
      <c r="CP63" s="55"/>
      <c r="CQ63" s="55"/>
      <c r="CR63" s="55"/>
      <c r="CS63" s="55"/>
      <c r="CT63" s="55"/>
      <c r="CU63" s="55"/>
      <c r="CV63" s="55"/>
      <c r="CW63" s="55"/>
      <c r="CZ63" s="206"/>
    </row>
    <row r="64" spans="1:106">
      <c r="A64" s="2">
        <v>76</v>
      </c>
      <c r="B64" s="6">
        <f>VLOOKUP(A64,Spiele!$A$1:$L$116,2,FALSE)</f>
        <v>46202.5</v>
      </c>
      <c r="C64" s="6" t="str">
        <f>VLOOKUP(A64,Spiele!$A$1:$L$116,9,FALSE)</f>
        <v>Houston</v>
      </c>
      <c r="D64" s="38" t="str">
        <f ca="1">M27</f>
        <v>Schottland</v>
      </c>
      <c r="E64" s="15" t="s">
        <v>24</v>
      </c>
      <c r="F64" s="223" t="str">
        <f ca="1">BM28</f>
        <v>Niederlande</v>
      </c>
      <c r="G64" s="17"/>
      <c r="H64" s="107">
        <f t="shared" ca="1" si="24"/>
        <v>2</v>
      </c>
      <c r="I64" s="11" t="s">
        <v>25</v>
      </c>
      <c r="J64" s="107">
        <f t="shared" ref="J64:J78" ca="1" si="26">IF($B$99="",1, H64 + IF(H64=0, 1, IF(H64=9, -1, CHOOSE(INT(RAND()*2)+1, 1, -1))))</f>
        <v>1</v>
      </c>
      <c r="K64" s="7" t="s">
        <v>26</v>
      </c>
      <c r="L64" s="1"/>
      <c r="M64" s="240" t="str">
        <f t="shared" ca="1" si="25"/>
        <v>Schottland</v>
      </c>
      <c r="N64" s="241" t="str">
        <f>N27</f>
        <v>1C</v>
      </c>
      <c r="O64" s="241" t="str">
        <f>BN28</f>
        <v>2F</v>
      </c>
      <c r="P64" s="241" t="s">
        <v>262</v>
      </c>
      <c r="Q64" s="184"/>
      <c r="V64" s="62"/>
      <c r="W64" s="62"/>
      <c r="AA64" s="201"/>
      <c r="AC64" s="58"/>
      <c r="AE64" s="2"/>
      <c r="AF64" s="206"/>
      <c r="AG64" s="206"/>
      <c r="AH64" s="206"/>
      <c r="AI64" s="206"/>
      <c r="AJ64" s="206"/>
      <c r="AK64" s="206"/>
      <c r="AL64" s="206"/>
      <c r="AM64" s="206"/>
      <c r="AN64" s="206"/>
      <c r="AO64" s="206"/>
      <c r="AP64" s="206"/>
      <c r="AX64" s="17">
        <f ca="1">IF(AY64="",0,IF($CX$97="",(D64=Ergebnisse!D64)+(F64=Ergebnisse!F64)+(SIGN(H64-J64)=SIGN(Ergebnisse!H64-Ergebnisse!J64))*7+(H64=Ergebnisse!H64)+(J64=Ergebnisse!J64),INT(RAND()*12)))</f>
        <v>1</v>
      </c>
      <c r="AY64" s="17" t="str">
        <f ca="1">IF(Ergebnisse!K64=Ergebnisse!$B$98,Ergebnisse!K64,"")</f>
        <v>ok</v>
      </c>
      <c r="AZ64" s="206"/>
      <c r="BB64" s="55"/>
      <c r="BC64" s="55"/>
      <c r="BD64" s="23"/>
      <c r="BE64" s="55"/>
      <c r="BF64" s="23"/>
      <c r="BG64" s="55"/>
      <c r="BM64" s="35" t="s">
        <v>263</v>
      </c>
      <c r="BS64" s="55"/>
      <c r="BT64" s="55"/>
      <c r="BU64" s="55"/>
      <c r="BV64" s="55"/>
      <c r="BW64" s="55"/>
      <c r="BX64" s="55"/>
      <c r="BZ64" s="55"/>
      <c r="CA64" s="55"/>
      <c r="CB64" s="55"/>
      <c r="CC64" s="55"/>
      <c r="CD64" s="55"/>
      <c r="CE64" s="108"/>
      <c r="CF64" s="55"/>
      <c r="CG64" s="55"/>
      <c r="CH64" s="55"/>
      <c r="CI64" s="55"/>
      <c r="CJ64" s="55"/>
      <c r="CK64" s="55"/>
      <c r="CL64" s="55"/>
      <c r="CM64" s="55"/>
      <c r="CN64" s="55"/>
      <c r="CO64" s="55"/>
      <c r="CP64" s="55"/>
      <c r="CQ64" s="55"/>
      <c r="CR64" s="55"/>
      <c r="CS64" s="55"/>
      <c r="CT64" s="55"/>
      <c r="CU64" s="55"/>
      <c r="CV64" s="55"/>
      <c r="CW64" s="55"/>
      <c r="CZ64" s="206"/>
    </row>
    <row r="65" spans="1:104">
      <c r="A65" s="2">
        <v>74</v>
      </c>
      <c r="B65" s="6">
        <f>VLOOKUP(A65,Spiele!$A$1:$L$116,2,FALSE)</f>
        <v>46202.6875</v>
      </c>
      <c r="C65" s="6" t="str">
        <f>VLOOKUP(A65,Spiele!$A$1:$L$116,9,FALSE)</f>
        <v>Boston</v>
      </c>
      <c r="D65" s="73" t="str">
        <f ca="1">BM17</f>
        <v>Ecuador</v>
      </c>
      <c r="E65" s="15" t="s">
        <v>24</v>
      </c>
      <c r="F65" s="34" t="str">
        <f ca="1">VLOOKUP(R65,$BC$66:$BF$73,4,FALSE)</f>
        <v>Marokko</v>
      </c>
      <c r="G65" s="17"/>
      <c r="H65" s="107">
        <f t="shared" ca="1" si="24"/>
        <v>2</v>
      </c>
      <c r="I65" s="11" t="s">
        <v>25</v>
      </c>
      <c r="J65" s="107">
        <f t="shared" ca="1" si="26"/>
        <v>1</v>
      </c>
      <c r="K65" s="7" t="s">
        <v>26</v>
      </c>
      <c r="L65" s="1"/>
      <c r="M65" s="242" t="str">
        <f t="shared" ca="1" si="25"/>
        <v>Ecuador</v>
      </c>
      <c r="N65" s="241" t="str">
        <f>BN17</f>
        <v>1E</v>
      </c>
      <c r="O65" s="241" t="str">
        <f ca="1">R65</f>
        <v>3C</v>
      </c>
      <c r="P65" s="241" t="s">
        <v>264</v>
      </c>
      <c r="Q65" s="184"/>
      <c r="R65" s="243" t="str">
        <f ca="1">VLOOKUP(N65,BB$66:BC$73,2,FALSE)</f>
        <v>3C</v>
      </c>
      <c r="V65" s="62"/>
      <c r="W65" s="62"/>
      <c r="Z65" s="62"/>
      <c r="AC65" s="58"/>
      <c r="AE65" s="2"/>
      <c r="AF65" s="206"/>
      <c r="AG65" s="206"/>
      <c r="AH65" s="206"/>
      <c r="AI65" s="206"/>
      <c r="AJ65" s="206"/>
      <c r="AK65" s="206"/>
      <c r="AL65" s="206"/>
      <c r="AM65" s="206"/>
      <c r="AN65" s="206"/>
      <c r="AO65" s="206"/>
      <c r="AP65" s="206"/>
      <c r="AX65" s="17">
        <f ca="1">IF(AY65="",0,IF($CX$97="",(D65=Ergebnisse!D65)+(F65=Ergebnisse!F65)+(SIGN(H65-J65)=SIGN(Ergebnisse!H65-Ergebnisse!J65))*7+(H65=Ergebnisse!H65)+(J65=Ergebnisse!J65),INT(RAND()*12)))</f>
        <v>10</v>
      </c>
      <c r="AY65" s="17" t="str">
        <f ca="1">IF(Ergebnisse!K65=Ergebnisse!$B$98,Ergebnisse!K65,"")</f>
        <v>ok</v>
      </c>
      <c r="AZ65" s="206"/>
      <c r="BB65" s="53" t="s">
        <v>265</v>
      </c>
      <c r="BC65" s="53" t="s">
        <v>266</v>
      </c>
      <c r="BD65" s="54" t="s">
        <v>267</v>
      </c>
      <c r="BE65" s="59"/>
      <c r="BF65" s="53" t="s">
        <v>268</v>
      </c>
      <c r="BG65" s="59"/>
      <c r="BH65" s="10"/>
      <c r="BI65" s="10"/>
      <c r="BK65" s="10"/>
      <c r="BL65" s="17"/>
      <c r="BM65" s="35" t="s">
        <v>3</v>
      </c>
      <c r="BN65" s="17" t="s">
        <v>4</v>
      </c>
      <c r="BO65" s="17" t="s">
        <v>5</v>
      </c>
      <c r="BP65" s="17" t="s">
        <v>6</v>
      </c>
      <c r="BQ65" s="17" t="s">
        <v>7</v>
      </c>
      <c r="BR65" s="53" t="s">
        <v>148</v>
      </c>
      <c r="BS65" s="17" t="s">
        <v>8</v>
      </c>
      <c r="BT65" s="10"/>
      <c r="BU65" s="59"/>
      <c r="BV65" s="59"/>
      <c r="BW65" s="59"/>
      <c r="BX65" s="53" t="s">
        <v>118</v>
      </c>
      <c r="BY65" s="59" t="s">
        <v>146</v>
      </c>
      <c r="BZ65" s="59"/>
      <c r="CA65" s="59"/>
      <c r="CB65" s="59"/>
      <c r="CC65" s="59"/>
      <c r="CD65" s="59"/>
      <c r="CE65" s="19" t="s">
        <v>10</v>
      </c>
      <c r="CF65" s="53" t="s">
        <v>8</v>
      </c>
      <c r="CG65" s="53"/>
      <c r="CH65" s="53" t="s">
        <v>149</v>
      </c>
      <c r="CI65" s="53"/>
      <c r="CJ65" s="19" t="s">
        <v>269</v>
      </c>
      <c r="CK65" s="59"/>
      <c r="CL65" s="59"/>
      <c r="CM65" s="59"/>
      <c r="CN65" s="59"/>
      <c r="CO65" s="59"/>
      <c r="CP65" s="59"/>
      <c r="CQ65" s="59"/>
      <c r="CR65" s="59"/>
      <c r="CS65" s="59"/>
      <c r="CT65" s="59"/>
      <c r="CU65" s="59"/>
      <c r="CW65" s="55"/>
      <c r="CZ65" s="206"/>
    </row>
    <row r="66" spans="1:104">
      <c r="A66" s="2">
        <v>75</v>
      </c>
      <c r="B66" s="6">
        <f>VLOOKUP(A66,Spiele!$A$1:$L$116,2,FALSE)</f>
        <v>46202.833333333336</v>
      </c>
      <c r="C66" s="6" t="str">
        <f>VLOOKUP(A66,Spiele!$A$1:$L$116,9,FALSE)</f>
        <v>Monterrey</v>
      </c>
      <c r="D66" s="223" t="str">
        <f ca="1">BM27</f>
        <v>Tunesien</v>
      </c>
      <c r="E66" s="15" t="s">
        <v>24</v>
      </c>
      <c r="F66" s="38" t="str">
        <f ca="1">M28</f>
        <v>Brasilien</v>
      </c>
      <c r="G66" s="17"/>
      <c r="H66" s="107">
        <f t="shared" ca="1" si="24"/>
        <v>2</v>
      </c>
      <c r="I66" s="11" t="s">
        <v>25</v>
      </c>
      <c r="J66" s="107">
        <f t="shared" ca="1" si="26"/>
        <v>1</v>
      </c>
      <c r="K66" s="7" t="s">
        <v>26</v>
      </c>
      <c r="L66" s="1"/>
      <c r="M66" s="242" t="str">
        <f t="shared" ca="1" si="25"/>
        <v>Tunesien</v>
      </c>
      <c r="N66" s="241" t="str">
        <f>BN27</f>
        <v>1F</v>
      </c>
      <c r="O66" s="241" t="str">
        <f>N28</f>
        <v>2C</v>
      </c>
      <c r="P66" s="241" t="s">
        <v>270</v>
      </c>
      <c r="Q66" s="184"/>
      <c r="R66" s="201"/>
      <c r="V66" s="62"/>
      <c r="W66" s="62"/>
      <c r="Z66" s="62"/>
      <c r="AC66" s="58"/>
      <c r="AE66" s="2"/>
      <c r="AF66" s="206"/>
      <c r="AG66" s="206"/>
      <c r="AH66" s="206"/>
      <c r="AI66" s="206"/>
      <c r="AJ66" s="206"/>
      <c r="AK66" s="206"/>
      <c r="AL66" s="206"/>
      <c r="AM66" s="206"/>
      <c r="AN66" s="206"/>
      <c r="AO66" s="206"/>
      <c r="AP66" s="206"/>
      <c r="AX66" s="17">
        <f ca="1">IF(AY66="",0,IF($CX$97="",(D66=Ergebnisse!D66)+(F66=Ergebnisse!F66)+(SIGN(H66-J66)=SIGN(Ergebnisse!H66-Ergebnisse!J66))*7+(H66=Ergebnisse!H66)+(J66=Ergebnisse!J66),INT(RAND()*12)))</f>
        <v>0</v>
      </c>
      <c r="AY66" s="17" t="str">
        <f ca="1">IF(Ergebnisse!K66=Ergebnisse!$B$98,Ergebnisse!K66,"")</f>
        <v>ok</v>
      </c>
      <c r="AZ66" s="206"/>
      <c r="BB66" s="104" t="str">
        <f>FIFA!C1</f>
        <v>1A</v>
      </c>
      <c r="BC66" s="243" t="str">
        <f ca="1">IF(CJ66="",INDEX(FIFA!C:C, MATCH($BC$62, FIFA!B:B, 0)),CJ66)</f>
        <v>3H</v>
      </c>
      <c r="BD66" s="17" t="s">
        <v>271</v>
      </c>
      <c r="BF66" s="244" t="str">
        <f ca="1">IF(BN66&lt;1,"",VLOOKUP(CODE(MID(BC66,2,1))-64,$BL$66:$BM$77,2,FALSE))</f>
        <v>Kap Verde</v>
      </c>
      <c r="BG66" s="55"/>
      <c r="BH66" s="245" t="str">
        <f t="shared" ref="BH66:BH73" ca="1" si="27">CHAR(BJ66+64)</f>
        <v>A</v>
      </c>
      <c r="BI66" s="241"/>
      <c r="BJ66" s="246">
        <f ca="1">SMALL(BR$66:BR$73,1)</f>
        <v>1</v>
      </c>
      <c r="BK66" s="1" t="str">
        <f t="shared" ref="BK66:BK77" ca="1" si="28">BS66</f>
        <v>A</v>
      </c>
      <c r="BL66" s="1">
        <f t="shared" ref="BL66:BL77" ca="1" si="29">CODE(BK66)-64</f>
        <v>1</v>
      </c>
      <c r="BM66" s="175" t="str">
        <f ca="1">VLOOKUP(1,$BX$66:$CC$77,2,FALSE)</f>
        <v>Südafrika</v>
      </c>
      <c r="BN66" s="2">
        <f ca="1">VLOOKUP(1,$BX$66:$CC$77,3,FALSE)</f>
        <v>3</v>
      </c>
      <c r="BO66" s="2">
        <f ca="1">VLOOKUP(1,$BX$66:$CC$77,4,FALSE)</f>
        <v>4</v>
      </c>
      <c r="BP66" s="2">
        <f ca="1">VLOOKUP(1,$BX$66:$CC$77,5,FALSE)</f>
        <v>5</v>
      </c>
      <c r="BQ66" s="2">
        <f ca="1">VLOOKUP(1,$BX$66:$CC$77,6,FALSE)</f>
        <v>-1</v>
      </c>
      <c r="BR66" s="1">
        <f t="shared" ref="BR66:BR77" ca="1" si="30">CODE(BS66)-64</f>
        <v>1</v>
      </c>
      <c r="BS66" s="247" t="str">
        <f ca="1">MID(VLOOKUP(1,$BX$66:$CF$77,9,FALSE),2,1)</f>
        <v>A</v>
      </c>
      <c r="BT66" s="55"/>
      <c r="BU66" s="55"/>
      <c r="BV66" s="55"/>
      <c r="BW66" s="55"/>
      <c r="BX66" s="62">
        <f t="shared" ref="BX66:BX77" ca="1" si="31">RANK(CD66,$CD$66:$CD$77)</f>
        <v>1</v>
      </c>
      <c r="BY66" s="153" t="str">
        <f ca="1">M4</f>
        <v>Südafrika</v>
      </c>
      <c r="BZ66" s="55">
        <f ca="1">N4</f>
        <v>3</v>
      </c>
      <c r="CA66" s="55">
        <f ca="1">O4</f>
        <v>4</v>
      </c>
      <c r="CB66" s="55">
        <f ca="1">P4</f>
        <v>5</v>
      </c>
      <c r="CC66" s="55">
        <f ca="1">Q4</f>
        <v>-1</v>
      </c>
      <c r="CD66" s="174">
        <f t="shared" ref="CD66:CD77" ca="1" si="32">CE66*10000000000000000+BZ66*100000000000000+CC66*1000000000000+CA66*10000000000+CH66</f>
        <v>299040000000012</v>
      </c>
      <c r="CE66" s="203"/>
      <c r="CF66" s="248" t="str">
        <f>N9</f>
        <v>3A</v>
      </c>
      <c r="CG66" s="55"/>
      <c r="CH66" s="203">
        <v>12</v>
      </c>
      <c r="CI66" s="55"/>
      <c r="CJ66" s="203"/>
      <c r="CK66" s="55"/>
      <c r="CL66" s="55"/>
      <c r="CM66" s="55"/>
      <c r="CN66" s="55"/>
      <c r="CO66" s="55"/>
      <c r="CP66" s="55"/>
      <c r="CQ66" s="55"/>
      <c r="CR66" s="55"/>
      <c r="CS66" s="55"/>
      <c r="CT66" s="55"/>
      <c r="CU66" s="55"/>
      <c r="CW66" s="55"/>
      <c r="CZ66" s="206"/>
    </row>
    <row r="67" spans="1:104">
      <c r="A67" s="2">
        <v>78</v>
      </c>
      <c r="B67" s="6">
        <f>VLOOKUP(A67,Spiele!$A$1:$L$116,2,FALSE)</f>
        <v>46203.5</v>
      </c>
      <c r="C67" s="6" t="str">
        <f>VLOOKUP(A67,Spiele!$A$1:$L$116,9,FALSE)</f>
        <v>Dallas</v>
      </c>
      <c r="D67" s="73" t="str">
        <f ca="1">BM18</f>
        <v>Deutschland</v>
      </c>
      <c r="E67" s="15" t="s">
        <v>24</v>
      </c>
      <c r="F67" s="238" t="str">
        <f ca="1">M58</f>
        <v>Frankreich</v>
      </c>
      <c r="G67" s="17"/>
      <c r="H67" s="107">
        <f t="shared" ca="1" si="24"/>
        <v>2</v>
      </c>
      <c r="I67" s="11" t="s">
        <v>25</v>
      </c>
      <c r="J67" s="107">
        <f t="shared" ca="1" si="26"/>
        <v>1</v>
      </c>
      <c r="K67" s="7" t="s">
        <v>26</v>
      </c>
      <c r="L67" s="1"/>
      <c r="M67" s="249" t="str">
        <f t="shared" ca="1" si="25"/>
        <v>Deutschland</v>
      </c>
      <c r="N67" s="241" t="str">
        <f>BN18</f>
        <v>2E</v>
      </c>
      <c r="O67" s="241" t="str">
        <f>N58</f>
        <v>2I</v>
      </c>
      <c r="P67" s="241" t="s">
        <v>272</v>
      </c>
      <c r="Q67" s="184"/>
      <c r="R67" s="201"/>
      <c r="V67" s="62"/>
      <c r="W67" s="62"/>
      <c r="Z67" s="62"/>
      <c r="AC67" s="58"/>
      <c r="AE67" s="2"/>
      <c r="AF67" s="206"/>
      <c r="AG67" s="206"/>
      <c r="AH67" s="206"/>
      <c r="AI67" s="206"/>
      <c r="AJ67" s="206"/>
      <c r="AK67" s="206"/>
      <c r="AL67" s="206"/>
      <c r="AM67" s="206"/>
      <c r="AN67" s="206"/>
      <c r="AO67" s="206"/>
      <c r="AP67" s="206"/>
      <c r="AX67" s="17">
        <f ca="1">IF(AY67="",0,IF($CX$97="",(D67=Ergebnisse!D67)+(F67=Ergebnisse!F67)+(SIGN(H67-J67)=SIGN(Ergebnisse!H67-Ergebnisse!J67))*7+(H67=Ergebnisse!H67)+(J67=Ergebnisse!J67),INT(RAND()*12)))</f>
        <v>7</v>
      </c>
      <c r="AY67" s="17" t="str">
        <f ca="1">IF(Ergebnisse!K67=Ergebnisse!$B$98,Ergebnisse!K67,"")</f>
        <v>ok</v>
      </c>
      <c r="AZ67" s="206"/>
      <c r="BB67" s="104" t="str">
        <f>FIFA!D1</f>
        <v>1B</v>
      </c>
      <c r="BC67" s="243" t="str">
        <f ca="1">IF(CJ67="",INDEX(FIFA!D:D, MATCH($BC$62, FIFA!B:B, 0)),CJ67)</f>
        <v>3G</v>
      </c>
      <c r="BD67" s="17" t="s">
        <v>273</v>
      </c>
      <c r="BF67" s="244" t="str">
        <f t="shared" ref="BF67:BF73" ca="1" si="33">IF(BN67&lt;1,"",VLOOKUP(CODE(MID(BC67,2,1))-64,$BL$66:$BM$77,2,FALSE))</f>
        <v>Ägypten</v>
      </c>
      <c r="BG67" s="55"/>
      <c r="BH67" s="245" t="str">
        <f t="shared" ca="1" si="27"/>
        <v>B</v>
      </c>
      <c r="BI67" s="241"/>
      <c r="BJ67" s="246">
        <f ca="1">SMALL(BR$66:BR$73,2)</f>
        <v>2</v>
      </c>
      <c r="BK67" s="1" t="str">
        <f t="shared" ca="1" si="28"/>
        <v>B</v>
      </c>
      <c r="BL67" s="1">
        <f t="shared" ca="1" si="29"/>
        <v>2</v>
      </c>
      <c r="BM67" s="175" t="str">
        <f ca="1">VLOOKUP(2,$BX$66:$CC$77,2,FALSE)</f>
        <v>Bosnien/Herzg.</v>
      </c>
      <c r="BN67" s="2">
        <f ca="1">VLOOKUP(2,$BX$66:$CC$77,3,FALSE)</f>
        <v>3</v>
      </c>
      <c r="BO67" s="2">
        <f ca="1">VLOOKUP(2,$BX$66:$CC$77,4,FALSE)</f>
        <v>4</v>
      </c>
      <c r="BP67" s="2">
        <f ca="1">VLOOKUP(2,$BX$66:$CC$77,5,FALSE)</f>
        <v>5</v>
      </c>
      <c r="BQ67" s="2">
        <f ca="1">VLOOKUP(2,$BX$66:$CC$77,6,FALSE)</f>
        <v>-1</v>
      </c>
      <c r="BR67" s="1">
        <f t="shared" ca="1" si="30"/>
        <v>2</v>
      </c>
      <c r="BS67" s="247" t="str">
        <f ca="1">MID(VLOOKUP(2,$BX$66:$CF$77,9,FALSE),2,1)</f>
        <v>B</v>
      </c>
      <c r="BT67" s="55"/>
      <c r="BU67" s="55"/>
      <c r="BV67" s="55"/>
      <c r="BW67" s="55"/>
      <c r="BX67" s="62">
        <f t="shared" ca="1" si="31"/>
        <v>2</v>
      </c>
      <c r="BY67" s="153" t="str">
        <f ca="1">M14</f>
        <v>Bosnien/Herzg.</v>
      </c>
      <c r="BZ67" s="55">
        <f ca="1">N14</f>
        <v>3</v>
      </c>
      <c r="CA67" s="55">
        <f ca="1">O14</f>
        <v>4</v>
      </c>
      <c r="CB67" s="55">
        <f ca="1">P14</f>
        <v>5</v>
      </c>
      <c r="CC67" s="55">
        <f ca="1">Q14</f>
        <v>-1</v>
      </c>
      <c r="CD67" s="174">
        <f t="shared" ca="1" si="32"/>
        <v>299040000000011</v>
      </c>
      <c r="CE67" s="203"/>
      <c r="CF67" s="31" t="str">
        <f>N19</f>
        <v>3B</v>
      </c>
      <c r="CG67" s="55"/>
      <c r="CH67" s="203">
        <f>CH66-1</f>
        <v>11</v>
      </c>
      <c r="CI67" s="55"/>
      <c r="CJ67" s="203"/>
      <c r="CK67" s="55"/>
      <c r="CL67" s="55"/>
      <c r="CM67" s="55"/>
      <c r="CN67" s="55"/>
      <c r="CO67" s="55"/>
      <c r="CP67" s="55"/>
      <c r="CQ67" s="55"/>
      <c r="CR67" s="55"/>
      <c r="CS67" s="55"/>
      <c r="CT67" s="55"/>
      <c r="CU67" s="55"/>
      <c r="CW67" s="55"/>
      <c r="CZ67" s="206"/>
    </row>
    <row r="68" spans="1:104">
      <c r="A68" s="2">
        <v>77</v>
      </c>
      <c r="B68" s="6">
        <f>VLOOKUP(A68,Spiele!$A$1:$L$116,2,FALSE)</f>
        <v>46203.708333333336</v>
      </c>
      <c r="C68" s="6" t="str">
        <f>VLOOKUP(A68,Spiele!$A$1:$L$116,9,FALSE)</f>
        <v>New York</v>
      </c>
      <c r="D68" s="238" t="str">
        <f ca="1">M57</f>
        <v>Norwegen</v>
      </c>
      <c r="E68" s="15" t="s">
        <v>24</v>
      </c>
      <c r="F68" s="34" t="str">
        <f ca="1">VLOOKUP(R68,$BC$66:$BF$73,4,FALSE)</f>
        <v>Japan</v>
      </c>
      <c r="G68" s="17"/>
      <c r="H68" s="107">
        <f t="shared" ca="1" si="24"/>
        <v>2</v>
      </c>
      <c r="I68" s="11" t="s">
        <v>25</v>
      </c>
      <c r="J68" s="107">
        <f t="shared" ca="1" si="26"/>
        <v>1</v>
      </c>
      <c r="K68" s="7" t="s">
        <v>26</v>
      </c>
      <c r="L68" s="1"/>
      <c r="M68" s="249" t="str">
        <f t="shared" ca="1" si="25"/>
        <v>Norwegen</v>
      </c>
      <c r="N68" s="250" t="str">
        <f>N57</f>
        <v>1I</v>
      </c>
      <c r="O68" s="241" t="str">
        <f ca="1">R68</f>
        <v>3F</v>
      </c>
      <c r="P68" s="241" t="s">
        <v>274</v>
      </c>
      <c r="Q68" s="184"/>
      <c r="R68" s="243" t="str">
        <f ca="1">VLOOKUP(N68,BB$66:BC$73,2,FALSE)</f>
        <v>3F</v>
      </c>
      <c r="V68" s="62"/>
      <c r="W68" s="62"/>
      <c r="Z68" s="62"/>
      <c r="AC68" s="58"/>
      <c r="AE68" s="2"/>
      <c r="AF68" s="206"/>
      <c r="AG68" s="206"/>
      <c r="AH68" s="206"/>
      <c r="AI68" s="206"/>
      <c r="AJ68" s="206"/>
      <c r="AK68" s="206"/>
      <c r="AL68" s="206"/>
      <c r="AM68" s="206"/>
      <c r="AN68" s="206"/>
      <c r="AO68" s="206"/>
      <c r="AP68" s="206"/>
      <c r="AX68" s="17">
        <f ca="1">IF(AY68="",0,IF($CX$97="",(D68=Ergebnisse!D68)+(F68=Ergebnisse!F68)+(SIGN(H68-J68)=SIGN(Ergebnisse!H68-Ergebnisse!J68))*7+(H68=Ergebnisse!H68)+(J68=Ergebnisse!J68),INT(RAND()*12)))</f>
        <v>9</v>
      </c>
      <c r="AY68" s="17" t="str">
        <f ca="1">IF(Ergebnisse!K68=Ergebnisse!$B$98,Ergebnisse!K68,"")</f>
        <v>ok</v>
      </c>
      <c r="AZ68" s="206"/>
      <c r="BB68" s="104" t="str">
        <f>FIFA!E1</f>
        <v>1D</v>
      </c>
      <c r="BC68" s="243" t="str">
        <f ca="1">IF(CJ68="",INDEX(FIFA!E:E, MATCH($BC$62, FIFA!B:B, 0)),CJ68)</f>
        <v>3B</v>
      </c>
      <c r="BD68" s="17" t="s">
        <v>275</v>
      </c>
      <c r="BF68" s="244" t="str">
        <f t="shared" ca="1" si="33"/>
        <v>Bosnien/Herzg.</v>
      </c>
      <c r="BG68" s="55"/>
      <c r="BH68" s="245" t="str">
        <f t="shared" ca="1" si="27"/>
        <v>C</v>
      </c>
      <c r="BI68" s="241"/>
      <c r="BJ68" s="246">
        <f ca="1">SMALL(BR$66:BR$73,3)</f>
        <v>3</v>
      </c>
      <c r="BK68" s="1" t="str">
        <f t="shared" ca="1" si="28"/>
        <v>C</v>
      </c>
      <c r="BL68" s="1">
        <f t="shared" ca="1" si="29"/>
        <v>3</v>
      </c>
      <c r="BM68" s="175" t="str">
        <f ca="1">VLOOKUP(3,$BX$66:$CC$77,2,FALSE)</f>
        <v>Marokko</v>
      </c>
      <c r="BN68" s="2">
        <f ca="1">VLOOKUP(3,$BX$66:$CC$77,3,FALSE)</f>
        <v>3</v>
      </c>
      <c r="BO68" s="2">
        <f ca="1">VLOOKUP(3,$BX$66:$CC$77,4,FALSE)</f>
        <v>4</v>
      </c>
      <c r="BP68" s="2">
        <f ca="1">VLOOKUP(3,$BX$66:$CC$77,5,FALSE)</f>
        <v>5</v>
      </c>
      <c r="BQ68" s="2">
        <f ca="1">VLOOKUP(3,$BX$66:$CC$77,6,FALSE)</f>
        <v>-1</v>
      </c>
      <c r="BR68" s="1">
        <f t="shared" ca="1" si="30"/>
        <v>3</v>
      </c>
      <c r="BS68" s="247" t="str">
        <f ca="1">MID(VLOOKUP(3,$BX$66:$CF$77,9,FALSE),2,1)</f>
        <v>C</v>
      </c>
      <c r="BT68" s="55"/>
      <c r="BU68" s="55"/>
      <c r="BV68" s="55"/>
      <c r="BW68" s="55"/>
      <c r="BX68" s="62">
        <f t="shared" ca="1" si="31"/>
        <v>3</v>
      </c>
      <c r="BY68" s="153" t="str">
        <f ca="1">M24</f>
        <v>Marokko</v>
      </c>
      <c r="BZ68" s="55">
        <f ca="1">N24</f>
        <v>3</v>
      </c>
      <c r="CA68" s="55">
        <f ca="1">O24</f>
        <v>4</v>
      </c>
      <c r="CB68" s="55">
        <f ca="1">P24</f>
        <v>5</v>
      </c>
      <c r="CC68" s="55">
        <f ca="1">Q24</f>
        <v>-1</v>
      </c>
      <c r="CD68" s="174">
        <f t="shared" ca="1" si="32"/>
        <v>299040000000010</v>
      </c>
      <c r="CE68" s="203"/>
      <c r="CF68" s="27" t="str">
        <f>N29</f>
        <v>3C</v>
      </c>
      <c r="CG68" s="55"/>
      <c r="CH68" s="203">
        <f t="shared" ref="CH68:CH77" si="34">CH67-1</f>
        <v>10</v>
      </c>
      <c r="CI68" s="55"/>
      <c r="CJ68" s="203"/>
      <c r="CK68" s="55"/>
      <c r="CL68" s="55"/>
      <c r="CM68" s="55"/>
      <c r="CN68" s="55"/>
      <c r="CO68" s="55"/>
      <c r="CP68" s="55"/>
      <c r="CQ68" s="55"/>
      <c r="CR68" s="55"/>
      <c r="CS68" s="55"/>
      <c r="CT68" s="55"/>
      <c r="CU68" s="55"/>
      <c r="CW68" s="55"/>
      <c r="CZ68" s="206"/>
    </row>
    <row r="69" spans="1:104">
      <c r="A69" s="2">
        <v>79</v>
      </c>
      <c r="B69" s="6">
        <f>VLOOKUP(A69,Spiele!$A$1:$L$116,2,FALSE)</f>
        <v>46203.833333333336</v>
      </c>
      <c r="C69" s="6" t="str">
        <f>VLOOKUP(A69,Spiele!$A$1:$L$116,9,FALSE)</f>
        <v>Mexico City</v>
      </c>
      <c r="D69" s="251" t="str">
        <f ca="1">M7</f>
        <v>Tschechien</v>
      </c>
      <c r="E69" s="15" t="s">
        <v>24</v>
      </c>
      <c r="F69" s="34" t="str">
        <f ca="1">VLOOKUP(R69,$BC$66:$BF$73,4,FALSE)</f>
        <v>Kap Verde</v>
      </c>
      <c r="G69" s="17"/>
      <c r="H69" s="107">
        <f t="shared" ca="1" si="24"/>
        <v>2</v>
      </c>
      <c r="I69" s="11" t="s">
        <v>25</v>
      </c>
      <c r="J69" s="107">
        <f t="shared" ca="1" si="26"/>
        <v>1</v>
      </c>
      <c r="K69" s="7" t="s">
        <v>26</v>
      </c>
      <c r="L69" s="1"/>
      <c r="M69" s="252" t="str">
        <f t="shared" ca="1" si="25"/>
        <v>Tschechien</v>
      </c>
      <c r="N69" s="241" t="str">
        <f>N7</f>
        <v>1A</v>
      </c>
      <c r="O69" s="241" t="str">
        <f ca="1">R69</f>
        <v>3H</v>
      </c>
      <c r="P69" s="241" t="s">
        <v>276</v>
      </c>
      <c r="Q69" s="184"/>
      <c r="R69" s="243" t="str">
        <f ca="1">VLOOKUP(N69,BB$66:BC$73,2,FALSE)</f>
        <v>3H</v>
      </c>
      <c r="V69" s="62"/>
      <c r="W69" s="62"/>
      <c r="Z69" s="62"/>
      <c r="AC69" s="58"/>
      <c r="AE69" s="2"/>
      <c r="AF69" s="206"/>
      <c r="AG69" s="206"/>
      <c r="AH69" s="206"/>
      <c r="AI69" s="206"/>
      <c r="AJ69" s="206"/>
      <c r="AK69" s="206"/>
      <c r="AL69" s="206"/>
      <c r="AM69" s="206"/>
      <c r="AN69" s="206"/>
      <c r="AO69" s="206"/>
      <c r="AP69" s="206"/>
      <c r="AX69" s="17">
        <f ca="1">IF(AY69="",0,IF($CX$97="",(D69=Ergebnisse!D69)+(F69=Ergebnisse!F69)+(SIGN(H69-J69)=SIGN(Ergebnisse!H69-Ergebnisse!J69))*7+(H69=Ergebnisse!H69)+(J69=Ergebnisse!J69),INT(RAND()*12)))</f>
        <v>7</v>
      </c>
      <c r="AY69" s="17" t="str">
        <f ca="1">IF(Ergebnisse!K69=Ergebnisse!$B$98,Ergebnisse!K69,"")</f>
        <v>ok</v>
      </c>
      <c r="AZ69" s="206"/>
      <c r="BB69" s="104" t="str">
        <f>FIFA!F1</f>
        <v>1E</v>
      </c>
      <c r="BC69" s="243" t="str">
        <f ca="1">IF(CJ69="",INDEX(FIFA!F:F,MATCH($BC$62,FIFA!B:B,0)),CJ69)</f>
        <v>3C</v>
      </c>
      <c r="BD69" s="17" t="s">
        <v>277</v>
      </c>
      <c r="BF69" s="244" t="str">
        <f t="shared" ca="1" si="33"/>
        <v>Marokko</v>
      </c>
      <c r="BG69" s="55"/>
      <c r="BH69" s="245" t="str">
        <f t="shared" ca="1" si="27"/>
        <v>D</v>
      </c>
      <c r="BI69" s="241"/>
      <c r="BJ69" s="246">
        <f ca="1">SMALL(BR$66:BR$73,4)</f>
        <v>4</v>
      </c>
      <c r="BK69" s="1" t="str">
        <f t="shared" ca="1" si="28"/>
        <v>D</v>
      </c>
      <c r="BL69" s="1">
        <f t="shared" ca="1" si="29"/>
        <v>4</v>
      </c>
      <c r="BM69" s="175" t="str">
        <f ca="1">VLOOKUP(4,$BX$66:$CC$77,2,FALSE)</f>
        <v>Paraguay</v>
      </c>
      <c r="BN69" s="2">
        <f ca="1">VLOOKUP(4,$BX$66:$CC$77,3,FALSE)</f>
        <v>3</v>
      </c>
      <c r="BO69" s="2">
        <f ca="1">VLOOKUP(4,$BX$66:$CC$77,4,FALSE)</f>
        <v>4</v>
      </c>
      <c r="BP69" s="2">
        <f ca="1">VLOOKUP(4,$BX$66:$CC$77,5,FALSE)</f>
        <v>5</v>
      </c>
      <c r="BQ69" s="2">
        <f ca="1">VLOOKUP(4,$BX$66:$CC$77,6,FALSE)</f>
        <v>-1</v>
      </c>
      <c r="BR69" s="1">
        <f t="shared" ca="1" si="30"/>
        <v>4</v>
      </c>
      <c r="BS69" s="247" t="str">
        <f ca="1">MID(VLOOKUP(4,$BX$66:$CF$77,9,FALSE),2,1)</f>
        <v>D</v>
      </c>
      <c r="BT69" s="55"/>
      <c r="BU69" s="55"/>
      <c r="BV69" s="55"/>
      <c r="BW69" s="55"/>
      <c r="BX69" s="62">
        <f t="shared" ca="1" si="31"/>
        <v>4</v>
      </c>
      <c r="BY69" s="153" t="str">
        <f ca="1">BM4</f>
        <v>Paraguay</v>
      </c>
      <c r="BZ69" s="55">
        <f ca="1">BN4</f>
        <v>3</v>
      </c>
      <c r="CA69" s="55">
        <f ca="1">BO4</f>
        <v>4</v>
      </c>
      <c r="CB69" s="55">
        <f ca="1">BP4</f>
        <v>5</v>
      </c>
      <c r="CC69" s="55">
        <f ca="1">BQ4</f>
        <v>-1</v>
      </c>
      <c r="CD69" s="174">
        <f t="shared" ca="1" si="32"/>
        <v>299040000000009</v>
      </c>
      <c r="CE69" s="203"/>
      <c r="CF69" s="76" t="str">
        <f>BN9</f>
        <v>3D</v>
      </c>
      <c r="CG69" s="55"/>
      <c r="CH69" s="203">
        <f t="shared" si="34"/>
        <v>9</v>
      </c>
      <c r="CI69" s="55"/>
      <c r="CJ69" s="203"/>
      <c r="CK69" s="55"/>
      <c r="CL69" s="55"/>
      <c r="CM69" s="55"/>
      <c r="CN69" s="55"/>
      <c r="CO69" s="55"/>
      <c r="CP69" s="55"/>
      <c r="CQ69" s="55"/>
      <c r="CR69" s="55"/>
      <c r="CS69" s="55"/>
      <c r="CT69" s="55"/>
      <c r="CU69" s="55"/>
      <c r="CW69" s="55"/>
      <c r="CZ69" s="206"/>
    </row>
    <row r="70" spans="1:104">
      <c r="A70" s="2">
        <v>80</v>
      </c>
      <c r="B70" s="6">
        <f>VLOOKUP(A70,Spiele!$A$1:$L$116,2,FALSE)</f>
        <v>46204.5</v>
      </c>
      <c r="C70" s="6" t="str">
        <f>VLOOKUP(A70,Spiele!$A$1:$L$116,9,FALSE)</f>
        <v>Atlanta</v>
      </c>
      <c r="D70" s="237" t="str">
        <f ca="1">BM57</f>
        <v>Panama</v>
      </c>
      <c r="E70" s="15" t="s">
        <v>24</v>
      </c>
      <c r="F70" s="34" t="str">
        <f ca="1">VLOOKUP(R70,$BC$66:$BF$73,4,FALSE)</f>
        <v>Curaçao</v>
      </c>
      <c r="G70" s="17"/>
      <c r="H70" s="107">
        <f t="shared" ca="1" si="24"/>
        <v>2</v>
      </c>
      <c r="I70" s="11" t="s">
        <v>25</v>
      </c>
      <c r="J70" s="107">
        <f t="shared" ca="1" si="26"/>
        <v>1</v>
      </c>
      <c r="K70" s="7" t="s">
        <v>26</v>
      </c>
      <c r="L70" s="1"/>
      <c r="M70" s="252" t="str">
        <f t="shared" ca="1" si="25"/>
        <v>Panama</v>
      </c>
      <c r="N70" s="241" t="str">
        <f>BN57</f>
        <v>1L</v>
      </c>
      <c r="O70" s="241" t="str">
        <f ca="1">R70</f>
        <v>3E</v>
      </c>
      <c r="P70" s="241" t="s">
        <v>278</v>
      </c>
      <c r="Q70" s="184"/>
      <c r="R70" s="243" t="str">
        <f ca="1">VLOOKUP(N70,BB$66:BC$73,2,FALSE)</f>
        <v>3E</v>
      </c>
      <c r="V70" s="62"/>
      <c r="W70" s="62"/>
      <c r="Z70" s="62"/>
      <c r="AC70" s="58"/>
      <c r="AE70" s="2"/>
      <c r="AF70" s="206"/>
      <c r="AG70" s="206"/>
      <c r="AH70" s="206"/>
      <c r="AI70" s="206"/>
      <c r="AJ70" s="206"/>
      <c r="AK70" s="206"/>
      <c r="AL70" s="206"/>
      <c r="AM70" s="206"/>
      <c r="AN70" s="206"/>
      <c r="AO70" s="206"/>
      <c r="AP70" s="206"/>
      <c r="AX70" s="17">
        <f ca="1">IF(AY70="",0,IF($CX$97="",(D70=Ergebnisse!D70)+(F70=Ergebnisse!F70)+(SIGN(H70-J70)=SIGN(Ergebnisse!H70-Ergebnisse!J70))*7+(H70=Ergebnisse!H70)+(J70=Ergebnisse!J70),INT(RAND()*12)))</f>
        <v>1</v>
      </c>
      <c r="AY70" s="17" t="str">
        <f ca="1">IF(Ergebnisse!K70=Ergebnisse!$B$98,Ergebnisse!K70,"")</f>
        <v>ok</v>
      </c>
      <c r="AZ70" s="206"/>
      <c r="BB70" s="104" t="str">
        <f>FIFA!G1</f>
        <v>1G</v>
      </c>
      <c r="BC70" s="243" t="str">
        <f ca="1">IF(CJ70="",INDEX(FIFA!G:G, MATCH($BC$62, FIFA!B:B, 0)),CJ70)</f>
        <v>3A</v>
      </c>
      <c r="BD70" s="17" t="s">
        <v>279</v>
      </c>
      <c r="BF70" s="244" t="str">
        <f t="shared" ca="1" si="33"/>
        <v>Südafrika</v>
      </c>
      <c r="BG70" s="55"/>
      <c r="BH70" s="245" t="str">
        <f t="shared" ca="1" si="27"/>
        <v>E</v>
      </c>
      <c r="BI70" s="241"/>
      <c r="BJ70" s="246">
        <f ca="1">SMALL(BR$66:BR$73,5)</f>
        <v>5</v>
      </c>
      <c r="BK70" s="1" t="str">
        <f t="shared" ca="1" si="28"/>
        <v>E</v>
      </c>
      <c r="BL70" s="1">
        <f t="shared" ca="1" si="29"/>
        <v>5</v>
      </c>
      <c r="BM70" s="175" t="str">
        <f ca="1">VLOOKUP(5,$BX$66:$CC$77,2,FALSE)</f>
        <v>Curaçao</v>
      </c>
      <c r="BN70" s="2">
        <f ca="1">VLOOKUP(5,$BX$66:$CC$77,3,FALSE)</f>
        <v>3</v>
      </c>
      <c r="BO70" s="2">
        <f ca="1">VLOOKUP(5,$BX$66:$CC$77,4,FALSE)</f>
        <v>4</v>
      </c>
      <c r="BP70" s="2">
        <f ca="1">VLOOKUP(5,$BX$66:$CC$77,5,FALSE)</f>
        <v>5</v>
      </c>
      <c r="BQ70" s="2">
        <f ca="1">VLOOKUP(5,$BX$66:$CC$77,6,FALSE)</f>
        <v>-1</v>
      </c>
      <c r="BR70" s="1">
        <f t="shared" ca="1" si="30"/>
        <v>5</v>
      </c>
      <c r="BS70" s="247" t="str">
        <f ca="1">MID(VLOOKUP(5,$BX$66:$CF$77,9,FALSE),2,1)</f>
        <v>E</v>
      </c>
      <c r="BT70" s="55"/>
      <c r="BU70" s="55"/>
      <c r="BV70" s="55"/>
      <c r="BW70" s="55"/>
      <c r="BX70" s="62">
        <f t="shared" ca="1" si="31"/>
        <v>5</v>
      </c>
      <c r="BY70" s="153" t="str">
        <f ca="1">BM14</f>
        <v>Curaçao</v>
      </c>
      <c r="BZ70" s="55">
        <f ca="1">BN14</f>
        <v>3</v>
      </c>
      <c r="CA70" s="55">
        <f ca="1">BO14</f>
        <v>4</v>
      </c>
      <c r="CB70" s="55">
        <f ca="1">BP14</f>
        <v>5</v>
      </c>
      <c r="CC70" s="55">
        <f ca="1">BQ14</f>
        <v>-1</v>
      </c>
      <c r="CD70" s="174">
        <f t="shared" ca="1" si="32"/>
        <v>299040000000008</v>
      </c>
      <c r="CE70" s="203"/>
      <c r="CF70" s="72" t="str">
        <f>BN19</f>
        <v>3E</v>
      </c>
      <c r="CG70" s="55"/>
      <c r="CH70" s="203">
        <f t="shared" si="34"/>
        <v>8</v>
      </c>
      <c r="CI70" s="55"/>
      <c r="CJ70" s="203"/>
      <c r="CK70" s="55"/>
      <c r="CL70" s="55"/>
      <c r="CM70" s="55"/>
      <c r="CN70" s="55"/>
      <c r="CO70" s="55"/>
      <c r="CP70" s="55"/>
      <c r="CQ70" s="55"/>
      <c r="CR70" s="55"/>
      <c r="CS70" s="55"/>
      <c r="CT70" s="55"/>
      <c r="CU70" s="55"/>
      <c r="CW70" s="55"/>
      <c r="CZ70" s="206"/>
    </row>
    <row r="71" spans="1:104">
      <c r="A71" s="2">
        <v>82</v>
      </c>
      <c r="B71" s="6">
        <f>VLOOKUP(A71,Spiele!$A$1:$L$116,2,FALSE)</f>
        <v>46204.541666666664</v>
      </c>
      <c r="C71" s="6" t="str">
        <f>VLOOKUP(A71,Spiele!$A$1:$L$116,9,FALSE)</f>
        <v>Seattle</v>
      </c>
      <c r="D71" s="228" t="str">
        <f ca="1">M37</f>
        <v>Neuseeland</v>
      </c>
      <c r="E71" s="15" t="s">
        <v>24</v>
      </c>
      <c r="F71" s="34" t="str">
        <f ca="1">VLOOKUP(R71,$BC$66:$BF$73,4,FALSE)</f>
        <v>Südafrika</v>
      </c>
      <c r="G71" s="17"/>
      <c r="H71" s="107">
        <f t="shared" ca="1" si="24"/>
        <v>2</v>
      </c>
      <c r="I71" s="11" t="s">
        <v>25</v>
      </c>
      <c r="J71" s="107">
        <f t="shared" ca="1" si="26"/>
        <v>1</v>
      </c>
      <c r="K71" s="7" t="s">
        <v>26</v>
      </c>
      <c r="L71" s="1"/>
      <c r="M71" s="240" t="str">
        <f t="shared" ca="1" si="25"/>
        <v>Neuseeland</v>
      </c>
      <c r="N71" s="241" t="str">
        <f>N37</f>
        <v>1G</v>
      </c>
      <c r="O71" s="241" t="str">
        <f ca="1">R71</f>
        <v>3A</v>
      </c>
      <c r="P71" s="241" t="s">
        <v>280</v>
      </c>
      <c r="Q71" s="17"/>
      <c r="R71" s="243" t="str">
        <f ca="1">VLOOKUP(N71,BB$66:BC$73,2,FALSE)</f>
        <v>3A</v>
      </c>
      <c r="S71" s="4"/>
      <c r="T71" s="4"/>
      <c r="U71" s="4"/>
      <c r="V71" s="4"/>
      <c r="W71" s="4"/>
      <c r="X71" s="4"/>
      <c r="Z71" s="62"/>
      <c r="AC71" s="58"/>
      <c r="AE71" s="2"/>
      <c r="AF71" s="206"/>
      <c r="AG71" s="206"/>
      <c r="AH71" s="206"/>
      <c r="AI71" s="206"/>
      <c r="AJ71" s="206"/>
      <c r="AK71" s="206"/>
      <c r="AL71" s="206"/>
      <c r="AM71" s="206"/>
      <c r="AN71" s="206"/>
      <c r="AO71" s="206"/>
      <c r="AP71" s="206"/>
      <c r="AX71" s="17">
        <f ca="1">IF(AY71="",0,IF($CX$97="",(D71=Ergebnisse!D71)+(F71=Ergebnisse!F71)+(SIGN(H71-J71)=SIGN(Ergebnisse!H71-Ergebnisse!J71))*7+(H71=Ergebnisse!H71)+(J71=Ergebnisse!J71),INT(RAND()*12)))</f>
        <v>8</v>
      </c>
      <c r="AY71" s="17" t="str">
        <f ca="1">IF(Ergebnisse!K71=Ergebnisse!$B$98,Ergebnisse!K71,"")</f>
        <v>ok</v>
      </c>
      <c r="AZ71" s="206"/>
      <c r="BB71" s="104" t="str">
        <f>FIFA!H1</f>
        <v>1I</v>
      </c>
      <c r="BC71" s="243" t="str">
        <f ca="1">IF(CJ71="",INDEX(FIFA!H:H, MATCH($BC$62, FIFA!B:B, 0)),CJ71)</f>
        <v>3F</v>
      </c>
      <c r="BD71" s="17" t="s">
        <v>281</v>
      </c>
      <c r="BF71" s="244" t="str">
        <f t="shared" ca="1" si="33"/>
        <v>Japan</v>
      </c>
      <c r="BG71" s="55"/>
      <c r="BH71" s="245" t="str">
        <f t="shared" ca="1" si="27"/>
        <v>F</v>
      </c>
      <c r="BI71" s="241"/>
      <c r="BJ71" s="246">
        <f ca="1">SMALL(BR$66:BR$73,6)</f>
        <v>6</v>
      </c>
      <c r="BK71" s="1" t="str">
        <f t="shared" ca="1" si="28"/>
        <v>F</v>
      </c>
      <c r="BL71" s="1">
        <f t="shared" ca="1" si="29"/>
        <v>6</v>
      </c>
      <c r="BM71" s="175" t="str">
        <f ca="1">VLOOKUP(6,$BX$66:$CC$77,2,FALSE)</f>
        <v>Japan</v>
      </c>
      <c r="BN71" s="2">
        <f t="shared" ref="BN71:BN77" ca="1" si="35">VLOOKUP(6,$BX$66:$CC$77,3,FALSE)</f>
        <v>3</v>
      </c>
      <c r="BO71" s="2">
        <f t="shared" ref="BO71:BO77" ca="1" si="36">VLOOKUP(6,$BX$66:$CC$77,4,FALSE)</f>
        <v>4</v>
      </c>
      <c r="BP71" s="2">
        <f t="shared" ref="BP71:BP77" ca="1" si="37">VLOOKUP(6,$BX$66:$CC$77,5,FALSE)</f>
        <v>5</v>
      </c>
      <c r="BQ71" s="2">
        <f t="shared" ref="BQ71:BQ77" ca="1" si="38">VLOOKUP(6,$BX$66:$CC$77,6,FALSE)</f>
        <v>-1</v>
      </c>
      <c r="BR71" s="1">
        <f t="shared" ca="1" si="30"/>
        <v>6</v>
      </c>
      <c r="BS71" s="247" t="str">
        <f ca="1">MID(VLOOKUP(6,$BX$66:$CF$77,9,FALSE),2,1)</f>
        <v>F</v>
      </c>
      <c r="BT71" s="55"/>
      <c r="BU71" s="55"/>
      <c r="BV71" s="55"/>
      <c r="BW71" s="55"/>
      <c r="BX71" s="62">
        <f t="shared" ca="1" si="31"/>
        <v>6</v>
      </c>
      <c r="BY71" s="153" t="str">
        <f ca="1">BM24</f>
        <v>Japan</v>
      </c>
      <c r="BZ71" s="55">
        <f ca="1">BN24</f>
        <v>3</v>
      </c>
      <c r="CA71" s="55">
        <f ca="1">BO24</f>
        <v>4</v>
      </c>
      <c r="CB71" s="55">
        <f ca="1">BP24</f>
        <v>5</v>
      </c>
      <c r="CC71" s="55">
        <f ca="1">BQ24</f>
        <v>-1</v>
      </c>
      <c r="CD71" s="174">
        <f t="shared" ca="1" si="32"/>
        <v>299040000000007</v>
      </c>
      <c r="CE71" s="203"/>
      <c r="CF71" s="221" t="str">
        <f>BN29</f>
        <v>3F</v>
      </c>
      <c r="CG71" s="55"/>
      <c r="CH71" s="203">
        <f t="shared" si="34"/>
        <v>7</v>
      </c>
      <c r="CI71" s="55"/>
      <c r="CJ71" s="203"/>
      <c r="CK71" s="55"/>
      <c r="CL71" s="55"/>
      <c r="CM71" s="55"/>
      <c r="CN71" s="55"/>
      <c r="CO71" s="55"/>
      <c r="CP71" s="55"/>
      <c r="CQ71" s="55"/>
      <c r="CR71" s="55"/>
      <c r="CS71" s="55"/>
      <c r="CT71" s="55"/>
      <c r="CU71" s="55"/>
      <c r="CW71" s="55"/>
      <c r="CZ71" s="206"/>
    </row>
    <row r="72" spans="1:104">
      <c r="A72" s="2">
        <v>81</v>
      </c>
      <c r="B72" s="6">
        <f>VLOOKUP(A72,Spiele!$A$1:$L$116,2,FALSE)</f>
        <v>46204.708333333336</v>
      </c>
      <c r="C72" s="6" t="str">
        <f>VLOOKUP(A72,Spiele!$A$1:$L$116,9,FALSE)</f>
        <v>San Francisco</v>
      </c>
      <c r="D72" s="177" t="str">
        <f ca="1">BM7</f>
        <v>Türkei</v>
      </c>
      <c r="E72" s="15" t="s">
        <v>24</v>
      </c>
      <c r="F72" s="34" t="str">
        <f ca="1">VLOOKUP(R72,$BC$66:$BF$73,4,FALSE)</f>
        <v>Bosnien/Herzg.</v>
      </c>
      <c r="G72" s="17"/>
      <c r="H72" s="107">
        <f t="shared" ca="1" si="24"/>
        <v>2</v>
      </c>
      <c r="I72" s="11" t="s">
        <v>25</v>
      </c>
      <c r="J72" s="107">
        <f t="shared" ca="1" si="26"/>
        <v>1</v>
      </c>
      <c r="K72" s="7" t="s">
        <v>26</v>
      </c>
      <c r="L72" s="1"/>
      <c r="M72" s="240" t="str">
        <f t="shared" ca="1" si="25"/>
        <v>Türkei</v>
      </c>
      <c r="N72" s="241" t="str">
        <f>BN7</f>
        <v>1D</v>
      </c>
      <c r="O72" s="241" t="str">
        <f ca="1">R72</f>
        <v>3B</v>
      </c>
      <c r="P72" s="241" t="s">
        <v>282</v>
      </c>
      <c r="Q72" s="184"/>
      <c r="R72" s="243" t="str">
        <f ca="1">VLOOKUP(N72,BB$66:BC$73,2,FALSE)</f>
        <v>3B</v>
      </c>
      <c r="S72" s="4"/>
      <c r="T72" s="4"/>
      <c r="U72" s="4"/>
      <c r="V72" s="4"/>
      <c r="W72" s="4"/>
      <c r="X72" s="4"/>
      <c r="AC72" s="58"/>
      <c r="AE72" s="2"/>
      <c r="AF72" s="206"/>
      <c r="AG72" s="206"/>
      <c r="AH72" s="206"/>
      <c r="AI72" s="206"/>
      <c r="AJ72" s="206"/>
      <c r="AK72" s="206"/>
      <c r="AL72" s="206"/>
      <c r="AM72" s="206"/>
      <c r="AN72" s="206"/>
      <c r="AO72" s="206"/>
      <c r="AP72" s="206"/>
      <c r="AX72" s="17">
        <f ca="1">IF(AY72="",0,IF($CX$97="",(D72=Ergebnisse!D72)+(F72=Ergebnisse!F72)+(SIGN(H72-J72)=SIGN(Ergebnisse!H72-Ergebnisse!J72))*7+(H72=Ergebnisse!H72)+(J72=Ergebnisse!J72),INT(RAND()*12)))</f>
        <v>10</v>
      </c>
      <c r="AY72" s="17" t="str">
        <f ca="1">IF(Ergebnisse!K72=Ergebnisse!$B$98,Ergebnisse!K72,"")</f>
        <v>ok</v>
      </c>
      <c r="AZ72" s="206"/>
      <c r="BB72" s="104" t="str">
        <f>FIFA!I1</f>
        <v>1K</v>
      </c>
      <c r="BC72" s="243" t="str">
        <f ca="1">IF(CJ72="",INDEX(FIFA!I:I, MATCH($BC$62, FIFA!B:B, 0)),CJ72)</f>
        <v>3D</v>
      </c>
      <c r="BD72" s="17" t="s">
        <v>283</v>
      </c>
      <c r="BF72" s="244" t="str">
        <f t="shared" ca="1" si="33"/>
        <v>Paraguay</v>
      </c>
      <c r="BG72" s="55"/>
      <c r="BH72" s="245" t="str">
        <f t="shared" ca="1" si="27"/>
        <v>G</v>
      </c>
      <c r="BI72" s="241"/>
      <c r="BJ72" s="246">
        <f ca="1">SMALL(BR$66:BR$73,7)</f>
        <v>7</v>
      </c>
      <c r="BK72" s="1" t="str">
        <f t="shared" ca="1" si="28"/>
        <v>G</v>
      </c>
      <c r="BL72" s="1">
        <f t="shared" ca="1" si="29"/>
        <v>7</v>
      </c>
      <c r="BM72" s="175" t="str">
        <f ca="1">VLOOKUP(7,$BX$66:$CC$77,2,FALSE)</f>
        <v>Ägypten</v>
      </c>
      <c r="BN72" s="2">
        <f t="shared" ca="1" si="35"/>
        <v>3</v>
      </c>
      <c r="BO72" s="2">
        <f t="shared" ca="1" si="36"/>
        <v>4</v>
      </c>
      <c r="BP72" s="2">
        <f t="shared" ca="1" si="37"/>
        <v>5</v>
      </c>
      <c r="BQ72" s="2">
        <f t="shared" ca="1" si="38"/>
        <v>-1</v>
      </c>
      <c r="BR72" s="1">
        <f t="shared" ca="1" si="30"/>
        <v>7</v>
      </c>
      <c r="BS72" s="247" t="str">
        <f ca="1">MID(VLOOKUP(7,$BX$66:$CF$77,9,FALSE),2,1)</f>
        <v>G</v>
      </c>
      <c r="BT72" s="55"/>
      <c r="BU72" s="55"/>
      <c r="BV72" s="55"/>
      <c r="BW72" s="55"/>
      <c r="BX72" s="62">
        <f t="shared" ca="1" si="31"/>
        <v>7</v>
      </c>
      <c r="BY72" s="253" t="str">
        <f ca="1">M34</f>
        <v>Ägypten</v>
      </c>
      <c r="BZ72" s="55">
        <f ca="1">N34</f>
        <v>3</v>
      </c>
      <c r="CA72" s="55">
        <f ca="1">O34</f>
        <v>4</v>
      </c>
      <c r="CB72" s="55">
        <f ca="1">P34</f>
        <v>5</v>
      </c>
      <c r="CC72" s="55">
        <f ca="1">Q34</f>
        <v>-1</v>
      </c>
      <c r="CD72" s="174">
        <f t="shared" ca="1" si="32"/>
        <v>299040000000006</v>
      </c>
      <c r="CE72" s="203"/>
      <c r="CF72" s="224" t="s">
        <v>231</v>
      </c>
      <c r="CG72" s="55"/>
      <c r="CH72" s="203">
        <f t="shared" si="34"/>
        <v>6</v>
      </c>
      <c r="CI72" s="55"/>
      <c r="CJ72" s="203"/>
      <c r="CK72" s="55"/>
      <c r="CL72" s="55"/>
      <c r="CM72" s="55"/>
      <c r="CN72" s="55"/>
      <c r="CO72" s="55"/>
      <c r="CP72" s="55"/>
      <c r="CQ72" s="55"/>
      <c r="CR72" s="55"/>
      <c r="CS72" s="55"/>
      <c r="CT72" s="55"/>
      <c r="CU72" s="55"/>
      <c r="CW72" s="55"/>
      <c r="CZ72" s="206"/>
    </row>
    <row r="73" spans="1:104">
      <c r="A73" s="2">
        <v>84</v>
      </c>
      <c r="B73" s="6">
        <f>VLOOKUP(A73,Spiele!$A$1:$L$116,2,FALSE)</f>
        <v>46205.5</v>
      </c>
      <c r="C73" s="6" t="str">
        <f>VLOOKUP(A73,Spiele!$A$1:$L$116,9,FALSE)</f>
        <v>Los Angeles</v>
      </c>
      <c r="D73" s="233" t="str">
        <f ca="1">M47</f>
        <v>Uruguay</v>
      </c>
      <c r="E73" s="15" t="s">
        <v>24</v>
      </c>
      <c r="F73" s="227" t="str">
        <f ca="1">BM38</f>
        <v>Argentinien</v>
      </c>
      <c r="G73" s="17"/>
      <c r="H73" s="107">
        <f t="shared" ca="1" si="24"/>
        <v>2</v>
      </c>
      <c r="I73" s="11" t="s">
        <v>25</v>
      </c>
      <c r="J73" s="107">
        <f t="shared" ca="1" si="26"/>
        <v>1</v>
      </c>
      <c r="K73" s="7" t="s">
        <v>26</v>
      </c>
      <c r="L73" s="1"/>
      <c r="M73" s="242" t="str">
        <f t="shared" ca="1" si="25"/>
        <v>Uruguay</v>
      </c>
      <c r="N73" s="241" t="str">
        <f>N47</f>
        <v>1H</v>
      </c>
      <c r="O73" s="241" t="str">
        <f>BN38</f>
        <v>2J</v>
      </c>
      <c r="P73" s="241" t="s">
        <v>284</v>
      </c>
      <c r="Q73" s="184"/>
      <c r="R73" s="201"/>
      <c r="S73" s="4"/>
      <c r="T73" s="4"/>
      <c r="U73" s="4"/>
      <c r="V73" s="4"/>
      <c r="W73" s="4"/>
      <c r="X73" s="4"/>
      <c r="Z73" s="62"/>
      <c r="AC73" s="58"/>
      <c r="AE73" s="2"/>
      <c r="AF73" s="206"/>
      <c r="AG73" s="206"/>
      <c r="AH73" s="206"/>
      <c r="AI73" s="206"/>
      <c r="AJ73" s="206"/>
      <c r="AK73" s="206"/>
      <c r="AL73" s="206"/>
      <c r="AM73" s="206"/>
      <c r="AN73" s="206"/>
      <c r="AO73" s="206"/>
      <c r="AP73" s="206"/>
      <c r="AX73" s="17">
        <f ca="1">IF(AY73="",0,IF($CX$97="",(D73=Ergebnisse!D73)+(F73=Ergebnisse!F73)+(SIGN(H73-J73)=SIGN(Ergebnisse!H73-Ergebnisse!J73))*7+(H73=Ergebnisse!H73)+(J73=Ergebnisse!J73),INT(RAND()*12)))</f>
        <v>2</v>
      </c>
      <c r="AY73" s="17" t="str">
        <f ca="1">IF(Ergebnisse!K73=Ergebnisse!$B$98,Ergebnisse!K73,"")</f>
        <v>ok</v>
      </c>
      <c r="AZ73" s="206"/>
      <c r="BB73" s="104" t="str">
        <f>FIFA!J1</f>
        <v>1L</v>
      </c>
      <c r="BC73" s="243" t="str">
        <f ca="1">IF(CJ73="",INDEX(FIFA!J:J, MATCH($BC$62, FIFA!B:B, 0)),CJ73)</f>
        <v>3E</v>
      </c>
      <c r="BD73" s="17" t="s">
        <v>285</v>
      </c>
      <c r="BF73" s="244" t="str">
        <f t="shared" ca="1" si="33"/>
        <v>Curaçao</v>
      </c>
      <c r="BG73" s="55"/>
      <c r="BH73" s="245" t="str">
        <f t="shared" ca="1" si="27"/>
        <v>H</v>
      </c>
      <c r="BI73" s="241"/>
      <c r="BJ73" s="246">
        <f ca="1">SMALL(BR$66:BR$73,8)</f>
        <v>8</v>
      </c>
      <c r="BK73" s="1" t="str">
        <f t="shared" ca="1" si="28"/>
        <v>H</v>
      </c>
      <c r="BL73" s="1">
        <f t="shared" ca="1" si="29"/>
        <v>8</v>
      </c>
      <c r="BM73" s="175" t="str">
        <f ca="1">VLOOKUP(8,$BX$66:$CC$77,2,FALSE)</f>
        <v>Kap Verde</v>
      </c>
      <c r="BN73" s="2">
        <f t="shared" ca="1" si="35"/>
        <v>3</v>
      </c>
      <c r="BO73" s="2">
        <f t="shared" ca="1" si="36"/>
        <v>4</v>
      </c>
      <c r="BP73" s="2">
        <f t="shared" ca="1" si="37"/>
        <v>5</v>
      </c>
      <c r="BQ73" s="2">
        <f t="shared" ca="1" si="38"/>
        <v>-1</v>
      </c>
      <c r="BR73" s="1">
        <f t="shared" ca="1" si="30"/>
        <v>8</v>
      </c>
      <c r="BS73" s="247" t="str">
        <f ca="1">MID(VLOOKUP(8,$BX$66:$CF$77,9,FALSE),2,1)</f>
        <v>H</v>
      </c>
      <c r="BT73" s="55"/>
      <c r="BU73" s="55"/>
      <c r="BV73" s="55"/>
      <c r="BW73" s="55"/>
      <c r="BX73" s="62">
        <f t="shared" ca="1" si="31"/>
        <v>8</v>
      </c>
      <c r="BY73" s="153" t="str">
        <f ca="1">M44</f>
        <v>Kap Verde</v>
      </c>
      <c r="BZ73" s="55">
        <f ca="1">N44</f>
        <v>3</v>
      </c>
      <c r="CA73" s="55">
        <f ca="1">O44</f>
        <v>4</v>
      </c>
      <c r="CB73" s="55">
        <f ca="1">P44</f>
        <v>5</v>
      </c>
      <c r="CC73" s="55">
        <f ca="1">Q44</f>
        <v>-1</v>
      </c>
      <c r="CD73" s="174">
        <f t="shared" ca="1" si="32"/>
        <v>299040000000005</v>
      </c>
      <c r="CE73" s="203"/>
      <c r="CF73" s="229" t="s">
        <v>245</v>
      </c>
      <c r="CG73" s="55"/>
      <c r="CH73" s="203">
        <f t="shared" si="34"/>
        <v>5</v>
      </c>
      <c r="CI73" s="55"/>
      <c r="CJ73" s="203"/>
      <c r="CK73" s="55"/>
      <c r="CL73" s="55"/>
      <c r="CM73" s="55"/>
      <c r="CN73" s="55"/>
      <c r="CO73" s="55"/>
      <c r="CP73" s="55"/>
      <c r="CQ73" s="55"/>
      <c r="CR73" s="55"/>
      <c r="CS73" s="55"/>
      <c r="CT73" s="55"/>
      <c r="CU73" s="55"/>
      <c r="CW73" s="55"/>
      <c r="CZ73" s="206"/>
    </row>
    <row r="74" spans="1:104">
      <c r="A74" s="2">
        <v>83</v>
      </c>
      <c r="B74" s="6">
        <f>VLOOKUP(A74,Spiele!$A$1:$L$116,2,FALSE)</f>
        <v>46205.791666666664</v>
      </c>
      <c r="C74" s="6" t="str">
        <f>VLOOKUP(A74,Spiele!$A$1:$L$116,9,FALSE)</f>
        <v>Toronto</v>
      </c>
      <c r="D74" s="232" t="str">
        <f ca="1">BM48</f>
        <v>Portugal</v>
      </c>
      <c r="E74" s="15" t="s">
        <v>24</v>
      </c>
      <c r="F74" s="237" t="str">
        <f ca="1">BM58</f>
        <v>England</v>
      </c>
      <c r="G74" s="17"/>
      <c r="H74" s="107">
        <f t="shared" ca="1" si="24"/>
        <v>2</v>
      </c>
      <c r="I74" s="11" t="s">
        <v>25</v>
      </c>
      <c r="J74" s="107">
        <f t="shared" ca="1" si="26"/>
        <v>1</v>
      </c>
      <c r="K74" s="7" t="s">
        <v>26</v>
      </c>
      <c r="L74" s="1"/>
      <c r="M74" s="242" t="str">
        <f t="shared" ca="1" si="25"/>
        <v>Portugal</v>
      </c>
      <c r="N74" s="241" t="str">
        <f>BN48</f>
        <v>2K</v>
      </c>
      <c r="O74" s="241" t="str">
        <f>BN58</f>
        <v>2L</v>
      </c>
      <c r="P74" s="241" t="s">
        <v>286</v>
      </c>
      <c r="Q74" s="184"/>
      <c r="R74" s="201"/>
      <c r="S74" s="4"/>
      <c r="T74" s="4"/>
      <c r="U74" s="4"/>
      <c r="V74" s="4"/>
      <c r="W74" s="4"/>
      <c r="X74" s="4"/>
      <c r="Z74" s="62"/>
      <c r="AC74" s="58"/>
      <c r="AE74" s="2"/>
      <c r="AF74" s="206"/>
      <c r="AG74" s="206"/>
      <c r="AH74" s="206"/>
      <c r="AI74" s="206"/>
      <c r="AJ74" s="206"/>
      <c r="AK74" s="206"/>
      <c r="AL74" s="206"/>
      <c r="AM74" s="206"/>
      <c r="AN74" s="206"/>
      <c r="AO74" s="206"/>
      <c r="AP74" s="206"/>
      <c r="AX74" s="17">
        <f ca="1">IF(AY74="",0,IF($CX$97="",(D74=Ergebnisse!D74)+(F74=Ergebnisse!F74)+(SIGN(H74-J74)=SIGN(Ergebnisse!H74-Ergebnisse!J74))*7+(H74=Ergebnisse!H74)+(J74=Ergebnisse!J74),INT(RAND()*12)))</f>
        <v>1</v>
      </c>
      <c r="AY74" s="17" t="str">
        <f ca="1">IF(Ergebnisse!K74=Ergebnisse!$B$98,Ergebnisse!K74,"")</f>
        <v>ok</v>
      </c>
      <c r="AZ74" s="206"/>
      <c r="BB74" s="55"/>
      <c r="BC74" s="55"/>
      <c r="BD74" s="62"/>
      <c r="BE74" s="55"/>
      <c r="BF74" s="55"/>
      <c r="BG74" s="55"/>
      <c r="BH74" s="2"/>
      <c r="BI74" s="2"/>
      <c r="BJ74" s="1"/>
      <c r="BK74" s="1" t="str">
        <f t="shared" ca="1" si="28"/>
        <v>I</v>
      </c>
      <c r="BL74" s="1">
        <f t="shared" ca="1" si="29"/>
        <v>9</v>
      </c>
      <c r="BM74" s="9" t="str">
        <f ca="1">VLOOKUP(9,$BX$66:$CC$77,2,FALSE)</f>
        <v>Senegal</v>
      </c>
      <c r="BN74" s="2">
        <f t="shared" ca="1" si="35"/>
        <v>3</v>
      </c>
      <c r="BO74" s="2">
        <f t="shared" ca="1" si="36"/>
        <v>4</v>
      </c>
      <c r="BP74" s="2">
        <f t="shared" ca="1" si="37"/>
        <v>5</v>
      </c>
      <c r="BQ74" s="2">
        <f t="shared" ca="1" si="38"/>
        <v>-1</v>
      </c>
      <c r="BR74" s="1">
        <f t="shared" ca="1" si="30"/>
        <v>9</v>
      </c>
      <c r="BS74" s="53" t="str">
        <f ca="1">MID(VLOOKUP(9,$BX$66:$CF$77,9,FALSE),2,1)</f>
        <v>I</v>
      </c>
      <c r="BT74" s="55"/>
      <c r="BU74" s="55"/>
      <c r="BV74" s="55"/>
      <c r="BW74" s="55"/>
      <c r="BX74" s="62">
        <f t="shared" ca="1" si="31"/>
        <v>9</v>
      </c>
      <c r="BY74" s="153" t="str">
        <f ca="1">M54</f>
        <v>Senegal</v>
      </c>
      <c r="BZ74" s="55">
        <f ca="1">N54</f>
        <v>3</v>
      </c>
      <c r="CA74" s="55">
        <f ca="1">O54</f>
        <v>4</v>
      </c>
      <c r="CB74" s="55">
        <f ca="1">P54</f>
        <v>5</v>
      </c>
      <c r="CC74" s="55">
        <f ca="1">Q54</f>
        <v>-1</v>
      </c>
      <c r="CD74" s="174">
        <f t="shared" ca="1" si="32"/>
        <v>299040000000004</v>
      </c>
      <c r="CE74" s="203"/>
      <c r="CF74" s="234" t="s">
        <v>258</v>
      </c>
      <c r="CG74" s="55"/>
      <c r="CH74" s="203">
        <f t="shared" si="34"/>
        <v>4</v>
      </c>
      <c r="CI74" s="55"/>
      <c r="CJ74" s="55"/>
      <c r="CK74" s="55"/>
      <c r="CL74" s="55"/>
      <c r="CM74" s="55"/>
      <c r="CN74" s="55"/>
      <c r="CO74" s="55"/>
      <c r="CP74" s="55"/>
      <c r="CQ74" s="55"/>
      <c r="CR74" s="55"/>
      <c r="CS74" s="55"/>
      <c r="CT74" s="55"/>
      <c r="CU74" s="55"/>
      <c r="CW74" s="55"/>
      <c r="CZ74" s="206"/>
    </row>
    <row r="75" spans="1:104">
      <c r="A75" s="2">
        <v>85</v>
      </c>
      <c r="B75" s="6">
        <f>VLOOKUP(A75,Spiele!$A$1:$L$116,2,FALSE)</f>
        <v>46205.833333333336</v>
      </c>
      <c r="C75" s="6" t="str">
        <f>VLOOKUP(A75,Spiele!$A$1:$L$116,9,FALSE)</f>
        <v>Vancouver</v>
      </c>
      <c r="D75" s="37" t="str">
        <f ca="1">M17</f>
        <v>Schweiz</v>
      </c>
      <c r="E75" s="15" t="s">
        <v>24</v>
      </c>
      <c r="F75" s="34" t="str">
        <f ca="1">VLOOKUP(R75,$BC$66:$BF$73,4,FALSE)</f>
        <v>Ägypten</v>
      </c>
      <c r="G75" s="17"/>
      <c r="H75" s="107">
        <f t="shared" ca="1" si="24"/>
        <v>2</v>
      </c>
      <c r="I75" s="11" t="s">
        <v>25</v>
      </c>
      <c r="J75" s="107">
        <f t="shared" ca="1" si="26"/>
        <v>1</v>
      </c>
      <c r="K75" s="7" t="s">
        <v>26</v>
      </c>
      <c r="L75" s="1"/>
      <c r="M75" s="249" t="str">
        <f t="shared" ca="1" si="25"/>
        <v>Schweiz</v>
      </c>
      <c r="N75" s="241" t="str">
        <f>N17</f>
        <v>1B</v>
      </c>
      <c r="O75" s="241" t="str">
        <f ca="1">R75</f>
        <v>3G</v>
      </c>
      <c r="P75" s="241" t="s">
        <v>287</v>
      </c>
      <c r="Q75" s="184"/>
      <c r="R75" s="243" t="str">
        <f ca="1">VLOOKUP(N75,BB$66:BC$73,2,FALSE)</f>
        <v>3G</v>
      </c>
      <c r="S75" s="4"/>
      <c r="T75" s="4"/>
      <c r="U75" s="4"/>
      <c r="V75" s="4"/>
      <c r="W75" s="4"/>
      <c r="X75" s="4"/>
      <c r="Z75" s="62"/>
      <c r="AC75" s="58"/>
      <c r="AE75" s="2"/>
      <c r="AF75" s="206"/>
      <c r="AG75" s="206"/>
      <c r="AH75" s="206"/>
      <c r="AI75" s="206"/>
      <c r="AJ75" s="206"/>
      <c r="AK75" s="206"/>
      <c r="AL75" s="206"/>
      <c r="AM75" s="206"/>
      <c r="AN75" s="206"/>
      <c r="AO75" s="206"/>
      <c r="AP75" s="206"/>
      <c r="AX75" s="17">
        <f ca="1">IF(AY75="",0,IF($CX$97="",(D75=Ergebnisse!D75)+(F75=Ergebnisse!F75)+(SIGN(H75-J75)=SIGN(Ergebnisse!H75-Ergebnisse!J75))*7+(H75=Ergebnisse!H75)+(J75=Ergebnisse!J75),INT(RAND()*12)))</f>
        <v>1</v>
      </c>
      <c r="AY75" s="17" t="str">
        <f ca="1">IF(Ergebnisse!K75=Ergebnisse!$B$98,Ergebnisse!K75,"")</f>
        <v>ok</v>
      </c>
      <c r="AZ75" s="206"/>
      <c r="BB75" s="55"/>
      <c r="BC75" s="55"/>
      <c r="BD75" s="55"/>
      <c r="BE75" s="55"/>
      <c r="BF75" s="55"/>
      <c r="BG75" s="55"/>
      <c r="BH75" s="2"/>
      <c r="BI75" s="2"/>
      <c r="BK75" s="1" t="str">
        <f t="shared" ca="1" si="28"/>
        <v>J</v>
      </c>
      <c r="BL75" s="1">
        <f t="shared" ca="1" si="29"/>
        <v>10</v>
      </c>
      <c r="BM75" s="9" t="str">
        <f ca="1">VLOOKUP(10,$BX$66:$CC$77,2,FALSE)</f>
        <v>Algerien</v>
      </c>
      <c r="BN75" s="2">
        <f t="shared" ca="1" si="35"/>
        <v>3</v>
      </c>
      <c r="BO75" s="2">
        <f t="shared" ca="1" si="36"/>
        <v>4</v>
      </c>
      <c r="BP75" s="2">
        <f t="shared" ca="1" si="37"/>
        <v>5</v>
      </c>
      <c r="BQ75" s="2">
        <f t="shared" ca="1" si="38"/>
        <v>-1</v>
      </c>
      <c r="BR75" s="1">
        <f t="shared" ca="1" si="30"/>
        <v>10</v>
      </c>
      <c r="BS75" s="53" t="str">
        <f ca="1">MID(VLOOKUP(10,$BX$66:$CF$77,9,FALSE),2,1)</f>
        <v>J</v>
      </c>
      <c r="BT75" s="55"/>
      <c r="BU75" s="55"/>
      <c r="BV75" s="55"/>
      <c r="BW75" s="55"/>
      <c r="BX75" s="62">
        <f t="shared" ca="1" si="31"/>
        <v>10</v>
      </c>
      <c r="BY75" s="153" t="str">
        <f ca="1">BM34</f>
        <v>Algerien</v>
      </c>
      <c r="BZ75" s="55">
        <f ca="1">BN34</f>
        <v>3</v>
      </c>
      <c r="CA75" s="55">
        <f ca="1">BO34</f>
        <v>4</v>
      </c>
      <c r="CB75" s="55">
        <f ca="1">BP34</f>
        <v>5</v>
      </c>
      <c r="CC75" s="55">
        <f ca="1">BQ34</f>
        <v>-1</v>
      </c>
      <c r="CD75" s="174">
        <f t="shared" ca="1" si="32"/>
        <v>299040000000003</v>
      </c>
      <c r="CE75" s="203"/>
      <c r="CF75" s="226" t="s">
        <v>232</v>
      </c>
      <c r="CG75" s="55"/>
      <c r="CH75" s="203">
        <f t="shared" si="34"/>
        <v>3</v>
      </c>
      <c r="CI75" s="55"/>
      <c r="CJ75" s="55"/>
      <c r="CK75" s="55"/>
      <c r="CL75" s="55"/>
      <c r="CM75" s="55"/>
      <c r="CN75" s="55"/>
      <c r="CO75" s="55"/>
      <c r="CP75" s="55"/>
      <c r="CQ75" s="55"/>
      <c r="CR75" s="55"/>
      <c r="CS75" s="55"/>
      <c r="CT75" s="55"/>
      <c r="CU75" s="55"/>
      <c r="CW75" s="55"/>
      <c r="CZ75" s="206"/>
    </row>
    <row r="76" spans="1:104">
      <c r="A76" s="2">
        <v>88</v>
      </c>
      <c r="B76" s="6">
        <f>VLOOKUP(A76,Spiele!$A$1:$L$116,2,FALSE)</f>
        <v>46206.541666666672</v>
      </c>
      <c r="C76" s="6" t="str">
        <f>VLOOKUP(A76,Spiele!$A$1:$L$116,9,FALSE)</f>
        <v>Dallas</v>
      </c>
      <c r="D76" s="177" t="str">
        <f ca="1">BM8</f>
        <v>USA</v>
      </c>
      <c r="E76" s="15" t="s">
        <v>24</v>
      </c>
      <c r="F76" s="228" t="str">
        <f ca="1">M38</f>
        <v>Belgien</v>
      </c>
      <c r="G76" s="17"/>
      <c r="H76" s="107">
        <f t="shared" ca="1" si="24"/>
        <v>2</v>
      </c>
      <c r="I76" s="11" t="s">
        <v>25</v>
      </c>
      <c r="J76" s="107">
        <f t="shared" ca="1" si="26"/>
        <v>1</v>
      </c>
      <c r="K76" s="7" t="s">
        <v>26</v>
      </c>
      <c r="L76" s="1"/>
      <c r="M76" s="249" t="str">
        <f t="shared" ca="1" si="25"/>
        <v>USA</v>
      </c>
      <c r="N76" s="241" t="str">
        <f>BN8</f>
        <v>2D</v>
      </c>
      <c r="O76" s="241" t="str">
        <f>N38</f>
        <v>2G</v>
      </c>
      <c r="P76" s="241" t="s">
        <v>288</v>
      </c>
      <c r="Q76" s="184"/>
      <c r="R76" s="201"/>
      <c r="S76" s="4"/>
      <c r="T76" s="4"/>
      <c r="U76" s="4"/>
      <c r="V76" s="4"/>
      <c r="W76" s="4"/>
      <c r="X76" s="4"/>
      <c r="Z76" s="62"/>
      <c r="AC76" s="58"/>
      <c r="AE76" s="2"/>
      <c r="AF76" s="206"/>
      <c r="AG76" s="206"/>
      <c r="AH76" s="206"/>
      <c r="AI76" s="206"/>
      <c r="AJ76" s="206"/>
      <c r="AK76" s="206"/>
      <c r="AL76" s="206"/>
      <c r="AM76" s="206"/>
      <c r="AN76" s="206"/>
      <c r="AO76" s="206"/>
      <c r="AP76" s="206"/>
      <c r="AX76" s="17">
        <f ca="1">IF(AY76="",0,IF($CX$97="",(D76=Ergebnisse!D76)+(F76=Ergebnisse!F76)+(SIGN(H76-J76)=SIGN(Ergebnisse!H76-Ergebnisse!J76))*7+(H76=Ergebnisse!H76)+(J76=Ergebnisse!J76),INT(RAND()*12)))</f>
        <v>9</v>
      </c>
      <c r="AY76" s="17" t="str">
        <f ca="1">IF(Ergebnisse!K76=Ergebnisse!$B$98,Ergebnisse!K76,"")</f>
        <v>ok</v>
      </c>
      <c r="AZ76" s="206"/>
      <c r="BB76" s="58"/>
      <c r="BC76" s="55"/>
      <c r="BD76" s="55"/>
      <c r="BE76" s="55"/>
      <c r="BF76" s="55"/>
      <c r="BG76" s="55"/>
      <c r="BH76" s="2"/>
      <c r="BI76" s="2"/>
      <c r="BJ76" s="1"/>
      <c r="BK76" s="1" t="str">
        <f t="shared" ca="1" si="28"/>
        <v>K</v>
      </c>
      <c r="BL76" s="1">
        <f t="shared" ca="1" si="29"/>
        <v>11</v>
      </c>
      <c r="BM76" s="9" t="str">
        <f ca="1">VLOOKUP(11,$BX$66:$CC$77,2,FALSE)</f>
        <v>DR Kongo</v>
      </c>
      <c r="BN76" s="2">
        <f t="shared" ca="1" si="35"/>
        <v>3</v>
      </c>
      <c r="BO76" s="2">
        <f t="shared" ca="1" si="36"/>
        <v>4</v>
      </c>
      <c r="BP76" s="2">
        <f t="shared" ca="1" si="37"/>
        <v>5</v>
      </c>
      <c r="BQ76" s="2">
        <f t="shared" ca="1" si="38"/>
        <v>-1</v>
      </c>
      <c r="BR76" s="1">
        <f t="shared" ca="1" si="30"/>
        <v>11</v>
      </c>
      <c r="BS76" s="53" t="str">
        <f ca="1">MID(VLOOKUP(11,$BX$66:$CF$77,9,FALSE),2,1)</f>
        <v>K</v>
      </c>
      <c r="BT76" s="55"/>
      <c r="BU76" s="55"/>
      <c r="BV76" s="55"/>
      <c r="BW76" s="55"/>
      <c r="BX76" s="62">
        <f t="shared" ca="1" si="31"/>
        <v>11</v>
      </c>
      <c r="BY76" s="153" t="str">
        <f ca="1">BM44</f>
        <v>DR Kongo</v>
      </c>
      <c r="BZ76" s="55">
        <f ca="1">BN44</f>
        <v>3</v>
      </c>
      <c r="CA76" s="55">
        <f ca="1">BO44</f>
        <v>4</v>
      </c>
      <c r="CB76" s="55">
        <f ca="1">BP44</f>
        <v>5</v>
      </c>
      <c r="CC76" s="55">
        <f ca="1">BQ44</f>
        <v>-1</v>
      </c>
      <c r="CD76" s="174">
        <f t="shared" ca="1" si="32"/>
        <v>299040000000002</v>
      </c>
      <c r="CE76" s="203"/>
      <c r="CF76" s="231" t="s">
        <v>246</v>
      </c>
      <c r="CG76" s="55"/>
      <c r="CH76" s="203">
        <f t="shared" si="34"/>
        <v>2</v>
      </c>
      <c r="CI76" s="55"/>
      <c r="CJ76" s="55"/>
      <c r="CK76" s="55"/>
      <c r="CL76" s="55"/>
      <c r="CM76" s="55"/>
      <c r="CN76" s="55"/>
      <c r="CO76" s="55"/>
      <c r="CP76" s="55"/>
      <c r="CQ76" s="55"/>
      <c r="CR76" s="55"/>
      <c r="CS76" s="55"/>
      <c r="CT76" s="55"/>
      <c r="CU76" s="55"/>
      <c r="CW76" s="55"/>
      <c r="CZ76" s="206"/>
    </row>
    <row r="77" spans="1:104">
      <c r="A77" s="2">
        <v>86</v>
      </c>
      <c r="B77" s="6">
        <f>VLOOKUP(A77,Spiele!$A$1:$L$116,2,FALSE)</f>
        <v>46206.75</v>
      </c>
      <c r="C77" s="6" t="str">
        <f>VLOOKUP(A77,Spiele!$A$1:$L$116,9,FALSE)</f>
        <v>Miami</v>
      </c>
      <c r="D77" s="227" t="str">
        <f ca="1">BM37</f>
        <v>Jordanien</v>
      </c>
      <c r="E77" s="15" t="s">
        <v>24</v>
      </c>
      <c r="F77" s="233" t="str">
        <f ca="1">M48</f>
        <v>Spanien</v>
      </c>
      <c r="G77" s="17"/>
      <c r="H77" s="107">
        <f t="shared" ca="1" si="24"/>
        <v>2</v>
      </c>
      <c r="I77" s="11" t="s">
        <v>25</v>
      </c>
      <c r="J77" s="107">
        <f t="shared" ca="1" si="26"/>
        <v>1</v>
      </c>
      <c r="K77" s="7" t="s">
        <v>26</v>
      </c>
      <c r="L77" s="1"/>
      <c r="M77" s="252" t="str">
        <f t="shared" ca="1" si="25"/>
        <v>Jordanien</v>
      </c>
      <c r="N77" s="241" t="str">
        <f>BN37</f>
        <v>1J</v>
      </c>
      <c r="O77" s="241" t="str">
        <f>N48</f>
        <v>2H</v>
      </c>
      <c r="P77" s="241" t="s">
        <v>289</v>
      </c>
      <c r="Q77" s="184"/>
      <c r="R77" s="201"/>
      <c r="S77" s="4"/>
      <c r="T77" s="4"/>
      <c r="U77" s="4"/>
      <c r="V77" s="4"/>
      <c r="W77" s="4"/>
      <c r="X77" s="4"/>
      <c r="Z77" s="62"/>
      <c r="AC77" s="58"/>
      <c r="AE77" s="2"/>
      <c r="AF77" s="206"/>
      <c r="AG77" s="206"/>
      <c r="AH77" s="206"/>
      <c r="AI77" s="206"/>
      <c r="AJ77" s="206"/>
      <c r="AK77" s="206"/>
      <c r="AL77" s="206"/>
      <c r="AM77" s="206"/>
      <c r="AN77" s="206"/>
      <c r="AO77" s="206"/>
      <c r="AP77" s="206"/>
      <c r="AX77" s="17">
        <f ca="1">IF(AY77="",0,IF($CX$97="",(D77=Ergebnisse!D77)+(F77=Ergebnisse!F77)+(SIGN(H77-J77)=SIGN(Ergebnisse!H77-Ergebnisse!J77))*7+(H77=Ergebnisse!H77)+(J77=Ergebnisse!J77),INT(RAND()*12)))</f>
        <v>8</v>
      </c>
      <c r="AY77" s="17" t="str">
        <f ca="1">IF(Ergebnisse!K77=Ergebnisse!$B$98,Ergebnisse!K77,"")</f>
        <v>ok</v>
      </c>
      <c r="AZ77" s="206"/>
      <c r="BB77" s="254"/>
      <c r="BC77" s="55"/>
      <c r="BE77" s="55"/>
      <c r="BF77" s="55"/>
      <c r="BG77" s="55"/>
      <c r="BH77" s="2"/>
      <c r="BI77" s="2"/>
      <c r="BK77" s="1" t="str">
        <f t="shared" ca="1" si="28"/>
        <v>L</v>
      </c>
      <c r="BL77" s="1">
        <f t="shared" ca="1" si="29"/>
        <v>12</v>
      </c>
      <c r="BM77" s="9" t="str">
        <f ca="1">VLOOKUP(12,$BX$66:$CC$77,2,FALSE)</f>
        <v>Kroatien</v>
      </c>
      <c r="BN77" s="2">
        <f t="shared" ca="1" si="35"/>
        <v>3</v>
      </c>
      <c r="BO77" s="2">
        <f t="shared" ca="1" si="36"/>
        <v>4</v>
      </c>
      <c r="BP77" s="2">
        <f t="shared" ca="1" si="37"/>
        <v>5</v>
      </c>
      <c r="BQ77" s="2">
        <f t="shared" ca="1" si="38"/>
        <v>-1</v>
      </c>
      <c r="BR77" s="1">
        <f t="shared" ca="1" si="30"/>
        <v>12</v>
      </c>
      <c r="BS77" s="53" t="str">
        <f ca="1">MID(VLOOKUP(12,$BX$66:$CF$77,9,FALSE),2,1)</f>
        <v>L</v>
      </c>
      <c r="BT77" s="55"/>
      <c r="BU77" s="55"/>
      <c r="BV77" s="55"/>
      <c r="BW77" s="55"/>
      <c r="BX77" s="62">
        <f t="shared" ca="1" si="31"/>
        <v>12</v>
      </c>
      <c r="BY77" s="153" t="str">
        <f ca="1">BM54</f>
        <v>Kroatien</v>
      </c>
      <c r="BZ77" s="55">
        <f ca="1">BN54</f>
        <v>3</v>
      </c>
      <c r="CA77" s="55">
        <f ca="1">BO54</f>
        <v>4</v>
      </c>
      <c r="CB77" s="55">
        <f ca="1">BP54</f>
        <v>5</v>
      </c>
      <c r="CC77" s="55">
        <f ca="1">BQ54</f>
        <v>-1</v>
      </c>
      <c r="CD77" s="174">
        <f t="shared" ca="1" si="32"/>
        <v>299040000000001</v>
      </c>
      <c r="CE77" s="203"/>
      <c r="CF77" s="236" t="s">
        <v>259</v>
      </c>
      <c r="CG77" s="55"/>
      <c r="CH77" s="203">
        <f t="shared" si="34"/>
        <v>1</v>
      </c>
      <c r="CI77" s="55"/>
      <c r="CJ77" s="55"/>
      <c r="CK77" s="55"/>
      <c r="CL77" s="55"/>
      <c r="CM77" s="55"/>
      <c r="CN77" s="55"/>
      <c r="CO77" s="55"/>
      <c r="CP77" s="55"/>
      <c r="CQ77" s="55"/>
      <c r="CR77" s="55"/>
      <c r="CS77" s="55"/>
      <c r="CT77" s="55"/>
      <c r="CU77" s="55"/>
      <c r="CW77" s="55"/>
      <c r="CZ77" s="206"/>
    </row>
    <row r="78" spans="1:104">
      <c r="A78" s="2">
        <v>87</v>
      </c>
      <c r="B78" s="6">
        <f>VLOOKUP(A78,Spiele!$A$1:$L$116,2,FALSE)</f>
        <v>46206.854166666672</v>
      </c>
      <c r="C78" s="6" t="str">
        <f>VLOOKUP(A78,Spiele!$A$1:$L$116,9,FALSE)</f>
        <v>Kansas City</v>
      </c>
      <c r="D78" s="232" t="str">
        <f ca="1">BM47</f>
        <v>Kolumbien</v>
      </c>
      <c r="E78" s="15" t="s">
        <v>24</v>
      </c>
      <c r="F78" s="34" t="str">
        <f ca="1">VLOOKUP(R78,$BC$66:$BF$73,4,FALSE)</f>
        <v>Paraguay</v>
      </c>
      <c r="G78" s="17"/>
      <c r="H78" s="107">
        <f t="shared" ca="1" si="24"/>
        <v>2</v>
      </c>
      <c r="I78" s="11" t="s">
        <v>25</v>
      </c>
      <c r="J78" s="107">
        <f t="shared" ca="1" si="26"/>
        <v>1</v>
      </c>
      <c r="K78" s="7" t="s">
        <v>26</v>
      </c>
      <c r="L78" s="1"/>
      <c r="M78" s="252" t="str">
        <f t="shared" ca="1" si="25"/>
        <v>Kolumbien</v>
      </c>
      <c r="N78" s="241" t="str">
        <f>BN47</f>
        <v>1K</v>
      </c>
      <c r="O78" s="241" t="str">
        <f ca="1">R78</f>
        <v>3D</v>
      </c>
      <c r="P78" s="241" t="s">
        <v>290</v>
      </c>
      <c r="Q78" s="184"/>
      <c r="R78" s="243" t="str">
        <f ca="1">VLOOKUP(N78,BB$66:BC$73,2,FALSE)</f>
        <v>3D</v>
      </c>
      <c r="S78" s="4"/>
      <c r="T78" s="4"/>
      <c r="U78" s="4"/>
      <c r="V78" s="4"/>
      <c r="W78" s="4"/>
      <c r="X78" s="4"/>
      <c r="Z78" s="62"/>
      <c r="AC78" s="58"/>
      <c r="AE78" s="2"/>
      <c r="AF78" s="206"/>
      <c r="AG78" s="206"/>
      <c r="AH78" s="206"/>
      <c r="AI78" s="206"/>
      <c r="AJ78" s="206"/>
      <c r="AK78" s="206"/>
      <c r="AL78" s="206"/>
      <c r="AM78" s="206"/>
      <c r="AN78" s="206"/>
      <c r="AO78" s="206"/>
      <c r="AP78" s="206"/>
      <c r="AX78" s="17">
        <f ca="1">IF(AY78="",0,IF($CX$97="",(D78=Ergebnisse!D78)+(F78=Ergebnisse!F78)+(SIGN(H78-J78)=SIGN(Ergebnisse!H78-Ergebnisse!J78))*7+(H78=Ergebnisse!H78)+(J78=Ergebnisse!J78),INT(RAND()*12)))</f>
        <v>0</v>
      </c>
      <c r="AY78" s="17" t="str">
        <f ca="1">IF(Ergebnisse!K78=Ergebnisse!$B$98,Ergebnisse!K78,"")</f>
        <v>ok</v>
      </c>
      <c r="AZ78" s="206"/>
      <c r="BB78" s="58"/>
      <c r="BC78" s="55"/>
      <c r="BD78" s="55"/>
      <c r="BE78" s="55"/>
      <c r="BF78" s="55"/>
      <c r="BG78" s="55"/>
      <c r="BH78" s="2"/>
      <c r="BI78" s="2"/>
      <c r="BJ78" s="1"/>
      <c r="BK78" s="2"/>
      <c r="BM78" s="2"/>
      <c r="BS78" s="55"/>
      <c r="BT78" s="55"/>
      <c r="BU78" s="55"/>
      <c r="BV78" s="55"/>
      <c r="BW78" s="55"/>
      <c r="BX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c r="CW78" s="55"/>
      <c r="CZ78" s="206"/>
    </row>
    <row r="79" spans="1:104">
      <c r="B79" s="6"/>
      <c r="C79" s="6"/>
      <c r="D79" s="4"/>
      <c r="E79" s="15"/>
      <c r="F79" s="4"/>
      <c r="G79" s="4"/>
      <c r="H79" s="4"/>
      <c r="I79" s="4"/>
      <c r="J79" s="4"/>
      <c r="K79" s="4"/>
      <c r="L79" s="4"/>
      <c r="M79" s="4"/>
      <c r="N79" s="4"/>
      <c r="O79" s="4"/>
      <c r="P79" s="4"/>
      <c r="Q79" s="4"/>
      <c r="R79" s="4"/>
      <c r="S79" s="4"/>
      <c r="T79" s="4"/>
      <c r="U79" s="4"/>
      <c r="V79" s="4"/>
      <c r="W79" s="4"/>
      <c r="X79" s="4"/>
      <c r="Y79" s="4"/>
      <c r="Z79" s="4"/>
      <c r="AA79" s="4"/>
      <c r="AB79" s="4"/>
      <c r="AC79" s="58"/>
      <c r="AF79" s="206"/>
      <c r="AG79" s="206"/>
      <c r="AH79" s="206"/>
      <c r="AI79" s="206"/>
      <c r="AJ79" s="206"/>
      <c r="AK79" s="206"/>
      <c r="AL79" s="206"/>
      <c r="AM79" s="206"/>
      <c r="AN79" s="206"/>
      <c r="AO79" s="206"/>
      <c r="AP79" s="206"/>
      <c r="AZ79" s="206"/>
      <c r="BB79" s="58"/>
      <c r="BH79" s="2"/>
      <c r="BI79" s="2"/>
      <c r="BJ79" s="1"/>
      <c r="BK79" s="2"/>
      <c r="BM79" s="2"/>
      <c r="BS79" s="55"/>
      <c r="BT79" s="55"/>
      <c r="BU79" s="55"/>
      <c r="BV79" s="55"/>
      <c r="BW79" s="55"/>
      <c r="BX79" s="55"/>
      <c r="BZ79" s="55"/>
      <c r="CA79" s="55"/>
      <c r="CB79" s="55"/>
      <c r="CC79" s="55"/>
      <c r="CD79" s="55" t="s">
        <v>140</v>
      </c>
      <c r="CE79" s="55"/>
      <c r="CF79" s="55"/>
      <c r="CG79" s="55"/>
      <c r="CH79" s="55"/>
      <c r="CI79" s="55"/>
      <c r="CJ79" s="55"/>
      <c r="CK79" s="55"/>
      <c r="CL79" s="55"/>
      <c r="CM79" s="55"/>
      <c r="CN79" s="55"/>
      <c r="CO79" s="55"/>
      <c r="CP79" s="55"/>
      <c r="CQ79" s="55"/>
      <c r="CR79" s="55"/>
      <c r="CS79" s="55"/>
      <c r="CT79" s="55"/>
      <c r="CU79" s="55"/>
      <c r="CV79" s="55"/>
      <c r="CW79" s="55"/>
      <c r="CZ79" s="206"/>
    </row>
    <row r="80" spans="1:104">
      <c r="B80" s="17" t="s">
        <v>43</v>
      </c>
      <c r="C80" s="21"/>
      <c r="D80" s="17"/>
      <c r="E80" s="15"/>
      <c r="F80" s="17"/>
      <c r="G80" s="17"/>
      <c r="H80" s="20"/>
      <c r="I80" s="19"/>
      <c r="J80" s="20"/>
      <c r="K80" s="181"/>
      <c r="L80" s="17"/>
      <c r="M80" s="21"/>
      <c r="N80" s="17"/>
      <c r="O80" s="17"/>
      <c r="P80" s="17"/>
      <c r="Q80" s="17"/>
      <c r="R80" s="17"/>
      <c r="S80" s="62"/>
      <c r="T80" s="62"/>
      <c r="U80" s="62"/>
      <c r="V80" s="62"/>
      <c r="W80" s="62"/>
      <c r="Y80" s="206"/>
      <c r="Z80" s="206"/>
      <c r="AA80" s="206"/>
      <c r="AB80" s="206"/>
      <c r="AC80" s="206"/>
      <c r="AE80" s="108"/>
      <c r="AF80" s="206"/>
      <c r="AG80" s="206"/>
      <c r="AH80" s="206"/>
      <c r="AI80" s="206"/>
      <c r="AJ80" s="206"/>
      <c r="AK80" s="206"/>
      <c r="AL80" s="206"/>
      <c r="AM80" s="206"/>
      <c r="AN80" s="206"/>
      <c r="AO80" s="206"/>
      <c r="AP80" s="206"/>
      <c r="AZ80" s="206"/>
      <c r="BB80" s="255" t="s">
        <v>44</v>
      </c>
      <c r="BH80" s="2"/>
      <c r="BI80" s="2"/>
      <c r="BJ80" s="1"/>
      <c r="BK80" s="2"/>
      <c r="BM80" s="2"/>
      <c r="BS80" s="55"/>
      <c r="BT80" s="55"/>
      <c r="BU80" s="55"/>
      <c r="BV80" s="55"/>
      <c r="BW80" s="55"/>
      <c r="BX80" s="55"/>
      <c r="BZ80" s="55"/>
      <c r="CA80" s="55"/>
      <c r="CB80" s="55"/>
      <c r="CC80" s="55"/>
      <c r="CD80" s="58" t="s">
        <v>291</v>
      </c>
      <c r="CE80" s="55"/>
      <c r="CF80" s="55"/>
      <c r="CG80" s="55"/>
      <c r="CH80" s="55"/>
      <c r="CI80" s="55"/>
      <c r="CJ80" s="55"/>
      <c r="CK80" s="55"/>
      <c r="CL80" s="55"/>
      <c r="CM80" s="55"/>
      <c r="CN80" s="55"/>
      <c r="CO80" s="55"/>
      <c r="CP80" s="55"/>
      <c r="CQ80" s="55"/>
      <c r="CR80" s="55"/>
      <c r="CS80" s="55"/>
      <c r="CT80" s="55"/>
      <c r="CU80" s="55"/>
      <c r="CV80" s="55"/>
      <c r="CW80" s="55"/>
      <c r="CZ80" s="206"/>
    </row>
    <row r="81" spans="1:104">
      <c r="B81" s="3" t="s">
        <v>22</v>
      </c>
      <c r="C81" s="3" t="s">
        <v>23</v>
      </c>
      <c r="D81" s="17"/>
      <c r="E81" s="15"/>
      <c r="F81" s="17"/>
      <c r="G81" s="17"/>
      <c r="H81" s="20"/>
      <c r="I81" s="11"/>
      <c r="J81" s="20"/>
      <c r="K81" s="181"/>
      <c r="L81" s="1"/>
      <c r="M81" s="3"/>
      <c r="N81" s="1"/>
      <c r="O81" s="1"/>
      <c r="P81" s="1"/>
      <c r="Q81" s="1"/>
      <c r="S81" s="62"/>
      <c r="T81" s="62"/>
      <c r="U81" s="62"/>
      <c r="V81" s="62"/>
      <c r="W81" s="62"/>
      <c r="Y81" s="206"/>
      <c r="Z81" s="206"/>
      <c r="AA81" s="206"/>
      <c r="AB81" s="206"/>
      <c r="AC81" s="206"/>
      <c r="AF81" s="206"/>
      <c r="AG81" s="206"/>
      <c r="AH81" s="206"/>
      <c r="AI81" s="206"/>
      <c r="AJ81" s="206"/>
      <c r="AK81" s="206"/>
      <c r="AL81" s="206"/>
      <c r="AM81" s="206"/>
      <c r="AN81" s="206"/>
      <c r="AO81" s="206"/>
      <c r="AP81" s="206"/>
      <c r="AX81" s="17"/>
      <c r="AY81" s="17"/>
      <c r="AZ81" s="206"/>
      <c r="BB81" s="3" t="s">
        <v>22</v>
      </c>
      <c r="BC81" s="3" t="s">
        <v>23</v>
      </c>
      <c r="BD81" s="14"/>
      <c r="BE81" s="14"/>
      <c r="BF81" s="14"/>
      <c r="BG81" s="17"/>
      <c r="BH81" s="20"/>
      <c r="BI81" s="11"/>
      <c r="BJ81" s="67"/>
      <c r="BK81" s="181"/>
      <c r="BL81" s="1"/>
      <c r="BM81" s="3"/>
      <c r="BP81" s="1"/>
      <c r="BQ81" s="1"/>
      <c r="BR81" s="1"/>
      <c r="BS81" s="62"/>
      <c r="BT81" s="62"/>
      <c r="BU81" s="62"/>
      <c r="BV81" s="62"/>
      <c r="BW81" s="62"/>
      <c r="BX81" s="62"/>
      <c r="BY81" s="206"/>
      <c r="BZ81" s="206"/>
      <c r="CA81" s="206"/>
      <c r="CB81" s="206"/>
      <c r="CC81" s="206"/>
      <c r="CD81" s="206" t="s">
        <v>292</v>
      </c>
      <c r="CE81" s="206"/>
      <c r="CF81" s="206"/>
      <c r="CG81" s="206"/>
      <c r="CH81" s="206"/>
      <c r="CI81" s="206"/>
      <c r="CJ81" s="206"/>
      <c r="CK81" s="206"/>
      <c r="CL81" s="206"/>
      <c r="CM81" s="206"/>
      <c r="CN81" s="206"/>
      <c r="CO81" s="206"/>
      <c r="CP81" s="55"/>
      <c r="CQ81" s="55"/>
      <c r="CR81" s="55"/>
      <c r="CS81" s="55"/>
      <c r="CT81" s="55"/>
      <c r="CU81" s="55"/>
      <c r="CV81" s="55"/>
      <c r="CW81" s="55"/>
      <c r="CZ81" s="206"/>
    </row>
    <row r="82" spans="1:104">
      <c r="A82" s="2">
        <v>89</v>
      </c>
      <c r="B82" s="6">
        <f>VLOOKUP(A82,Spiele!$A$1:$L$116,2,FALSE)</f>
        <v>46207.708333333336</v>
      </c>
      <c r="C82" s="6" t="str">
        <f>VLOOKUP(A82,Spiele!$A$1:$L$116,9,FALSE)</f>
        <v>Philadelphia</v>
      </c>
      <c r="D82" s="258" t="str">
        <f ca="1">INDEX($M$63:$M$78, MATCH(N82, $P$63:$P$78, 0))</f>
        <v>Ecuador</v>
      </c>
      <c r="E82" s="15" t="s">
        <v>24</v>
      </c>
      <c r="F82" s="258" t="str">
        <f ca="1">INDEX($M$63:$M$78, MATCH(O82, $P$63:$P$78, 0))</f>
        <v>Norwegen</v>
      </c>
      <c r="G82" s="3"/>
      <c r="H82" s="107">
        <f t="shared" ref="H82:H89" ca="1" si="39">IF($B$99="",2,INT(RAND()*5)+INT(RAND()*3)*INT(RAND()*2))</f>
        <v>2</v>
      </c>
      <c r="I82" s="11" t="s">
        <v>25</v>
      </c>
      <c r="J82" s="107">
        <f t="shared" ref="J82:J89" ca="1" si="40">IF($B$99="",1, H82 + IF(H82=0, 1, IF(H82=9, -1, CHOOSE(INT(RAND()*2)+1, 1, -1))))</f>
        <v>1</v>
      </c>
      <c r="K82" s="7" t="s">
        <v>26</v>
      </c>
      <c r="L82" s="1"/>
      <c r="M82" s="260" t="str">
        <f t="shared" ref="M82:M89" ca="1" si="41">IF(J82="","",IF(J82=H82,"falsch!!! K.Remis",IF(H82&gt;J82,D82,F82)))</f>
        <v>Ecuador</v>
      </c>
      <c r="N82" s="1" t="str">
        <f>P65</f>
        <v>S03</v>
      </c>
      <c r="O82" s="1" t="str">
        <f>P68</f>
        <v>S06</v>
      </c>
      <c r="P82" s="14" t="s">
        <v>45</v>
      </c>
      <c r="Q82" s="3"/>
      <c r="R82" s="3"/>
      <c r="S82" s="62"/>
      <c r="T82" s="62"/>
      <c r="U82" s="62"/>
      <c r="V82" s="62"/>
      <c r="W82" s="62"/>
      <c r="Y82" s="206"/>
      <c r="Z82" s="206"/>
      <c r="AA82" s="206"/>
      <c r="AB82" s="206"/>
      <c r="AC82" s="206"/>
      <c r="AI82" s="206"/>
      <c r="AJ82" s="206"/>
      <c r="AK82" s="206"/>
      <c r="AL82" s="206"/>
      <c r="AM82" s="206"/>
      <c r="AN82" s="206"/>
      <c r="AO82" s="206"/>
      <c r="AP82" s="206"/>
      <c r="AX82" s="17">
        <f ca="1">IF(AY82="",0,IF($CX$97="",2*(D82=Ergebnisse!D82)+2*(F82=Ergebnisse!F82)+(SIGN(H82-J82)=SIGN(Ergebnisse!H82-Ergebnisse!J82))*7+(H82=Ergebnisse!H82)+(J82=Ergebnisse!J82),INT(RAND()*14)))</f>
        <v>2</v>
      </c>
      <c r="AY82" s="17" t="str">
        <f ca="1">IF(Ergebnisse!K82=Ergebnisse!$B$98,Ergebnisse!K82,"")</f>
        <v>ok</v>
      </c>
      <c r="AZ82" s="206"/>
      <c r="BA82" s="2">
        <f>A89+1</f>
        <v>97</v>
      </c>
      <c r="BB82" s="6">
        <f>VLOOKUP(BA82,Spiele!$A$1:$L$116,2,FALSE)</f>
        <v>46212.666666666664</v>
      </c>
      <c r="BC82" s="6" t="str">
        <f>VLOOKUP(BA82,Spiele!$A$1:$L$116,9,FALSE)</f>
        <v>Boston</v>
      </c>
      <c r="BD82" s="41" t="str">
        <f ca="1">INDEX($M$82:$M$89, MATCH(BN82, $P$82:$P$89, 0))</f>
        <v>Ecuador</v>
      </c>
      <c r="BE82" s="15" t="s">
        <v>24</v>
      </c>
      <c r="BF82" s="41" t="str">
        <f ca="1">INDEX($M$82:$M$89, MATCH(BO82, $P$82:$P$89, 0))</f>
        <v>Mexiko</v>
      </c>
      <c r="BG82" s="14"/>
      <c r="BH82" s="107">
        <f ca="1">IF($B$99="",2,INT(RAND()*5)+INT(RAND()*3)*INT(RAND()*2))</f>
        <v>2</v>
      </c>
      <c r="BI82" s="11" t="s">
        <v>25</v>
      </c>
      <c r="BJ82" s="107">
        <f ca="1">IF($B$99="",1, BH82 + IF(BH82=0, 1, IF(BH82=9, -1, CHOOSE(INT(RAND()*2)+1, 1, -1))))</f>
        <v>1</v>
      </c>
      <c r="BK82" s="7" t="s">
        <v>26</v>
      </c>
      <c r="BL82" s="1"/>
      <c r="BM82" s="42" t="str">
        <f ca="1">IF(BJ82="","",IF(BJ82=BH82,"falsch!!! K.Remis",IF(BH82&gt;BJ82,BD82,BF82)))</f>
        <v>Ecuador</v>
      </c>
      <c r="BN82" s="1" t="str">
        <f>P82</f>
        <v>AF1</v>
      </c>
      <c r="BO82" s="1" t="str">
        <f>P83</f>
        <v>AF2</v>
      </c>
      <c r="BP82" s="2" t="s">
        <v>48</v>
      </c>
      <c r="BQ82" s="1"/>
      <c r="BR82" s="1"/>
      <c r="BS82" s="62"/>
      <c r="BT82" s="62"/>
      <c r="BU82" s="62"/>
      <c r="BV82" s="62"/>
      <c r="BW82" s="62"/>
      <c r="BX82" s="62"/>
      <c r="BY82" s="206"/>
      <c r="BZ82" s="206"/>
      <c r="CA82" s="206"/>
      <c r="CB82" s="206"/>
      <c r="CC82" s="206"/>
      <c r="CD82" s="206"/>
      <c r="CE82" s="206"/>
      <c r="CF82" s="206"/>
      <c r="CG82" s="206"/>
      <c r="CH82" s="206"/>
      <c r="CI82" s="206"/>
      <c r="CJ82" s="206"/>
      <c r="CK82" s="206"/>
      <c r="CL82" s="206"/>
      <c r="CM82" s="206"/>
      <c r="CN82" s="206"/>
      <c r="CO82" s="206"/>
      <c r="CP82" s="55"/>
      <c r="CQ82" s="55"/>
      <c r="CR82" s="55"/>
      <c r="CS82" s="55"/>
      <c r="CT82" s="55"/>
      <c r="CU82" s="55"/>
      <c r="CV82" s="55"/>
      <c r="CW82" s="55"/>
      <c r="CX82" s="17">
        <f ca="1">IF(CY82="",0,IF($CX$97="",IF(BD82=Ergebnisse!BD82,3,IF(COUNTIF(Ergebnisse!$BD$82:$BF$85,BD82)&gt;0,1,0))+IF(BF82=Ergebnisse!BF82,3,IF(COUNTIF(Ergebnisse!$BD$82:$BF$85,BF82)&gt;0,1,0))+(SIGN(BH82-BJ82)=SIGN(Ergebnisse!BH82-Ergebnisse!BJ82))*7+(BH82=Ergebnisse!BH82)+(BJ82=Ergebnisse!BJ82),INT(RAND()*16)))</f>
        <v>7</v>
      </c>
      <c r="CY82" s="17" t="str">
        <f ca="1">IF(Ergebnisse!BK82=Ergebnisse!$B$98,Ergebnisse!BK82,"")</f>
        <v>ok</v>
      </c>
      <c r="CZ82" s="206"/>
    </row>
    <row r="83" spans="1:104">
      <c r="A83" s="2">
        <f t="shared" ref="A83:A88" si="42">A82+1</f>
        <v>90</v>
      </c>
      <c r="B83" s="6">
        <f>VLOOKUP(A83,Spiele!$A$1:$L$116,2,FALSE)</f>
        <v>46207.5</v>
      </c>
      <c r="C83" s="6" t="str">
        <f>VLOOKUP(A83,Spiele!$A$1:$L$116,9,FALSE)</f>
        <v>Houston</v>
      </c>
      <c r="D83" s="258" t="str">
        <f ca="1">INDEX($M$63:$M$78, MATCH(N83, $P$63:$P$78, 0))</f>
        <v>Mexiko</v>
      </c>
      <c r="E83" s="15" t="s">
        <v>24</v>
      </c>
      <c r="F83" s="258" t="str">
        <f ca="1">INDEX($M$63:$M$78, MATCH(O83, $P$63:$P$78, 0))</f>
        <v>Tunesien</v>
      </c>
      <c r="G83" s="3"/>
      <c r="H83" s="107">
        <f t="shared" ca="1" si="39"/>
        <v>2</v>
      </c>
      <c r="I83" s="11" t="s">
        <v>25</v>
      </c>
      <c r="J83" s="107">
        <f t="shared" ca="1" si="40"/>
        <v>1</v>
      </c>
      <c r="K83" s="7" t="s">
        <v>26</v>
      </c>
      <c r="L83" s="1"/>
      <c r="M83" s="260" t="str">
        <f t="shared" ca="1" si="41"/>
        <v>Mexiko</v>
      </c>
      <c r="N83" s="1" t="str">
        <f>P63</f>
        <v>S01</v>
      </c>
      <c r="O83" s="1" t="str">
        <f>P66</f>
        <v>S04</v>
      </c>
      <c r="P83" s="14" t="s">
        <v>47</v>
      </c>
      <c r="Q83" s="3"/>
      <c r="R83" s="3"/>
      <c r="S83" s="62"/>
      <c r="T83" s="62"/>
      <c r="U83" s="62"/>
      <c r="V83" s="62"/>
      <c r="W83" s="62"/>
      <c r="Y83" s="206"/>
      <c r="Z83" s="206"/>
      <c r="AA83" s="206"/>
      <c r="AB83" s="206"/>
      <c r="AC83" s="206"/>
      <c r="AI83" s="206"/>
      <c r="AJ83" s="206"/>
      <c r="AK83" s="206"/>
      <c r="AL83" s="206"/>
      <c r="AM83" s="206"/>
      <c r="AN83" s="206"/>
      <c r="AO83" s="206"/>
      <c r="AP83" s="206"/>
      <c r="AX83" s="17">
        <f ca="1">IF(AY83="",0,IF($CX$97="",2*(D83=Ergebnisse!D83)+2*(F83=Ergebnisse!F83)+(SIGN(H83-J83)=SIGN(Ergebnisse!H83-Ergebnisse!J83))*7+(H83=Ergebnisse!H83)+(J83=Ergebnisse!J83),INT(RAND()*14)))</f>
        <v>1</v>
      </c>
      <c r="AY83" s="17" t="str">
        <f ca="1">IF(Ergebnisse!K83=Ergebnisse!$B$98,Ergebnisse!K83,"")</f>
        <v>ok</v>
      </c>
      <c r="AZ83" s="206"/>
      <c r="BA83" s="2">
        <f>BA82+1</f>
        <v>98</v>
      </c>
      <c r="BB83" s="6">
        <f>VLOOKUP(BA83,Spiele!$A$1:$L$116,2,FALSE)</f>
        <v>46213.5</v>
      </c>
      <c r="BC83" s="6" t="str">
        <f>VLOOKUP(BA83,Spiele!$A$1:$L$116,9,FALSE)</f>
        <v>Los Angeles</v>
      </c>
      <c r="BD83" s="70" t="str">
        <f ca="1">INDEX($M$82:$M$89, MATCH(BN83, $P$82:$P$89, 0))</f>
        <v>Portugal</v>
      </c>
      <c r="BE83" s="40" t="s">
        <v>24</v>
      </c>
      <c r="BF83" s="70" t="str">
        <f ca="1">INDEX($M$82:$M$89, MATCH(BO83, $P$82:$P$89, 0))</f>
        <v>Türkei</v>
      </c>
      <c r="BG83" s="14"/>
      <c r="BH83" s="107">
        <f ca="1">IF($B$99="",2,INT(RAND()*5)+INT(RAND()*3)*INT(RAND()*2))</f>
        <v>2</v>
      </c>
      <c r="BI83" s="11" t="s">
        <v>25</v>
      </c>
      <c r="BJ83" s="107">
        <f ca="1">IF($B$99="",1, BH83 + IF(BH83=0, 1, IF(BH83=9, -1, CHOOSE(INT(RAND()*2)+1, 1, -1))))</f>
        <v>1</v>
      </c>
      <c r="BK83" s="7" t="s">
        <v>26</v>
      </c>
      <c r="BL83" s="1"/>
      <c r="BM83" s="69" t="str">
        <f ca="1">IF(BJ83="","",IF(BJ83=BH83,"falsch!!! K.Remis",IF(BH83&gt;BJ83,BD83,BF83)))</f>
        <v>Portugal</v>
      </c>
      <c r="BN83" s="1" t="str">
        <f>P86</f>
        <v>AF5</v>
      </c>
      <c r="BO83" s="1" t="str">
        <f>P87</f>
        <v>AF6</v>
      </c>
      <c r="BP83" s="2" t="s">
        <v>52</v>
      </c>
      <c r="BQ83" s="1"/>
      <c r="BR83" s="1"/>
      <c r="BS83" s="62"/>
      <c r="BT83" s="62"/>
      <c r="BU83" s="62"/>
      <c r="BV83" s="62"/>
      <c r="BW83" s="62"/>
      <c r="BX83" s="62"/>
      <c r="BY83" s="206"/>
      <c r="BZ83" s="206"/>
      <c r="CA83" s="206"/>
      <c r="CB83" s="206"/>
      <c r="CC83" s="206"/>
      <c r="CD83" s="206"/>
      <c r="CE83" s="206"/>
      <c r="CF83" s="206"/>
      <c r="CG83" s="206"/>
      <c r="CH83" s="206"/>
      <c r="CI83" s="206"/>
      <c r="CJ83" s="206"/>
      <c r="CK83" s="206"/>
      <c r="CL83" s="206"/>
      <c r="CM83" s="206"/>
      <c r="CN83" s="206"/>
      <c r="CO83" s="206"/>
      <c r="CP83" s="55"/>
      <c r="CQ83" s="55"/>
      <c r="CR83" s="55"/>
      <c r="CS83" s="55"/>
      <c r="CT83" s="55"/>
      <c r="CU83" s="55"/>
      <c r="CV83" s="55"/>
      <c r="CW83" s="55"/>
      <c r="CX83" s="17">
        <f ca="1">IF(CY83="",0,IF($CX$97="",IF(BD83=Ergebnisse!BD83,3,IF(COUNTIF(Ergebnisse!$BD$82:$BF$85,BD83)&gt;0,1,0))+IF(BF83=Ergebnisse!BF83,3,IF(COUNTIF(Ergebnisse!$BD$82:$BF$85,BF83)&gt;0,1,0))+(SIGN(BH83-BJ83)=SIGN(Ergebnisse!BH83-Ergebnisse!BJ83))*7+(BH83=Ergebnisse!BH83)+(BJ83=Ergebnisse!BJ83),INT(RAND()*16)))</f>
        <v>7</v>
      </c>
      <c r="CY83" s="17" t="str">
        <f ca="1">IF(Ergebnisse!BK83=Ergebnisse!$B$98,Ergebnisse!BK83,"")</f>
        <v>ok</v>
      </c>
      <c r="CZ83" s="206"/>
    </row>
    <row r="84" spans="1:104">
      <c r="A84" s="2">
        <f t="shared" si="42"/>
        <v>91</v>
      </c>
      <c r="B84" s="6">
        <f>VLOOKUP(A84,Spiele!$A$1:$L$116,2,FALSE)</f>
        <v>46208.666666666664</v>
      </c>
      <c r="C84" s="6" t="str">
        <f>VLOOKUP(A84,Spiele!$A$1:$L$116,9,FALSE)</f>
        <v>New York</v>
      </c>
      <c r="D84" s="261" t="str">
        <f t="shared" ref="D84:D89" ca="1" si="43">INDEX($M$63:$M$78, MATCH(N84, $P$63:$P$78, 0))</f>
        <v>Schottland</v>
      </c>
      <c r="E84" s="15" t="s">
        <v>24</v>
      </c>
      <c r="F84" s="261" t="str">
        <f t="shared" ref="F84:F89" ca="1" si="44">INDEX($M$63:$M$78, MATCH(O84, $P$63:$P$78, 0))</f>
        <v>Deutschland</v>
      </c>
      <c r="G84" s="3"/>
      <c r="H84" s="107">
        <f t="shared" ca="1" si="39"/>
        <v>2</v>
      </c>
      <c r="I84" s="11" t="s">
        <v>25</v>
      </c>
      <c r="J84" s="107">
        <f t="shared" ca="1" si="40"/>
        <v>1</v>
      </c>
      <c r="K84" s="7" t="s">
        <v>26</v>
      </c>
      <c r="L84" s="1"/>
      <c r="M84" s="263" t="str">
        <f t="shared" ca="1" si="41"/>
        <v>Schottland</v>
      </c>
      <c r="N84" s="1" t="str">
        <f>P64</f>
        <v>S02</v>
      </c>
      <c r="O84" s="1" t="str">
        <f>P67</f>
        <v>S05</v>
      </c>
      <c r="P84" s="14" t="s">
        <v>49</v>
      </c>
      <c r="Q84" s="3"/>
      <c r="R84" s="3"/>
      <c r="S84" s="62"/>
      <c r="T84" s="62"/>
      <c r="U84" s="62"/>
      <c r="V84" s="62"/>
      <c r="W84" s="62"/>
      <c r="Y84" s="206"/>
      <c r="Z84" s="206"/>
      <c r="AA84" s="206"/>
      <c r="AB84" s="206"/>
      <c r="AC84" s="206"/>
      <c r="AI84" s="206"/>
      <c r="AJ84" s="206"/>
      <c r="AK84" s="206"/>
      <c r="AL84" s="206"/>
      <c r="AM84" s="206"/>
      <c r="AN84" s="206"/>
      <c r="AO84" s="206"/>
      <c r="AP84" s="206"/>
      <c r="AX84" s="17">
        <f ca="1">IF(AY84="",0,IF($CX$97="",2*(D84=Ergebnisse!D84)+2*(F84=Ergebnisse!F84)+(SIGN(H84-J84)=SIGN(Ergebnisse!H84-Ergebnisse!J84))*7+(H84=Ergebnisse!H84)+(J84=Ergebnisse!J84),INT(RAND()*14)))</f>
        <v>0</v>
      </c>
      <c r="AY84" s="17" t="str">
        <f ca="1">IF(Ergebnisse!K84=Ergebnisse!$B$98,Ergebnisse!K84,"")</f>
        <v>ok</v>
      </c>
      <c r="AZ84" s="206"/>
      <c r="BA84" s="2">
        <f>BA83+1</f>
        <v>99</v>
      </c>
      <c r="BB84" s="6">
        <f>VLOOKUP(BA84,Spiele!$A$1:$L$116,2,FALSE)</f>
        <v>46214.708333333336</v>
      </c>
      <c r="BC84" s="6" t="str">
        <f>VLOOKUP(BA84,Spiele!$A$1:$L$116,9,FALSE)</f>
        <v>Miami</v>
      </c>
      <c r="BD84" s="45" t="str">
        <f ca="1">INDEX($M$82:$M$89, MATCH(BN84, $P$82:$P$89, 0))</f>
        <v>Schottland</v>
      </c>
      <c r="BE84" s="40" t="s">
        <v>24</v>
      </c>
      <c r="BF84" s="45" t="str">
        <f ca="1">INDEX($M$82:$M$89, MATCH(BO84, $P$82:$P$89, 0))</f>
        <v>Tschechien</v>
      </c>
      <c r="BG84" s="14"/>
      <c r="BH84" s="107">
        <f ca="1">IF($B$99="",2,INT(RAND()*5)+INT(RAND()*3)*INT(RAND()*2))</f>
        <v>2</v>
      </c>
      <c r="BI84" s="11" t="s">
        <v>25</v>
      </c>
      <c r="BJ84" s="107">
        <f ca="1">IF($B$99="",1, BH84 + IF(BH84=0, 1, IF(BH84=9, -1, CHOOSE(INT(RAND()*2)+1, 1, -1))))</f>
        <v>1</v>
      </c>
      <c r="BK84" s="7" t="s">
        <v>26</v>
      </c>
      <c r="BL84" s="1"/>
      <c r="BM84" s="46" t="str">
        <f ca="1">IF(BJ84="","",IF(BJ84=BH84,"falsch!!! K.Remis",IF(BH84&gt;BJ84,BD84,BF84)))</f>
        <v>Schottland</v>
      </c>
      <c r="BN84" s="1" t="str">
        <f>P84</f>
        <v>AF3</v>
      </c>
      <c r="BO84" s="1" t="str">
        <f>P85</f>
        <v>AF4</v>
      </c>
      <c r="BP84" s="1" t="s">
        <v>46</v>
      </c>
      <c r="BQ84" s="1"/>
      <c r="BR84" s="1"/>
      <c r="BS84" s="62"/>
      <c r="BT84" s="62"/>
      <c r="BU84" s="62"/>
      <c r="BV84" s="62"/>
      <c r="BW84" s="62"/>
      <c r="BX84" s="62"/>
      <c r="BY84" s="206"/>
      <c r="BZ84" s="206"/>
      <c r="CA84" s="206"/>
      <c r="CB84" s="206"/>
      <c r="CC84" s="206"/>
      <c r="CD84" s="206"/>
      <c r="CE84" s="206"/>
      <c r="CF84" s="206"/>
      <c r="CG84" s="206"/>
      <c r="CH84" s="206"/>
      <c r="CI84" s="206"/>
      <c r="CJ84" s="206"/>
      <c r="CK84" s="206"/>
      <c r="CL84" s="206"/>
      <c r="CM84" s="206"/>
      <c r="CN84" s="206"/>
      <c r="CO84" s="206"/>
      <c r="CP84" s="55"/>
      <c r="CQ84" s="55"/>
      <c r="CR84" s="55"/>
      <c r="CS84" s="55"/>
      <c r="CT84" s="55"/>
      <c r="CU84" s="55"/>
      <c r="CV84" s="55"/>
      <c r="CW84" s="55"/>
      <c r="CX84" s="17">
        <f ca="1">IF(CY84="",0,IF($CX$97="",IF(BD84=Ergebnisse!BD84,3,IF(COUNTIF(Ergebnisse!$BD$82:$BF$85,BD84)&gt;0,1,0))+IF(BF84=Ergebnisse!BF84,3,IF(COUNTIF(Ergebnisse!$BD$82:$BF$85,BF84)&gt;0,1,0))+(SIGN(BH84-BJ84)=SIGN(Ergebnisse!BH84-Ergebnisse!BJ84))*7+(BH84=Ergebnisse!BH84)+(BJ84=Ergebnisse!BJ84),INT(RAND()*16)))</f>
        <v>0</v>
      </c>
      <c r="CY84" s="17" t="str">
        <f ca="1">IF(Ergebnisse!BK84=Ergebnisse!$B$98,Ergebnisse!BK84,"")</f>
        <v>ok</v>
      </c>
      <c r="CZ84" s="206"/>
    </row>
    <row r="85" spans="1:104">
      <c r="A85" s="2">
        <f t="shared" si="42"/>
        <v>92</v>
      </c>
      <c r="B85" s="6">
        <f>VLOOKUP(A85,Spiele!$A$1:$L$116,2,FALSE)</f>
        <v>46208.791666666672</v>
      </c>
      <c r="C85" s="6" t="str">
        <f>VLOOKUP(A85,Spiele!$A$1:$L$116,9,FALSE)</f>
        <v>Mexico City</v>
      </c>
      <c r="D85" s="261" t="str">
        <f t="shared" ca="1" si="43"/>
        <v>Tschechien</v>
      </c>
      <c r="E85" s="15" t="s">
        <v>24</v>
      </c>
      <c r="F85" s="261" t="str">
        <f t="shared" ca="1" si="44"/>
        <v>Panama</v>
      </c>
      <c r="G85" s="3"/>
      <c r="H85" s="107">
        <f t="shared" ca="1" si="39"/>
        <v>2</v>
      </c>
      <c r="I85" s="11" t="s">
        <v>25</v>
      </c>
      <c r="J85" s="107">
        <f t="shared" ca="1" si="40"/>
        <v>1</v>
      </c>
      <c r="K85" s="7" t="s">
        <v>26</v>
      </c>
      <c r="L85" s="1"/>
      <c r="M85" s="263" t="str">
        <f t="shared" ca="1" si="41"/>
        <v>Tschechien</v>
      </c>
      <c r="N85" s="1" t="str">
        <f>P69</f>
        <v>S07</v>
      </c>
      <c r="O85" s="1" t="str">
        <f>P70</f>
        <v>S08</v>
      </c>
      <c r="P85" s="14" t="s">
        <v>51</v>
      </c>
      <c r="Q85" s="3"/>
      <c r="R85" s="3"/>
      <c r="S85" s="62"/>
      <c r="T85" s="62"/>
      <c r="U85" s="62"/>
      <c r="V85" s="62"/>
      <c r="W85" s="62"/>
      <c r="Y85" s="206"/>
      <c r="Z85" s="206"/>
      <c r="AA85" s="206"/>
      <c r="AB85" s="206"/>
      <c r="AC85" s="206"/>
      <c r="AI85" s="206"/>
      <c r="AJ85" s="206"/>
      <c r="AK85" s="206"/>
      <c r="AL85" s="206"/>
      <c r="AM85" s="206"/>
      <c r="AN85" s="206"/>
      <c r="AO85" s="206"/>
      <c r="AP85" s="206"/>
      <c r="AX85" s="17">
        <f ca="1">IF(AY85="",0,IF($CX$97="",2*(D85=Ergebnisse!D85)+2*(F85=Ergebnisse!F85)+(SIGN(H85-J85)=SIGN(Ergebnisse!H85-Ergebnisse!J85))*7+(H85=Ergebnisse!H85)+(J85=Ergebnisse!J85),INT(RAND()*14)))</f>
        <v>7</v>
      </c>
      <c r="AY85" s="17" t="str">
        <f ca="1">IF(Ergebnisse!K85=Ergebnisse!$B$98,Ergebnisse!K85,"")</f>
        <v>ok</v>
      </c>
      <c r="AZ85" s="206"/>
      <c r="BA85" s="2">
        <f>BA84+1</f>
        <v>100</v>
      </c>
      <c r="BB85" s="6">
        <f>VLOOKUP(BA85,Spiele!$A$1:$L$116,2,FALSE)</f>
        <v>46214.833333333336</v>
      </c>
      <c r="BC85" s="6" t="str">
        <f>VLOOKUP(BA85,Spiele!$A$1:$L$116,9,FALSE)</f>
        <v>Kansas City</v>
      </c>
      <c r="BD85" s="43" t="str">
        <f ca="1">INDEX($M$82:$M$89, MATCH(BN85, $P$82:$P$89, 0))</f>
        <v>Jordanien</v>
      </c>
      <c r="BE85" s="15" t="s">
        <v>24</v>
      </c>
      <c r="BF85" s="43" t="str">
        <f ca="1">INDEX($M$82:$M$89, MATCH(BO85, $P$82:$P$89, 0))</f>
        <v>Schweiz</v>
      </c>
      <c r="BG85" s="14"/>
      <c r="BH85" s="107">
        <f ca="1">IF($B$99="",2,INT(RAND()*5)+INT(RAND()*3)*INT(RAND()*2))</f>
        <v>2</v>
      </c>
      <c r="BI85" s="11" t="s">
        <v>25</v>
      </c>
      <c r="BJ85" s="107">
        <f ca="1">IF($B$99="",1, BH85 + IF(BH85=0, 1, IF(BH85=9, -1, CHOOSE(INT(RAND()*2)+1, 1, -1))))</f>
        <v>1</v>
      </c>
      <c r="BK85" s="7" t="s">
        <v>26</v>
      </c>
      <c r="BL85" s="1"/>
      <c r="BM85" s="44" t="str">
        <f ca="1">IF(BJ85="","",IF(BJ85=BH85,"falsch!!! K.Remis",IF(BH85&gt;BJ85,BD85,BF85)))</f>
        <v>Jordanien</v>
      </c>
      <c r="BN85" s="1" t="str">
        <f>P88</f>
        <v>AF7</v>
      </c>
      <c r="BO85" s="1" t="str">
        <f>P89</f>
        <v>AF8</v>
      </c>
      <c r="BP85" s="1" t="s">
        <v>50</v>
      </c>
      <c r="BQ85" s="1"/>
      <c r="BR85" s="1"/>
      <c r="BS85" s="62"/>
      <c r="BT85" s="62"/>
      <c r="BU85" s="62"/>
      <c r="BV85" s="62"/>
      <c r="BW85" s="62"/>
      <c r="BX85" s="62"/>
      <c r="BY85" s="206"/>
      <c r="BZ85" s="206"/>
      <c r="CA85" s="206"/>
      <c r="CB85" s="206"/>
      <c r="CC85" s="206"/>
      <c r="CD85" s="206"/>
      <c r="CE85" s="206"/>
      <c r="CF85" s="206"/>
      <c r="CG85" s="206"/>
      <c r="CH85" s="206"/>
      <c r="CI85" s="206"/>
      <c r="CJ85" s="206"/>
      <c r="CK85" s="206"/>
      <c r="CL85" s="206"/>
      <c r="CM85" s="206"/>
      <c r="CN85" s="206"/>
      <c r="CO85" s="206"/>
      <c r="CP85" s="55"/>
      <c r="CQ85" s="55"/>
      <c r="CR85" s="55"/>
      <c r="CS85" s="55"/>
      <c r="CT85" s="55"/>
      <c r="CU85" s="55"/>
      <c r="CV85" s="55"/>
      <c r="CW85" s="55"/>
      <c r="CX85" s="17">
        <f ca="1">IF(CY85="",0,IF($CX$97="",IF(BD85=Ergebnisse!BD85,3,IF(COUNTIF(Ergebnisse!$BD$82:$BF$85,BD85)&gt;0,1,0))+IF(BF85=Ergebnisse!BF85,3,IF(COUNTIF(Ergebnisse!$BD$82:$BF$85,BF85)&gt;0,1,0))+(SIGN(BH85-BJ85)=SIGN(Ergebnisse!BH85-Ergebnisse!BJ85))*7+(BH85=Ergebnisse!BH85)+(BJ85=Ergebnisse!BJ85),INT(RAND()*16)))</f>
        <v>0</v>
      </c>
      <c r="CY85" s="17" t="str">
        <f ca="1">IF(Ergebnisse!BK85=Ergebnisse!$B$98,Ergebnisse!BK85,"")</f>
        <v>ok</v>
      </c>
      <c r="CZ85" s="206"/>
    </row>
    <row r="86" spans="1:104">
      <c r="A86" s="2">
        <f t="shared" si="42"/>
        <v>93</v>
      </c>
      <c r="B86" s="6">
        <f>VLOOKUP(A86,Spiele!$A$1:$L$116,2,FALSE)</f>
        <v>46209.583333333336</v>
      </c>
      <c r="C86" s="6" t="str">
        <f>VLOOKUP(A86,Spiele!$A$1:$L$116,9,FALSE)</f>
        <v>Dallas</v>
      </c>
      <c r="D86" s="256" t="str">
        <f t="shared" ca="1" si="43"/>
        <v>Portugal</v>
      </c>
      <c r="E86" s="15" t="s">
        <v>24</v>
      </c>
      <c r="F86" s="256" t="str">
        <f t="shared" ca="1" si="44"/>
        <v>Uruguay</v>
      </c>
      <c r="G86" s="3"/>
      <c r="H86" s="107">
        <f t="shared" ca="1" si="39"/>
        <v>2</v>
      </c>
      <c r="I86" s="11" t="s">
        <v>25</v>
      </c>
      <c r="J86" s="107">
        <f t="shared" ca="1" si="40"/>
        <v>1</v>
      </c>
      <c r="K86" s="7" t="s">
        <v>26</v>
      </c>
      <c r="L86" s="1"/>
      <c r="M86" s="257" t="str">
        <f t="shared" ca="1" si="41"/>
        <v>Portugal</v>
      </c>
      <c r="N86" s="1" t="str">
        <f>P74</f>
        <v>S12</v>
      </c>
      <c r="O86" s="1" t="str">
        <f>P73</f>
        <v>S11</v>
      </c>
      <c r="P86" s="14" t="s">
        <v>53</v>
      </c>
      <c r="Q86" s="3"/>
      <c r="R86" s="3"/>
      <c r="S86" s="62"/>
      <c r="T86" s="62"/>
      <c r="U86" s="62"/>
      <c r="V86" s="62"/>
      <c r="W86" s="62"/>
      <c r="Y86" s="206"/>
      <c r="Z86" s="206"/>
      <c r="AA86" s="206"/>
      <c r="AB86" s="206"/>
      <c r="AC86" s="206"/>
      <c r="AI86" s="206"/>
      <c r="AJ86" s="206"/>
      <c r="AK86" s="206"/>
      <c r="AL86" s="206"/>
      <c r="AM86" s="206"/>
      <c r="AN86" s="206"/>
      <c r="AO86" s="206"/>
      <c r="AP86" s="206"/>
      <c r="AX86" s="17">
        <f ca="1">IF(AY86="",0,IF($CX$97="",2*(D86=Ergebnisse!D86)+2*(F86=Ergebnisse!F86)+(SIGN(H86-J86)=SIGN(Ergebnisse!H86-Ergebnisse!J86))*7+(H86=Ergebnisse!H86)+(J86=Ergebnisse!J86),INT(RAND()*14)))</f>
        <v>7</v>
      </c>
      <c r="AY86" s="17" t="str">
        <f ca="1">IF(Ergebnisse!K86=Ergebnisse!$B$98,Ergebnisse!K86,"")</f>
        <v>ok</v>
      </c>
      <c r="AZ86" s="206"/>
      <c r="BB86" s="6"/>
      <c r="BC86" s="6"/>
      <c r="BD86" s="6"/>
      <c r="BE86" s="6"/>
      <c r="BF86" s="6"/>
      <c r="BG86" s="6"/>
      <c r="BH86" s="6"/>
      <c r="BI86" s="6"/>
      <c r="BJ86" s="6"/>
      <c r="BK86" s="6"/>
      <c r="BL86" s="6"/>
      <c r="BM86" s="6"/>
      <c r="BN86" s="6"/>
      <c r="BO86" s="1"/>
      <c r="BP86" s="1"/>
      <c r="BQ86" s="1"/>
      <c r="BR86" s="1"/>
      <c r="BS86" s="62"/>
      <c r="BT86" s="62"/>
      <c r="BU86" s="62"/>
      <c r="BV86" s="62"/>
      <c r="BW86" s="62"/>
      <c r="BX86" s="62"/>
      <c r="BY86" s="206"/>
      <c r="BZ86" s="206"/>
      <c r="CA86" s="206"/>
      <c r="CB86" s="206"/>
      <c r="CC86" s="206"/>
      <c r="CD86" s="206"/>
      <c r="CE86" s="206"/>
      <c r="CF86" s="206"/>
      <c r="CG86" s="206"/>
      <c r="CH86" s="206"/>
      <c r="CI86" s="206"/>
      <c r="CJ86" s="206"/>
      <c r="CK86" s="206"/>
      <c r="CL86" s="206"/>
      <c r="CM86" s="206"/>
      <c r="CN86" s="206"/>
      <c r="CO86" s="206"/>
      <c r="CP86" s="55"/>
      <c r="CQ86" s="55"/>
      <c r="CR86" s="55"/>
      <c r="CS86" s="55"/>
      <c r="CT86" s="55"/>
      <c r="CU86" s="55"/>
      <c r="CV86" s="55"/>
      <c r="CW86" s="55"/>
      <c r="CX86" s="1"/>
      <c r="CZ86" s="206"/>
    </row>
    <row r="87" spans="1:104">
      <c r="A87" s="2">
        <f t="shared" si="42"/>
        <v>94</v>
      </c>
      <c r="B87" s="6">
        <f>VLOOKUP(A87,Spiele!$A$1:$L$116,2,FALSE)</f>
        <v>46209.708333333336</v>
      </c>
      <c r="C87" s="6" t="str">
        <f>VLOOKUP(A87,Spiele!$A$1:$L$116,9,FALSE)</f>
        <v>Seattle</v>
      </c>
      <c r="D87" s="256" t="str">
        <f t="shared" ca="1" si="43"/>
        <v>Türkei</v>
      </c>
      <c r="E87" s="15" t="s">
        <v>24</v>
      </c>
      <c r="F87" s="256" t="str">
        <f t="shared" ca="1" si="44"/>
        <v>Neuseeland</v>
      </c>
      <c r="G87" s="3"/>
      <c r="H87" s="107">
        <f t="shared" ca="1" si="39"/>
        <v>2</v>
      </c>
      <c r="I87" s="11" t="s">
        <v>25</v>
      </c>
      <c r="J87" s="107">
        <f t="shared" ca="1" si="40"/>
        <v>1</v>
      </c>
      <c r="K87" s="7" t="s">
        <v>26</v>
      </c>
      <c r="L87" s="1"/>
      <c r="M87" s="257" t="str">
        <f t="shared" ca="1" si="41"/>
        <v>Türkei</v>
      </c>
      <c r="N87" s="1" t="str">
        <f>P72</f>
        <v>S10</v>
      </c>
      <c r="O87" s="1" t="str">
        <f>P71</f>
        <v>S09</v>
      </c>
      <c r="P87" s="14" t="s">
        <v>54</v>
      </c>
      <c r="Q87" s="3"/>
      <c r="R87" s="3"/>
      <c r="S87" s="62"/>
      <c r="T87" s="62"/>
      <c r="U87" s="62"/>
      <c r="V87" s="62"/>
      <c r="W87" s="62"/>
      <c r="Y87" s="206"/>
      <c r="Z87" s="206"/>
      <c r="AA87" s="206"/>
      <c r="AB87" s="206"/>
      <c r="AC87" s="206"/>
      <c r="AI87" s="206"/>
      <c r="AJ87" s="206"/>
      <c r="AK87" s="206"/>
      <c r="AL87" s="206"/>
      <c r="AM87" s="206"/>
      <c r="AN87" s="206"/>
      <c r="AO87" s="206"/>
      <c r="AP87" s="206"/>
      <c r="AX87" s="17">
        <f ca="1">IF(AY87="",0,IF($CX$97="",2*(D87=Ergebnisse!D87)+2*(F87=Ergebnisse!F87)+(SIGN(H87-J87)=SIGN(Ergebnisse!H87-Ergebnisse!J87))*7+(H87=Ergebnisse!H87)+(J87=Ergebnisse!J87),INT(RAND()*14)))</f>
        <v>4</v>
      </c>
      <c r="AY87" s="17" t="str">
        <f ca="1">IF(Ergebnisse!K87=Ergebnisse!$B$98,Ergebnisse!K87,"")</f>
        <v>ok</v>
      </c>
      <c r="AZ87" s="206"/>
      <c r="BB87" s="47" t="s">
        <v>55</v>
      </c>
      <c r="BC87" s="21"/>
      <c r="BD87" s="14"/>
      <c r="BE87" s="14"/>
      <c r="BF87" s="14"/>
      <c r="BG87" s="17"/>
      <c r="BH87" s="20"/>
      <c r="BI87" s="19"/>
      <c r="BJ87" s="20"/>
      <c r="BK87" s="181"/>
      <c r="BL87" s="17"/>
      <c r="BM87" s="21"/>
      <c r="BN87" s="17"/>
      <c r="BO87" s="17"/>
      <c r="BP87" s="17"/>
      <c r="BQ87" s="1"/>
      <c r="BR87" s="1"/>
      <c r="BS87" s="62"/>
      <c r="BT87" s="62"/>
      <c r="BU87" s="62"/>
      <c r="BV87" s="62"/>
      <c r="BW87" s="62"/>
      <c r="BX87" s="62"/>
      <c r="BY87" s="206"/>
      <c r="BZ87" s="206"/>
      <c r="CA87" s="206"/>
      <c r="CB87" s="206"/>
      <c r="CC87" s="206"/>
      <c r="CD87" s="206"/>
      <c r="CE87" s="206"/>
      <c r="CF87" s="206"/>
      <c r="CG87" s="206"/>
      <c r="CH87" s="206"/>
      <c r="CI87" s="206"/>
      <c r="CJ87" s="206"/>
      <c r="CK87" s="206"/>
      <c r="CL87" s="206"/>
      <c r="CM87" s="206"/>
      <c r="CN87" s="206"/>
      <c r="CO87" s="206"/>
      <c r="CP87" s="55"/>
      <c r="CQ87" s="55"/>
      <c r="CR87" s="55"/>
      <c r="CS87" s="55"/>
      <c r="CT87" s="55"/>
      <c r="CU87" s="55"/>
      <c r="CV87" s="55"/>
      <c r="CW87" s="55"/>
      <c r="CY87" s="17"/>
      <c r="CZ87" s="206"/>
    </row>
    <row r="88" spans="1:104">
      <c r="A88" s="2">
        <f t="shared" si="42"/>
        <v>95</v>
      </c>
      <c r="B88" s="6">
        <f>VLOOKUP(A88,Spiele!$A$1:$L$116,2,FALSE)</f>
        <v>46210.5</v>
      </c>
      <c r="C88" s="6" t="str">
        <f>VLOOKUP(A88,Spiele!$A$1:$L$116,9,FALSE)</f>
        <v>Atlanta</v>
      </c>
      <c r="D88" s="259" t="str">
        <f t="shared" ca="1" si="43"/>
        <v>Jordanien</v>
      </c>
      <c r="E88" s="15" t="s">
        <v>24</v>
      </c>
      <c r="F88" s="259" t="str">
        <f t="shared" ca="1" si="44"/>
        <v>USA</v>
      </c>
      <c r="G88" s="3"/>
      <c r="H88" s="107">
        <f t="shared" ca="1" si="39"/>
        <v>2</v>
      </c>
      <c r="I88" s="11" t="s">
        <v>25</v>
      </c>
      <c r="J88" s="107">
        <f t="shared" ca="1" si="40"/>
        <v>1</v>
      </c>
      <c r="K88" s="7" t="s">
        <v>26</v>
      </c>
      <c r="L88" s="1"/>
      <c r="M88" s="262" t="str">
        <f t="shared" ca="1" si="41"/>
        <v>Jordanien</v>
      </c>
      <c r="N88" s="1" t="str">
        <f>P77</f>
        <v>S15</v>
      </c>
      <c r="O88" s="1" t="str">
        <f>P76</f>
        <v>S14</v>
      </c>
      <c r="P88" s="14" t="s">
        <v>56</v>
      </c>
      <c r="Q88" s="3"/>
      <c r="R88" s="3"/>
      <c r="S88" s="62"/>
      <c r="T88" s="62"/>
      <c r="U88" s="62"/>
      <c r="V88" s="62"/>
      <c r="W88" s="62"/>
      <c r="Y88" s="206"/>
      <c r="Z88" s="206"/>
      <c r="AA88" s="206"/>
      <c r="AB88" s="206"/>
      <c r="AC88" s="206"/>
      <c r="AI88" s="206"/>
      <c r="AJ88" s="206"/>
      <c r="AK88" s="206"/>
      <c r="AL88" s="206"/>
      <c r="AM88" s="206"/>
      <c r="AN88" s="206"/>
      <c r="AO88" s="206"/>
      <c r="AP88" s="206"/>
      <c r="AX88" s="17">
        <f ca="1">IF(AY88="",0,IF($CX$97="",2*(D88=Ergebnisse!D88)+2*(F88=Ergebnisse!F88)+(SIGN(H88-J88)=SIGN(Ergebnisse!H88-Ergebnisse!J88))*7+(H88=Ergebnisse!H88)+(J88=Ergebnisse!J88),INT(RAND()*14)))</f>
        <v>0</v>
      </c>
      <c r="AY88" s="17" t="str">
        <f ca="1">IF(Ergebnisse!K88=Ergebnisse!$B$98,Ergebnisse!K88,"")</f>
        <v>ok</v>
      </c>
      <c r="AZ88" s="206"/>
      <c r="BB88" s="3" t="s">
        <v>22</v>
      </c>
      <c r="BC88" s="3" t="s">
        <v>23</v>
      </c>
      <c r="BD88" s="14"/>
      <c r="BE88" s="14"/>
      <c r="BF88" s="14"/>
      <c r="BG88" s="17"/>
      <c r="BH88" s="20"/>
      <c r="BI88" s="11"/>
      <c r="BJ88" s="20"/>
      <c r="BK88" s="181"/>
      <c r="BL88" s="1"/>
      <c r="BM88" s="3"/>
      <c r="BN88" s="1"/>
      <c r="BO88" s="1"/>
      <c r="BP88" s="1"/>
      <c r="BQ88" s="1"/>
      <c r="BR88" s="1"/>
      <c r="BS88" s="62"/>
      <c r="BT88" s="62"/>
      <c r="BU88" s="62"/>
      <c r="BV88" s="62"/>
      <c r="BW88" s="62"/>
      <c r="BX88" s="62"/>
      <c r="BY88" s="206"/>
      <c r="BZ88" s="206"/>
      <c r="CA88" s="206"/>
      <c r="CB88" s="206"/>
      <c r="CC88" s="206"/>
      <c r="CD88" s="206"/>
      <c r="CE88" s="206"/>
      <c r="CF88" s="206"/>
      <c r="CG88" s="206"/>
      <c r="CH88" s="206"/>
      <c r="CI88" s="206"/>
      <c r="CJ88" s="206"/>
      <c r="CK88" s="206"/>
      <c r="CL88" s="206"/>
      <c r="CM88" s="206"/>
      <c r="CN88" s="206"/>
      <c r="CO88" s="206"/>
      <c r="CP88" s="55"/>
      <c r="CQ88" s="55"/>
      <c r="CR88" s="55"/>
      <c r="CS88" s="55"/>
      <c r="CT88" s="55"/>
      <c r="CU88" s="55"/>
      <c r="CV88" s="55"/>
      <c r="CW88" s="55"/>
      <c r="CY88" s="17"/>
      <c r="CZ88" s="206"/>
    </row>
    <row r="89" spans="1:104">
      <c r="A89" s="2">
        <f>A88+1</f>
        <v>96</v>
      </c>
      <c r="B89" s="6">
        <f>VLOOKUP(A89,Spiele!$A$1:$L$116,2,FALSE)</f>
        <v>46210.541666666664</v>
      </c>
      <c r="C89" s="6" t="str">
        <f>VLOOKUP(A89,Spiele!$A$1:$L$116,9,FALSE)</f>
        <v>Vancouver</v>
      </c>
      <c r="D89" s="259" t="str">
        <f t="shared" ca="1" si="43"/>
        <v>Schweiz</v>
      </c>
      <c r="E89" s="15" t="s">
        <v>24</v>
      </c>
      <c r="F89" s="259" t="str">
        <f t="shared" ca="1" si="44"/>
        <v>Kolumbien</v>
      </c>
      <c r="G89" s="3"/>
      <c r="H89" s="107">
        <f t="shared" ca="1" si="39"/>
        <v>2</v>
      </c>
      <c r="I89" s="11" t="s">
        <v>25</v>
      </c>
      <c r="J89" s="107">
        <f t="shared" ca="1" si="40"/>
        <v>1</v>
      </c>
      <c r="K89" s="7" t="s">
        <v>26</v>
      </c>
      <c r="L89" s="1"/>
      <c r="M89" s="262" t="str">
        <f t="shared" ca="1" si="41"/>
        <v>Schweiz</v>
      </c>
      <c r="N89" s="1" t="str">
        <f>P75</f>
        <v>S13</v>
      </c>
      <c r="O89" s="1" t="str">
        <f>P78</f>
        <v>S16</v>
      </c>
      <c r="P89" s="14" t="s">
        <v>58</v>
      </c>
      <c r="Q89" s="3"/>
      <c r="R89" s="3"/>
      <c r="S89" s="62"/>
      <c r="T89" s="62"/>
      <c r="U89" s="62"/>
      <c r="V89" s="62"/>
      <c r="W89" s="62"/>
      <c r="Y89" s="206"/>
      <c r="Z89" s="206"/>
      <c r="AA89" s="206"/>
      <c r="AB89" s="206"/>
      <c r="AC89" s="206"/>
      <c r="AI89" s="206"/>
      <c r="AJ89" s="206"/>
      <c r="AK89" s="206"/>
      <c r="AL89" s="206"/>
      <c r="AM89" s="206"/>
      <c r="AN89" s="206"/>
      <c r="AO89" s="206"/>
      <c r="AP89" s="206"/>
      <c r="AX89" s="17">
        <f ca="1">IF(AY89="",0,IF($CX$97="",2*(D89=Ergebnisse!D89)+2*(F89=Ergebnisse!F89)+(SIGN(H89-J89)=SIGN(Ergebnisse!H89-Ergebnisse!J89))*7+(H89=Ergebnisse!H89)+(J89=Ergebnisse!J89),INT(RAND()*14)))</f>
        <v>7</v>
      </c>
      <c r="AY89" s="17" t="str">
        <f ca="1">IF(Ergebnisse!K89=Ergebnisse!$B$98,Ergebnisse!K89,"")</f>
        <v>ok</v>
      </c>
      <c r="AZ89" s="206"/>
      <c r="BA89" s="2">
        <f>BA85+1</f>
        <v>101</v>
      </c>
      <c r="BB89" s="6">
        <f>VLOOKUP(BA89,Spiele!$A$1:$L$116,2,FALSE)</f>
        <v>46217.583333333336</v>
      </c>
      <c r="BC89" s="6" t="str">
        <f>VLOOKUP(BA89,Spiele!$A$1:$L$116,9,FALSE)</f>
        <v>Dallas</v>
      </c>
      <c r="BD89" s="18" t="str">
        <f ca="1">INDEX($BM$82:$BM$85, MATCH(BN89, $BP$82:$BP$85, 0))</f>
        <v>Ecuador</v>
      </c>
      <c r="BE89" s="15" t="s">
        <v>24</v>
      </c>
      <c r="BF89" s="71" t="str">
        <f ca="1">INDEX($BM$82:$BM$85, MATCH(BO89, $BP$82:$BP$85, 0))</f>
        <v>Portugal</v>
      </c>
      <c r="BG89" s="17"/>
      <c r="BH89" s="107">
        <f ca="1">IF($B$99="",2,INT(RAND()*5)+INT(RAND()*3)*INT(RAND()*2))</f>
        <v>2</v>
      </c>
      <c r="BI89" s="11" t="s">
        <v>25</v>
      </c>
      <c r="BJ89" s="107">
        <f ca="1">IF($B$99="",1, BH89 + IF(BH89=0, 1, IF(BH89=9, -1, CHOOSE(INT(RAND()*2)+1, 1, -1))))</f>
        <v>1</v>
      </c>
      <c r="BK89" s="7" t="s">
        <v>26</v>
      </c>
      <c r="BL89" s="1"/>
      <c r="BM89" s="68" t="str">
        <f ca="1">IF(BJ89="","",IF(BJ89=BH89,"falsch!!! K.Remis",IF(BH89&gt;BJ89,BD89,BF89)))</f>
        <v>Ecuador</v>
      </c>
      <c r="BN89" s="1" t="str">
        <f>BP82</f>
        <v>VF1</v>
      </c>
      <c r="BO89" s="1" t="str">
        <f>BP83</f>
        <v>VF2</v>
      </c>
      <c r="BP89" s="1" t="s">
        <v>57</v>
      </c>
      <c r="BQ89" s="1"/>
      <c r="BR89" s="1"/>
      <c r="BS89" s="62"/>
      <c r="BT89" s="62"/>
      <c r="BU89" s="62"/>
      <c r="BV89" s="62"/>
      <c r="BW89" s="62"/>
      <c r="BX89" s="62"/>
      <c r="BY89" s="206"/>
      <c r="BZ89" s="206"/>
      <c r="CA89" s="206"/>
      <c r="CB89" s="206"/>
      <c r="CC89" s="206"/>
      <c r="CD89" s="206"/>
      <c r="CE89" s="206"/>
      <c r="CF89" s="206"/>
      <c r="CG89" s="206"/>
      <c r="CH89" s="206"/>
      <c r="CI89" s="206"/>
      <c r="CJ89" s="206"/>
      <c r="CK89" s="206"/>
      <c r="CL89" s="206"/>
      <c r="CM89" s="206"/>
      <c r="CN89" s="206"/>
      <c r="CO89" s="206"/>
      <c r="CP89" s="55"/>
      <c r="CQ89" s="55"/>
      <c r="CR89" s="55"/>
      <c r="CS89" s="55"/>
      <c r="CT89" s="55"/>
      <c r="CU89" s="55"/>
      <c r="CV89" s="55"/>
      <c r="CW89" s="55"/>
      <c r="CX89" s="17">
        <f ca="1">IF(CY89="",0,IF($CX$97="",IF(BD89=Ergebnisse!BD89,4,IF(COUNTIF(Ergebnisse!$BD$89:$BF$90,BD89)&gt;0,2,0))+IF(BF89=Ergebnisse!BF89,4,IF(COUNTIF(Ergebnisse!$BD$89:$BF$90,BF89)&gt;0,2,0))+(SIGN(BH89-BJ89)=SIGN(Ergebnisse!BH89-Ergebnisse!BJ89))*7+(BH89=Ergebnisse!BH89)+(BJ89=Ergebnisse!BJ89),INT(RAND()*18)))</f>
        <v>7</v>
      </c>
      <c r="CY89" s="17" t="str">
        <f ca="1">IF(Ergebnisse!BK89=Ergebnisse!$B$98,Ergebnisse!BK89,"")</f>
        <v>ok</v>
      </c>
      <c r="CZ89" s="206"/>
    </row>
    <row r="90" spans="1:104">
      <c r="E90" s="15"/>
      <c r="H90" s="2"/>
      <c r="I90" s="2"/>
      <c r="J90" s="2"/>
      <c r="K90" s="2"/>
      <c r="M90" s="2"/>
      <c r="S90" s="62"/>
      <c r="T90" s="62"/>
      <c r="U90" s="62"/>
      <c r="V90" s="62"/>
      <c r="W90" s="62"/>
      <c r="Y90" s="206"/>
      <c r="Z90" s="206"/>
      <c r="AA90" s="206"/>
      <c r="AB90" s="206"/>
      <c r="AC90" s="206"/>
      <c r="AI90" s="206"/>
      <c r="AJ90" s="206"/>
      <c r="AK90" s="206"/>
      <c r="AL90" s="206"/>
      <c r="AM90" s="206"/>
      <c r="AN90" s="206"/>
      <c r="AO90" s="206"/>
      <c r="AP90" s="206"/>
      <c r="AZ90" s="206"/>
      <c r="BA90" s="2">
        <f>BA89+1</f>
        <v>102</v>
      </c>
      <c r="BB90" s="6">
        <f>VLOOKUP(BA90,Spiele!$A$1:$L$116,2,FALSE)</f>
        <v>46218.625</v>
      </c>
      <c r="BC90" s="6" t="str">
        <f>VLOOKUP(BA90,Spiele!$A$1:$L$116,9,FALSE)</f>
        <v>Atlanta</v>
      </c>
      <c r="BD90" s="49" t="str">
        <f ca="1">INDEX($BM$82:$BM$85, MATCH(BN90, $BP$82:$BP$85, 0))</f>
        <v>Schottland</v>
      </c>
      <c r="BE90" s="15" t="s">
        <v>24</v>
      </c>
      <c r="BF90" s="48" t="str">
        <f ca="1">INDEX($BM$82:$BM$85, MATCH(BO90, $BP$82:$BP$85, 0))</f>
        <v>Jordanien</v>
      </c>
      <c r="BG90" s="17"/>
      <c r="BH90" s="107">
        <f ca="1">IF($B$99="",2,INT(RAND()*5)+INT(RAND()*3)*INT(RAND()*2))</f>
        <v>2</v>
      </c>
      <c r="BI90" s="11" t="s">
        <v>25</v>
      </c>
      <c r="BJ90" s="107">
        <f ca="1">IF($B$99="",1, BH90 + IF(BH90=0, 1, IF(BH90=9, -1, CHOOSE(INT(RAND()*2)+1, 1, -1))))</f>
        <v>1</v>
      </c>
      <c r="BK90" s="7" t="s">
        <v>26</v>
      </c>
      <c r="BL90" s="1"/>
      <c r="BM90" s="68" t="str">
        <f ca="1">IF(BJ90="","",IF(BJ90=BH90,"falsch!!! K.Remis",IF(BH90&gt;BJ90,BD90,BF90)))</f>
        <v>Schottland</v>
      </c>
      <c r="BN90" s="1" t="str">
        <f>BP84</f>
        <v>VF3</v>
      </c>
      <c r="BO90" s="1" t="str">
        <f>BP85</f>
        <v>VF4</v>
      </c>
      <c r="BP90" s="1" t="s">
        <v>59</v>
      </c>
      <c r="BQ90" s="1"/>
      <c r="BR90" s="1"/>
      <c r="BS90" s="62"/>
      <c r="BT90" s="62"/>
      <c r="BU90" s="62"/>
      <c r="BV90" s="62"/>
      <c r="BW90" s="62"/>
      <c r="BX90" s="62"/>
      <c r="BY90" s="206"/>
      <c r="BZ90" s="206"/>
      <c r="CA90" s="206"/>
      <c r="CB90" s="206"/>
      <c r="CC90" s="206"/>
      <c r="CD90" s="206"/>
      <c r="CE90" s="206"/>
      <c r="CF90" s="206"/>
      <c r="CG90" s="206"/>
      <c r="CH90" s="206"/>
      <c r="CI90" s="206"/>
      <c r="CJ90" s="206"/>
      <c r="CK90" s="206"/>
      <c r="CL90" s="206"/>
      <c r="CM90" s="206"/>
      <c r="CN90" s="206"/>
      <c r="CO90" s="206"/>
      <c r="CP90" s="55"/>
      <c r="CQ90" s="55"/>
      <c r="CR90" s="55"/>
      <c r="CS90" s="55"/>
      <c r="CT90" s="55"/>
      <c r="CU90" s="55"/>
      <c r="CV90" s="55"/>
      <c r="CW90" s="55"/>
      <c r="CX90" s="17">
        <f ca="1">IF(CY90="",0,IF($CX$97="",IF(BD90=Ergebnisse!BD90,4,IF(COUNTIF(Ergebnisse!$BD$89:$BF$90,BD90)&gt;0,2,0))+IF(BF90=Ergebnisse!BF90,4,IF(COUNTIF(Ergebnisse!$BD$89:$BF$90,BF90)&gt;0,2,0))+(SIGN(BH90-BJ90)=SIGN(Ergebnisse!BH90-Ergebnisse!BJ90))*7+(BH90=Ergebnisse!BH90)+(BJ90=Ergebnisse!BJ90),INT(RAND()*18)))</f>
        <v>9</v>
      </c>
      <c r="CY90" s="17" t="str">
        <f ca="1">IF(Ergebnisse!BK90=Ergebnisse!$B$98,Ergebnisse!BK90,"")</f>
        <v>ok</v>
      </c>
      <c r="CZ90" s="206"/>
    </row>
    <row r="91" spans="1:104">
      <c r="H91" s="2"/>
      <c r="I91" s="2"/>
      <c r="J91" s="2"/>
      <c r="K91" s="2"/>
      <c r="M91" s="2"/>
      <c r="S91" s="2"/>
      <c r="T91" s="2"/>
      <c r="U91" s="2"/>
      <c r="V91" s="2"/>
      <c r="W91" s="2"/>
      <c r="X91" s="2"/>
      <c r="Y91" s="2"/>
      <c r="Z91" s="2"/>
      <c r="AA91" s="2"/>
      <c r="AB91" s="2"/>
      <c r="AC91" s="2"/>
      <c r="AI91" s="2"/>
      <c r="AJ91" s="2"/>
      <c r="AK91" s="2"/>
      <c r="AL91" s="2"/>
      <c r="AM91" s="2"/>
      <c r="AN91" s="2"/>
      <c r="AO91" s="2"/>
      <c r="AP91" s="2"/>
      <c r="AQ91" s="2"/>
      <c r="AR91" s="2"/>
      <c r="AS91" s="2"/>
      <c r="AT91" s="2"/>
      <c r="AU91" s="2"/>
      <c r="AV91" s="2"/>
      <c r="AY91" s="17"/>
      <c r="AZ91" s="206"/>
      <c r="BB91" s="1"/>
      <c r="BC91" s="3"/>
      <c r="BD91" s="14"/>
      <c r="BE91" s="14"/>
      <c r="BF91" s="14"/>
      <c r="BG91" s="17"/>
      <c r="BH91" s="20"/>
      <c r="BI91" s="11"/>
      <c r="BJ91" s="20"/>
      <c r="BK91" s="181"/>
      <c r="BL91" s="1"/>
      <c r="BM91" s="50" t="str">
        <f ca="1">IF(BD89=BM89,BF89,BD89)</f>
        <v>Portugal</v>
      </c>
      <c r="BN91" s="1"/>
      <c r="BO91" s="1"/>
      <c r="BP91" s="1" t="s">
        <v>60</v>
      </c>
      <c r="BQ91" s="1"/>
      <c r="BR91" s="1"/>
      <c r="BS91" s="62"/>
      <c r="BT91" s="62"/>
      <c r="BU91" s="62"/>
      <c r="BV91" s="62"/>
      <c r="BW91" s="62"/>
      <c r="BX91" s="62"/>
      <c r="BY91" s="206"/>
      <c r="BZ91" s="206"/>
      <c r="CA91" s="206"/>
      <c r="CB91" s="206"/>
      <c r="CC91" s="206"/>
      <c r="CD91" s="206"/>
      <c r="CE91" s="206"/>
      <c r="CF91" s="206"/>
      <c r="CG91" s="206"/>
      <c r="CH91" s="206"/>
      <c r="CI91" s="206"/>
      <c r="CJ91" s="206"/>
      <c r="CK91" s="206"/>
      <c r="CL91" s="206"/>
      <c r="CM91" s="206"/>
      <c r="CN91" s="206"/>
      <c r="CO91" s="206"/>
      <c r="CP91" s="55"/>
      <c r="CQ91" s="55"/>
      <c r="CR91" s="55"/>
      <c r="CS91" s="55"/>
      <c r="CT91" s="55"/>
      <c r="CU91" s="55"/>
      <c r="CV91" s="55"/>
      <c r="CW91" s="55"/>
      <c r="CX91" s="1"/>
      <c r="CZ91" s="206"/>
    </row>
    <row r="92" spans="1:104">
      <c r="B92" s="51" t="s">
        <v>62</v>
      </c>
      <c r="C92" s="3"/>
      <c r="D92" s="10"/>
      <c r="E92" s="16"/>
      <c r="F92" s="10"/>
      <c r="G92" s="10"/>
      <c r="H92" s="23"/>
      <c r="J92" s="23"/>
      <c r="K92" s="181"/>
      <c r="M92" s="2"/>
      <c r="P92" s="1"/>
      <c r="AY92" s="17" t="str">
        <f>IF(Ergebnisse!K59=Ergebnisse!$B$98,Ergebnisse!K59,"")</f>
        <v/>
      </c>
      <c r="AZ92" s="206"/>
      <c r="BB92" s="51" t="s">
        <v>64</v>
      </c>
      <c r="BC92" s="3"/>
      <c r="BD92" s="10"/>
      <c r="BE92" s="16"/>
      <c r="BF92" s="10"/>
      <c r="BG92" s="10"/>
      <c r="BH92" s="23"/>
      <c r="BJ92" s="23"/>
      <c r="BK92" s="181"/>
      <c r="BM92" s="50" t="str">
        <f ca="1">IF(BD90=BM90,BF90,BD90)</f>
        <v>Jordanien</v>
      </c>
      <c r="BP92" s="1" t="s">
        <v>61</v>
      </c>
      <c r="BS92" s="55"/>
      <c r="BT92" s="55"/>
      <c r="BU92" s="55"/>
      <c r="BV92" s="55"/>
      <c r="BW92" s="55"/>
      <c r="BX92" s="55"/>
      <c r="BY92" s="206"/>
      <c r="BZ92" s="206"/>
      <c r="CA92" s="206"/>
      <c r="CB92" s="206"/>
      <c r="CC92" s="206"/>
      <c r="CD92" s="206"/>
      <c r="CE92" s="206"/>
      <c r="CF92" s="206"/>
      <c r="CG92" s="206"/>
      <c r="CH92" s="206"/>
      <c r="CI92" s="206"/>
      <c r="CJ92" s="206"/>
      <c r="CK92" s="206"/>
      <c r="CL92" s="206"/>
      <c r="CM92" s="206"/>
      <c r="CN92" s="206"/>
      <c r="CO92" s="206"/>
      <c r="CP92" s="55"/>
      <c r="CQ92" s="55"/>
      <c r="CR92" s="55"/>
      <c r="CS92" s="55"/>
      <c r="CT92" s="55"/>
      <c r="CU92" s="55"/>
      <c r="CV92" s="55"/>
      <c r="CW92" s="55"/>
      <c r="CY92" s="17"/>
      <c r="CZ92" s="206"/>
    </row>
    <row r="93" spans="1:104">
      <c r="B93" s="3" t="s">
        <v>22</v>
      </c>
      <c r="C93" s="3" t="s">
        <v>23</v>
      </c>
      <c r="D93" s="10"/>
      <c r="E93" s="16"/>
      <c r="F93" s="10"/>
      <c r="G93" s="10"/>
      <c r="H93" s="64"/>
      <c r="J93" s="64"/>
      <c r="K93" s="181"/>
      <c r="M93" s="2" t="s">
        <v>63</v>
      </c>
      <c r="P93" s="1"/>
      <c r="Q93" s="1"/>
      <c r="R93" s="1"/>
      <c r="S93" s="62"/>
      <c r="T93" s="62"/>
      <c r="U93" s="62"/>
      <c r="V93" s="62"/>
      <c r="W93" s="62"/>
      <c r="AO93" s="62"/>
      <c r="AX93" s="17">
        <f ca="1">IF(M94=Ergebnisse!M94,24,0)</f>
        <v>0</v>
      </c>
      <c r="AY93" s="17" t="str">
        <f ca="1">IF(Ergebnisse!K94=Ergebnisse!$B$98,Ergebnisse!K94,"")</f>
        <v>ok</v>
      </c>
      <c r="AZ93" s="206"/>
      <c r="BB93" s="3" t="s">
        <v>22</v>
      </c>
      <c r="BC93" s="3" t="s">
        <v>23</v>
      </c>
      <c r="BD93" s="10"/>
      <c r="BE93" s="16"/>
      <c r="BF93" s="10"/>
      <c r="BG93" s="10"/>
      <c r="BH93" s="23"/>
      <c r="BJ93" s="64"/>
      <c r="BK93" s="181"/>
      <c r="BM93" s="2"/>
      <c r="BP93" s="1"/>
      <c r="BQ93" s="1"/>
      <c r="BR93" s="1"/>
      <c r="BS93" s="62"/>
      <c r="BT93" s="62"/>
      <c r="BU93" s="62"/>
      <c r="BV93" s="62"/>
      <c r="BW93" s="62"/>
      <c r="BX93" s="55"/>
      <c r="BZ93" s="55"/>
      <c r="CA93" s="55"/>
      <c r="CB93" s="55"/>
      <c r="CC93" s="55"/>
      <c r="CD93" s="206"/>
      <c r="CE93" s="206"/>
      <c r="CF93" s="204"/>
      <c r="CG93" s="62"/>
      <c r="CH93" s="62"/>
      <c r="CI93" s="55"/>
      <c r="CJ93" s="55"/>
      <c r="CK93" s="55"/>
      <c r="CL93" s="55"/>
      <c r="CM93" s="55"/>
      <c r="CN93" s="55"/>
      <c r="CO93" s="62"/>
      <c r="CP93" s="55"/>
      <c r="CQ93" s="55"/>
      <c r="CR93" s="55"/>
      <c r="CS93" s="55"/>
      <c r="CT93" s="55"/>
      <c r="CU93" s="55"/>
      <c r="CV93" s="55"/>
      <c r="CW93" s="55"/>
      <c r="CY93" s="17"/>
      <c r="CZ93" s="206"/>
    </row>
    <row r="94" spans="1:104">
      <c r="A94" s="2">
        <f>BA94+1</f>
        <v>104</v>
      </c>
      <c r="B94" s="6">
        <f>VLOOKUP(A94,Spiele!$A$1:$L$116,2,FALSE)</f>
        <v>46222.625</v>
      </c>
      <c r="C94" s="6" t="str">
        <f>VLOOKUP(A94,Spiele!$A$1:$L$116,9,FALSE)</f>
        <v>New York</v>
      </c>
      <c r="D94" s="33" t="str">
        <f ca="1">BM89</f>
        <v>Ecuador</v>
      </c>
      <c r="E94" s="21" t="s">
        <v>24</v>
      </c>
      <c r="F94" s="33" t="str">
        <f ca="1">BM90</f>
        <v>Schottland</v>
      </c>
      <c r="G94" s="17"/>
      <c r="H94" s="107">
        <f ca="1">IF($B$99="",2,INT(RAND()*5)+INT(RAND()*3)*INT(RAND()*2))</f>
        <v>2</v>
      </c>
      <c r="I94" s="11" t="s">
        <v>25</v>
      </c>
      <c r="J94" s="107">
        <f ca="1">IF($B$99="",1, H94 + IF(H94=0, 1, IF(H94=9, -1, CHOOSE(INT(RAND()*2)+1, 1, -1))))</f>
        <v>1</v>
      </c>
      <c r="K94" s="7" t="s">
        <v>26</v>
      </c>
      <c r="L94" s="1"/>
      <c r="M94" s="52" t="str">
        <f ca="1">IF(J94="","",IF(J94=H94,"falsch!!! K.Remis",IF(H94&gt;J94,D94,F94)))</f>
        <v>Ecuador</v>
      </c>
      <c r="N94" s="1" t="str">
        <f>BP89</f>
        <v>F1</v>
      </c>
      <c r="O94" s="1" t="str">
        <f>BP90</f>
        <v>F2</v>
      </c>
      <c r="Q94" s="1"/>
      <c r="R94" s="1"/>
      <c r="S94" s="62"/>
      <c r="T94" s="62"/>
      <c r="U94" s="62"/>
      <c r="V94" s="62"/>
      <c r="W94" s="62"/>
      <c r="AO94" s="62"/>
      <c r="AX94" s="17">
        <f ca="1">IF(AY94="",0,IF($CX$97="",  4*(D94=Ergebnisse!D94) + 4*(F94=Ergebnisse!F94) + (SIGN(H94-J94)=SIGN(Ergebnisse!H94-Ergebnisse!J94))*7 + (H94=Ergebnisse!H94) + (J94=Ergebnisse!J94), INT(RAND()*18)))</f>
        <v>0</v>
      </c>
      <c r="AY94" s="17" t="str">
        <f ca="1">IF(Ergebnisse!K94=Ergebnisse!$B$98,Ergebnisse!K94,"")</f>
        <v>ok</v>
      </c>
      <c r="AZ94" s="206"/>
      <c r="BA94" s="2">
        <f>BA90+1</f>
        <v>103</v>
      </c>
      <c r="BB94" s="6">
        <f>VLOOKUP(BA94,Spiele!$A$1:$L$116,2,FALSE)</f>
        <v>46221.708333333336</v>
      </c>
      <c r="BC94" s="6" t="str">
        <f>VLOOKUP(BA94,Spiele!$A$1:$L$116,9,FALSE)</f>
        <v>Miami</v>
      </c>
      <c r="BD94" s="22" t="str">
        <f ca="1">BM91</f>
        <v>Portugal</v>
      </c>
      <c r="BE94" s="21" t="s">
        <v>24</v>
      </c>
      <c r="BF94" s="22" t="str">
        <f ca="1">BM92</f>
        <v>Jordanien</v>
      </c>
      <c r="BG94" s="17"/>
      <c r="BH94" s="107">
        <f ca="1">IF($B$99="",2,INT(RAND()*5)+INT(RAND()*3)*INT(RAND()*2))</f>
        <v>2</v>
      </c>
      <c r="BI94" s="11" t="s">
        <v>25</v>
      </c>
      <c r="BJ94" s="107">
        <f ca="1">IF($B$99="",1, BH94 + IF(BH94=0, 1, IF(BH94=9, -1, CHOOSE(INT(RAND()*2)+1, 1, -1))))</f>
        <v>1</v>
      </c>
      <c r="BK94" s="7" t="s">
        <v>26</v>
      </c>
      <c r="BL94" s="1"/>
      <c r="BM94" s="3" t="str">
        <f ca="1">IF(BJ94="","",IF(BJ94=BH94,"falsch!!! K.Remis",IF(BH94&gt;BJ94,BD94,BF94)))</f>
        <v>Portugal</v>
      </c>
      <c r="BN94" s="1" t="str">
        <f>BP91</f>
        <v>HF1</v>
      </c>
      <c r="BO94" s="1" t="str">
        <f>BP92</f>
        <v>HF2</v>
      </c>
      <c r="BQ94" s="1"/>
      <c r="BR94" s="1"/>
      <c r="BS94" s="62"/>
      <c r="BT94" s="62"/>
      <c r="BU94" s="62"/>
      <c r="BV94" s="62"/>
      <c r="BW94" s="62"/>
      <c r="BX94" s="55"/>
      <c r="BZ94" s="55"/>
      <c r="CA94" s="55"/>
      <c r="CB94" s="55"/>
      <c r="CC94" s="55"/>
      <c r="CD94" s="206"/>
      <c r="CE94" s="206"/>
      <c r="CF94" s="204"/>
      <c r="CG94" s="62"/>
      <c r="CH94" s="62"/>
      <c r="CI94" s="55"/>
      <c r="CJ94" s="55"/>
      <c r="CK94" s="55"/>
      <c r="CL94" s="55"/>
      <c r="CM94" s="55"/>
      <c r="CN94" s="55"/>
      <c r="CO94" s="62"/>
      <c r="CP94" s="55"/>
      <c r="CQ94" s="55"/>
      <c r="CR94" s="55"/>
      <c r="CS94" s="55"/>
      <c r="CT94" s="55"/>
      <c r="CU94" s="55"/>
      <c r="CV94" s="55"/>
      <c r="CW94" s="55"/>
      <c r="CX94" s="17">
        <f ca="1">IF(CY94="",0,IF($CX$97="",  4*(BD94=Ergebnisse!BD94) + 4*(BF94=Ergebnisse!BF94) + (SIGN(BH94-BJ94)=SIGN(Ergebnisse!BH94-Ergebnisse!BJ94))*7 + (BH94=Ergebnisse!BH94) + (BJ94=Ergebnisse!BJ94), INT(RAND()*18)))</f>
        <v>7</v>
      </c>
      <c r="CY94" s="17" t="str">
        <f ca="1">IF(Ergebnisse!BK94=Ergebnisse!$B$98,Ergebnisse!BK94,"")</f>
        <v>ok</v>
      </c>
      <c r="CZ94" s="206"/>
    </row>
    <row r="95" spans="1:104">
      <c r="H95" s="2"/>
      <c r="I95" s="2"/>
      <c r="J95" s="2"/>
      <c r="K95" s="2"/>
      <c r="M95" s="2"/>
      <c r="S95" s="2"/>
      <c r="T95" s="2"/>
      <c r="U95" s="2"/>
      <c r="V95" s="2"/>
      <c r="W95" s="2"/>
      <c r="X95" s="2"/>
      <c r="Y95" s="2"/>
      <c r="Z95" s="2"/>
      <c r="AA95" s="2"/>
      <c r="AB95" s="2"/>
      <c r="AC95" s="2"/>
      <c r="AD95" s="2"/>
      <c r="AI95" s="2"/>
      <c r="AJ95" s="2"/>
      <c r="AK95" s="2"/>
      <c r="AL95" s="2"/>
      <c r="AM95" s="2"/>
      <c r="AN95" s="2"/>
      <c r="AO95" s="2"/>
      <c r="AP95" s="2"/>
      <c r="AQ95" s="2"/>
      <c r="AR95" s="2"/>
      <c r="AS95" s="2"/>
      <c r="AT95" s="2"/>
      <c r="AU95" s="2"/>
      <c r="AV95" s="2"/>
      <c r="AZ95" s="206"/>
      <c r="BD95" s="10"/>
      <c r="BE95" s="16"/>
      <c r="BF95" s="10"/>
      <c r="BG95" s="10"/>
      <c r="BH95" s="23"/>
      <c r="BJ95" s="23"/>
      <c r="BK95" s="181"/>
      <c r="BM95" s="2"/>
      <c r="BQ95" s="1"/>
      <c r="BR95" s="1"/>
      <c r="BS95" s="62"/>
      <c r="BT95" s="62"/>
      <c r="BU95" s="62"/>
      <c r="BV95" s="62"/>
      <c r="BW95" s="62"/>
      <c r="BX95" s="55"/>
      <c r="BZ95" s="55"/>
      <c r="CA95" s="55"/>
      <c r="CB95" s="55"/>
      <c r="CC95" s="55"/>
      <c r="CD95" s="206"/>
      <c r="CE95" s="206"/>
      <c r="CF95" s="204"/>
      <c r="CG95" s="62"/>
      <c r="CH95" s="62"/>
      <c r="CI95" s="55"/>
      <c r="CJ95" s="55"/>
      <c r="CK95" s="55"/>
      <c r="CL95" s="55"/>
      <c r="CM95" s="55"/>
      <c r="CN95" s="55"/>
      <c r="CO95" s="62"/>
      <c r="CP95" s="55"/>
      <c r="CQ95" s="55"/>
      <c r="CR95" s="55"/>
      <c r="CS95" s="55"/>
      <c r="CT95" s="55"/>
      <c r="CU95" s="55"/>
      <c r="CV95" s="55"/>
      <c r="CW95" s="55"/>
      <c r="CZ95" s="206"/>
    </row>
    <row r="96" spans="1:104" ht="15.75">
      <c r="H96" s="2"/>
      <c r="I96" s="2"/>
      <c r="J96" s="2"/>
      <c r="K96" s="2"/>
      <c r="M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78">
        <f ca="1">SUMIF(AY1:AY94,Ergebnisse!$B$98,AX1:AX94)</f>
        <v>180</v>
      </c>
      <c r="AZ96" s="2"/>
      <c r="BA96"/>
      <c r="BB96"/>
      <c r="BC96"/>
      <c r="BD96"/>
      <c r="BE96"/>
      <c r="BF96"/>
      <c r="BG96"/>
      <c r="BH96"/>
      <c r="BI96"/>
      <c r="BJ96"/>
      <c r="BK96"/>
      <c r="BL96"/>
      <c r="BM96"/>
      <c r="BN96"/>
      <c r="BO96"/>
      <c r="BP96"/>
      <c r="BQ96"/>
      <c r="BR96"/>
      <c r="BS96"/>
      <c r="BT96"/>
      <c r="BU96"/>
      <c r="BV96"/>
      <c r="BW96"/>
      <c r="BX96"/>
      <c r="BY96"/>
      <c r="BZ96"/>
      <c r="CA96"/>
      <c r="CB96"/>
      <c r="CC96"/>
      <c r="CD96"/>
      <c r="CE96"/>
      <c r="CF96"/>
      <c r="CG96" s="206"/>
      <c r="CH96" s="206"/>
      <c r="CI96" s="206"/>
      <c r="CJ96" s="206"/>
      <c r="CK96" s="206"/>
      <c r="CL96" s="206"/>
      <c r="CM96" s="206"/>
      <c r="CN96" s="206"/>
      <c r="CO96" s="206"/>
      <c r="CX96" s="78">
        <f ca="1">SUMIF(CY1:CY94,Ergebnisse!$B$98,CX1:CX94)</f>
        <v>125</v>
      </c>
    </row>
    <row r="97" spans="1:103" ht="13.5" thickBot="1">
      <c r="H97" s="8"/>
      <c r="I97" s="8"/>
      <c r="J97" s="8"/>
      <c r="K97" s="8"/>
      <c r="M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17">
        <f>IF(ISNA(Historie!B172),0,Historie!B172)</f>
        <v>0</v>
      </c>
      <c r="AY97" s="2" t="s">
        <v>200</v>
      </c>
      <c r="AZ97" s="2"/>
      <c r="BH97" s="8"/>
      <c r="BI97" s="8"/>
      <c r="BJ97" s="8"/>
      <c r="BK97" s="8"/>
      <c r="BM97" s="2"/>
      <c r="BY97" s="2"/>
      <c r="CY97" s="1" t="s">
        <v>85</v>
      </c>
    </row>
    <row r="98" spans="1:103" ht="17.25" thickTop="1" thickBot="1">
      <c r="B98" s="202" t="s">
        <v>26</v>
      </c>
      <c r="C98" s="1" t="s">
        <v>20</v>
      </c>
      <c r="D98" s="3"/>
      <c r="E98" s="3"/>
      <c r="F98" s="3"/>
      <c r="G98" s="82"/>
      <c r="H98" s="178"/>
      <c r="AD98" s="63"/>
      <c r="AX98" s="77">
        <f ca="1">AX96+CX96+AX97</f>
        <v>305</v>
      </c>
      <c r="AY98" s="1" t="s">
        <v>86</v>
      </c>
      <c r="BH98" s="8"/>
      <c r="BI98" s="8"/>
      <c r="BJ98" s="8"/>
      <c r="BK98" s="8"/>
      <c r="CD98" s="3"/>
      <c r="CY98" s="17"/>
    </row>
    <row r="99" spans="1:103" ht="14.25" thickTop="1" thickBot="1">
      <c r="B99" s="179"/>
      <c r="C99" s="1" t="s">
        <v>115</v>
      </c>
      <c r="E99" s="3"/>
      <c r="F99" s="3"/>
      <c r="AD99" s="63"/>
      <c r="BH99" s="8"/>
      <c r="BI99" s="8"/>
      <c r="BJ99" s="8"/>
      <c r="BK99" s="8"/>
      <c r="CD99" s="3"/>
    </row>
    <row r="100" spans="1:103" ht="14.25" thickTop="1" thickBot="1">
      <c r="A100" s="82"/>
      <c r="B100" s="179">
        <f ca="1">IF($B$99="",1,INT(RAND()*5)+INT(RAND()*3)*INT(RAND()*2))</f>
        <v>1</v>
      </c>
      <c r="C100" s="1" t="s">
        <v>65</v>
      </c>
      <c r="E100" s="3"/>
      <c r="F100" s="3"/>
      <c r="AD100" s="63"/>
      <c r="BH100" s="8"/>
      <c r="BI100" s="8"/>
      <c r="BJ100" s="8"/>
      <c r="BK100" s="8"/>
      <c r="CD100" s="3"/>
    </row>
    <row r="101" spans="1:103" ht="13.5" thickTop="1"/>
    <row r="104" spans="1:103">
      <c r="AX104" s="13"/>
      <c r="AY104" s="13"/>
      <c r="CY104" s="17"/>
    </row>
  </sheetData>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DD104"/>
  <sheetViews>
    <sheetView topLeftCell="A58" zoomScaleNormal="100" workbookViewId="0">
      <selection activeCell="H98" sqref="H98"/>
    </sheetView>
  </sheetViews>
  <sheetFormatPr baseColWidth="10" defaultRowHeight="12.75"/>
  <cols>
    <col min="1" max="1" width="4.28515625" style="2" customWidth="1"/>
    <col min="2" max="2" width="15.28515625" style="2" customWidth="1"/>
    <col min="3" max="4" width="14.28515625" style="2" customWidth="1"/>
    <col min="5" max="5" width="2" style="2" customWidth="1"/>
    <col min="6" max="6" width="14.28515625" style="2" customWidth="1"/>
    <col min="7" max="7" width="1.5703125" style="2" customWidth="1"/>
    <col min="8" max="8" width="3.5703125" style="12" customWidth="1"/>
    <col min="9" max="9" width="1.5703125" style="12" customWidth="1"/>
    <col min="10" max="10" width="3.5703125" style="12" customWidth="1"/>
    <col min="11" max="11" width="3" style="7" customWidth="1"/>
    <col min="12" max="12" width="2" style="2" customWidth="1"/>
    <col min="13" max="13" width="14.28515625" style="9" customWidth="1"/>
    <col min="14" max="17" width="4.28515625" style="2" hidden="1" customWidth="1"/>
    <col min="18" max="18" width="3.85546875" style="2" hidden="1" customWidth="1"/>
    <col min="19" max="22" width="2" style="55" hidden="1" customWidth="1"/>
    <col min="23" max="23" width="1.7109375" style="55" hidden="1" customWidth="1"/>
    <col min="24" max="24" width="3" style="55" hidden="1" customWidth="1"/>
    <col min="25" max="25" width="14.28515625" style="55" hidden="1" customWidth="1"/>
    <col min="26" max="26" width="2.28515625" style="55" hidden="1" customWidth="1"/>
    <col min="27" max="27" width="3.28515625" style="55" hidden="1" customWidth="1"/>
    <col min="28" max="28" width="3" style="55" hidden="1" customWidth="1"/>
    <col min="29" max="29" width="4.42578125" style="55" hidden="1" customWidth="1"/>
    <col min="30" max="30" width="19.28515625" style="55" hidden="1" customWidth="1"/>
    <col min="31" max="31" width="3.140625" style="55" hidden="1" customWidth="1"/>
    <col min="32" max="32" width="3.5703125" style="55" hidden="1" customWidth="1"/>
    <col min="33" max="36" width="2.85546875" style="55" hidden="1" customWidth="1"/>
    <col min="37" max="37" width="3.140625" style="55" hidden="1" customWidth="1"/>
    <col min="38" max="38" width="6.42578125" style="55" hidden="1" customWidth="1"/>
    <col min="39" max="42" width="2.85546875" style="55" hidden="1" customWidth="1"/>
    <col min="43" max="43" width="7.7109375" style="55" hidden="1" customWidth="1"/>
    <col min="44" max="47" width="3" style="55" hidden="1" customWidth="1"/>
    <col min="48" max="48" width="3.140625" style="55" hidden="1" customWidth="1"/>
    <col min="49" max="49" width="11.42578125" style="55" customWidth="1"/>
    <col min="50" max="50" width="8.85546875" style="1" customWidth="1"/>
    <col min="51" max="51" width="7.140625" style="1" customWidth="1"/>
    <col min="52" max="52" width="11.42578125" style="55" customWidth="1"/>
    <col min="53" max="53" width="5" style="2" customWidth="1"/>
    <col min="54" max="54" width="15.28515625" style="2" customWidth="1"/>
    <col min="55" max="56" width="14.28515625" style="2" customWidth="1"/>
    <col min="57" max="57" width="2" style="2" customWidth="1"/>
    <col min="58" max="58" width="14.28515625" style="2" customWidth="1"/>
    <col min="59" max="59" width="1.5703125" style="2" customWidth="1"/>
    <col min="60" max="60" width="3.5703125" style="12" customWidth="1"/>
    <col min="61" max="61" width="1.5703125" style="12" customWidth="1"/>
    <col min="62" max="62" width="3.5703125" style="12" customWidth="1"/>
    <col min="63" max="63" width="3" style="7" customWidth="1"/>
    <col min="64" max="64" width="2" style="2" customWidth="1"/>
    <col min="65" max="65" width="14.28515625" style="9" customWidth="1"/>
    <col min="66" max="69" width="4.28515625" style="2" hidden="1" customWidth="1"/>
    <col min="70" max="70" width="3.85546875" style="2" hidden="1" customWidth="1"/>
    <col min="71" max="74" width="2" style="2" hidden="1" customWidth="1"/>
    <col min="75" max="75" width="1.7109375" style="2" hidden="1" customWidth="1"/>
    <col min="76" max="76" width="3" style="2" hidden="1" customWidth="1"/>
    <col min="77" max="77" width="14.28515625" style="55" hidden="1" customWidth="1"/>
    <col min="78" max="78" width="2.28515625" style="2" hidden="1" customWidth="1"/>
    <col min="79" max="79" width="3.28515625" style="2" hidden="1" customWidth="1"/>
    <col min="80" max="80" width="3" style="2" hidden="1" customWidth="1"/>
    <col min="81" max="81" width="4.42578125" style="2" hidden="1" customWidth="1"/>
    <col min="82" max="82" width="19.28515625" style="2" hidden="1" customWidth="1"/>
    <col min="83" max="100" width="5" style="2" hidden="1" customWidth="1"/>
    <col min="101" max="101" width="11.42578125" style="2" customWidth="1"/>
    <col min="102" max="102" width="8.85546875" style="17" customWidth="1"/>
    <col min="103" max="103" width="7.28515625" style="1" customWidth="1"/>
    <col min="104" max="104" width="11.42578125" style="2"/>
    <col min="105" max="105" width="36.7109375" style="2" bestFit="1" customWidth="1"/>
    <col min="106" max="106" width="9.140625" style="2" customWidth="1"/>
    <col min="107" max="108" width="10.7109375" customWidth="1"/>
    <col min="109" max="16384" width="11.42578125" style="2"/>
  </cols>
  <sheetData>
    <row r="1" spans="1:106" s="10" customFormat="1" ht="14.25" thickTop="1" thickBot="1">
      <c r="A1" s="10" t="s">
        <v>72</v>
      </c>
      <c r="B1" s="28" t="s">
        <v>0</v>
      </c>
      <c r="C1" s="26" t="s">
        <v>1</v>
      </c>
      <c r="D1" s="17" t="s">
        <v>2</v>
      </c>
      <c r="E1" s="14"/>
      <c r="F1" s="17"/>
      <c r="G1" s="172"/>
      <c r="H1" s="173"/>
      <c r="I1" s="19"/>
      <c r="J1" s="20"/>
      <c r="K1" s="180"/>
      <c r="L1" s="17"/>
      <c r="M1" s="35"/>
      <c r="N1" s="17"/>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X1" s="28">
        <f ca="1">IF($CX$97="",2*COUNTIF(Ergebnisse!$D$63:'Ergebnisse'!$F$78,M7),2*INT(RAND()*2))</f>
        <v>2</v>
      </c>
      <c r="AY1" s="17" t="str">
        <f ca="1">IF(COUNTIF(Ergebnisse!K3:'Ergebnisse'!K8,Ergebnisse!$B$98)=6,"ok","")</f>
        <v>ok</v>
      </c>
      <c r="BA1" s="10" t="s">
        <v>72</v>
      </c>
      <c r="BB1" s="76" t="s">
        <v>0</v>
      </c>
      <c r="BC1" s="177" t="s">
        <v>40</v>
      </c>
      <c r="BD1" s="53" t="s">
        <v>2</v>
      </c>
      <c r="BE1" s="54"/>
      <c r="BF1" s="53"/>
      <c r="BG1" s="53"/>
      <c r="BH1" s="20"/>
      <c r="BI1" s="19"/>
      <c r="BJ1" s="20"/>
      <c r="BK1" s="180"/>
      <c r="BL1" s="17"/>
      <c r="BM1" s="35"/>
      <c r="BN1" s="17"/>
      <c r="BO1" s="17"/>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76">
        <f ca="1">IF($CX$97="",2*COUNTIF(Ergebnisse!$D$63:'Ergebnisse'!$F$78,BM7),2*INT(RAND()*2))</f>
        <v>2</v>
      </c>
      <c r="CY1" s="17" t="str">
        <f ca="1">IF(COUNTIF(Ergebnisse!BK3:'Ergebnisse'!BK8,Ergebnisse!$B$98)=6,"ok","")</f>
        <v>ok</v>
      </c>
      <c r="DA1" s="163" t="s">
        <v>124</v>
      </c>
      <c r="DB1" s="164"/>
    </row>
    <row r="2" spans="1:106" ht="13.5" thickTop="1">
      <c r="B2" s="3" t="s">
        <v>22</v>
      </c>
      <c r="C2" s="3" t="s">
        <v>23</v>
      </c>
      <c r="L2" s="1"/>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8">
        <f ca="1">IF($CX$97="",2*COUNTIF(Ergebnisse!$D$63:'Ergebnisse'!$F$78,M8),2*INT(RAND()*2))</f>
        <v>2</v>
      </c>
      <c r="AY2" s="17" t="str">
        <f ca="1">IF(COUNTIF(Ergebnisse!K3:'Ergebnisse'!K8,Ergebnisse!$B$98)=6,"ok","")</f>
        <v>ok</v>
      </c>
      <c r="AZ2" s="2"/>
      <c r="BB2" s="3" t="s">
        <v>22</v>
      </c>
      <c r="BC2" s="3" t="s">
        <v>23</v>
      </c>
      <c r="BD2" s="55"/>
      <c r="BE2" s="55"/>
      <c r="BF2" s="55"/>
      <c r="BG2" s="55"/>
      <c r="BL2" s="1"/>
      <c r="BY2" s="2"/>
      <c r="CX2" s="76">
        <f ca="1">IF($CX$97="",2*COUNTIF(Ergebnisse!$D$63:'Ergebnisse'!$F$78,BM8),2*INT(RAND()*2))</f>
        <v>2</v>
      </c>
      <c r="CY2" s="17" t="str">
        <f ca="1">IF(COUNTIF(Ergebnisse!BK3:'Ergebnisse'!BK8,Ergebnisse!$B$98)=6,"ok","")</f>
        <v>ok</v>
      </c>
      <c r="DA2" s="163"/>
      <c r="DB2" s="164"/>
    </row>
    <row r="3" spans="1:106">
      <c r="A3" s="2">
        <f>IF(Ergebnisse!A3="","",Ergebnisse!A3)</f>
        <v>1</v>
      </c>
      <c r="B3" s="6">
        <f>IF(Ergebnisse!B3="","",Ergebnisse!B3)</f>
        <v>46184.583333333336</v>
      </c>
      <c r="C3" s="6" t="str">
        <f>IF(Ergebnisse!C3="","",Ergebnisse!C3)</f>
        <v>Mexico City</v>
      </c>
      <c r="D3" s="56" t="str">
        <f>IF(Ergebnisse!D3="","",Ergebnisse!D3)</f>
        <v>Mexiko</v>
      </c>
      <c r="E3" s="40"/>
      <c r="F3" s="56" t="str">
        <f>IF(Ergebnisse!F3="","",Ergebnisse!F3)</f>
        <v>Südafrika</v>
      </c>
      <c r="G3" s="53"/>
      <c r="H3" s="57">
        <f ca="1">IF(Ergebnisse!H3="","",Ergebnisse!H3)</f>
        <v>5</v>
      </c>
      <c r="I3" s="11" t="s">
        <v>25</v>
      </c>
      <c r="J3" s="57">
        <f ca="1">IF(Ergebnisse!J3="","",Ergebnisse!J3)</f>
        <v>4</v>
      </c>
      <c r="L3" s="1"/>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17">
        <f ca="1">IF($CX$97="",IF(OR(Ergebnisse!H3="",Ergebnisse!J3=""),0,IF(AND(H3=Ergebnisse!H3,J3=Ergebnisse!J3),7,MIN(7,(H3-J3=Ergebnisse!H3-Ergebnisse!J3)*4+(AND(H3-J3&lt;&gt;Ergebnisse!H3-Ergebnisse!J3,SIGN(H3-J3)=SIGN(Ergebnisse!H3-Ergebnisse!J3)))*2+(H3=Ergebnisse!H3)+(J3=Ergebnisse!J3)))),INT(RAND()*8))</f>
        <v>7</v>
      </c>
      <c r="AY3" s="17" t="str">
        <f ca="1">IF(Ergebnisse!K3=Ergebnisse!$B$98,Ergebnisse!K3,"")</f>
        <v>ok</v>
      </c>
      <c r="AZ3" s="2"/>
      <c r="BA3" s="2">
        <f>IF(Ergebnisse!BA3="","",Ergebnisse!BA3)</f>
        <v>4</v>
      </c>
      <c r="BB3" s="6">
        <f>IF(Ergebnisse!BB3="","",Ergebnisse!BB3)</f>
        <v>46185.75</v>
      </c>
      <c r="BC3" s="6" t="str">
        <f>IF(Ergebnisse!BC3="","",Ergebnisse!BC3)</f>
        <v>Los Angeles</v>
      </c>
      <c r="BD3" s="56" t="str">
        <f>IF(Ergebnisse!BD3="","",Ergebnisse!BD3)</f>
        <v>USA</v>
      </c>
      <c r="BE3" s="40"/>
      <c r="BF3" s="56" t="str">
        <f>IF(Ergebnisse!BF3="","",Ergebnisse!BF3)</f>
        <v>Paraguay</v>
      </c>
      <c r="BG3" s="53"/>
      <c r="BH3" s="107">
        <f ca="1">IF(Ergebnisse!BH3="","",Ergebnisse!BH3)</f>
        <v>1</v>
      </c>
      <c r="BI3" s="11" t="s">
        <v>25</v>
      </c>
      <c r="BJ3" s="107">
        <f ca="1">IF(Ergebnisse!BJ3="","",Ergebnisse!BJ3)</f>
        <v>1</v>
      </c>
      <c r="BL3" s="1"/>
      <c r="BY3" s="2"/>
      <c r="CX3" s="17">
        <f ca="1">IF($CX$97="",IF(OR(Ergebnisse!BH3="",Ergebnisse!BJ3=""),0,IF(AND(BH3=Ergebnisse!BH3,BJ3=Ergebnisse!BJ3),7,MIN(7,(BH3-BJ3=Ergebnisse!BH3-Ergebnisse!BJ3)*4+(AND(BH3-BJ3&lt;&gt;Ergebnisse!BH3-Ergebnisse!BJ3,SIGN(BH3-BJ3)=SIGN(Ergebnisse!BH3-Ergebnisse!BJ3)))*2+(BH3=Ergebnisse!BH3)+(BJ3=Ergebnisse!BJ3)))),INT(RAND()*8))</f>
        <v>7</v>
      </c>
      <c r="CY3" s="17" t="str">
        <f ca="1">IF(Ergebnisse!BK3=Ergebnisse!$B$98,Ergebnisse!BK3,"")</f>
        <v>ok</v>
      </c>
      <c r="DA3" s="165" t="s">
        <v>73</v>
      </c>
      <c r="DB3" s="166">
        <f>DB7*DB4</f>
        <v>504</v>
      </c>
    </row>
    <row r="4" spans="1:106">
      <c r="A4" s="2">
        <f>IF(Ergebnisse!A4="","",Ergebnisse!A4)</f>
        <v>2</v>
      </c>
      <c r="B4" s="6">
        <f>IF(Ergebnisse!B4="","",Ergebnisse!B4)</f>
        <v>46184.875</v>
      </c>
      <c r="C4" s="6" t="str">
        <f>IF(Ergebnisse!C4="","",Ergebnisse!C4)</f>
        <v>Guadalajara</v>
      </c>
      <c r="D4" s="56" t="str">
        <f>IF(Ergebnisse!D4="","",Ergebnisse!D4)</f>
        <v>Südkorea</v>
      </c>
      <c r="E4" s="40"/>
      <c r="F4" s="56" t="str">
        <f>IF(Ergebnisse!F4="","",Ergebnisse!F4)</f>
        <v>Tschechien</v>
      </c>
      <c r="G4" s="53"/>
      <c r="H4" s="57">
        <f ca="1">IF(Ergebnisse!H4="","",Ergebnisse!H4)</f>
        <v>3</v>
      </c>
      <c r="I4" s="11" t="s">
        <v>25</v>
      </c>
      <c r="J4" s="57">
        <f ca="1">IF(Ergebnisse!J4="","",Ergebnisse!J4)</f>
        <v>4</v>
      </c>
      <c r="L4" s="1"/>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17">
        <f ca="1">IF($CX$97="",IF(OR(Ergebnisse!H4="",Ergebnisse!J4=""),0,IF(AND(H4=Ergebnisse!H4,J4=Ergebnisse!J4),7,MIN(7,(H4-J4=Ergebnisse!H4-Ergebnisse!J4)*4+(AND(H4-J4&lt;&gt;Ergebnisse!H4-Ergebnisse!J4,SIGN(H4-J4)=SIGN(Ergebnisse!H4-Ergebnisse!J4)))*2+(H4=Ergebnisse!H4)+(J4=Ergebnisse!J4)))),INT(RAND()*8))</f>
        <v>7</v>
      </c>
      <c r="AY4" s="17" t="str">
        <f ca="1">IF(Ergebnisse!K4=Ergebnisse!$B$98,Ergebnisse!K4,"")</f>
        <v>ok</v>
      </c>
      <c r="AZ4" s="2"/>
      <c r="BA4" s="2">
        <f>IF(Ergebnisse!BA4="","",Ergebnisse!BA4)</f>
        <v>6</v>
      </c>
      <c r="BB4" s="6">
        <f>IF(Ergebnisse!BB4="","",Ergebnisse!BB4)</f>
        <v>46186.875</v>
      </c>
      <c r="BC4" s="6" t="str">
        <f>IF(Ergebnisse!BC4="","",Ergebnisse!BC4)</f>
        <v>Vancouver</v>
      </c>
      <c r="BD4" s="56" t="str">
        <f>IF(Ergebnisse!BD4="","",Ergebnisse!BD4)</f>
        <v>Australien</v>
      </c>
      <c r="BE4" s="40"/>
      <c r="BF4" s="56" t="str">
        <f>IF(Ergebnisse!BF4="","",Ergebnisse!BF4)</f>
        <v>Türkei</v>
      </c>
      <c r="BG4" s="53"/>
      <c r="BH4" s="107">
        <f ca="1">IF(Ergebnisse!BH4="","",Ergebnisse!BH4)</f>
        <v>6</v>
      </c>
      <c r="BI4" s="11" t="s">
        <v>25</v>
      </c>
      <c r="BJ4" s="107">
        <f ca="1">IF(Ergebnisse!BJ4="","",Ergebnisse!BJ4)</f>
        <v>2</v>
      </c>
      <c r="BL4" s="1"/>
      <c r="BY4" s="2"/>
      <c r="CX4" s="17">
        <f ca="1">IF($CX$97="",IF(OR(Ergebnisse!BH4="",Ergebnisse!BJ4=""),0,IF(AND(BH4=Ergebnisse!BH4,BJ4=Ergebnisse!BJ4),7,MIN(7,(BH4-BJ4=Ergebnisse!BH4-Ergebnisse!BJ4)*4+(AND(BH4-BJ4&lt;&gt;Ergebnisse!BH4-Ergebnisse!BJ4,SIGN(BH4-BJ4)=SIGN(Ergebnisse!BH4-Ergebnisse!BJ4)))*2+(BH4=Ergebnisse!BH4)+(BJ4=Ergebnisse!BJ4)))),INT(RAND()*8))</f>
        <v>7</v>
      </c>
      <c r="CY4" s="17" t="str">
        <f ca="1">IF(Ergebnisse!BK4=Ergebnisse!$B$98,Ergebnisse!BK4,"")</f>
        <v>ok</v>
      </c>
      <c r="DA4" s="167" t="s">
        <v>78</v>
      </c>
      <c r="DB4" s="270">
        <v>7</v>
      </c>
    </row>
    <row r="5" spans="1:106">
      <c r="A5" s="2">
        <f>IF(Ergebnisse!A5="","",Ergebnisse!A5)</f>
        <v>28</v>
      </c>
      <c r="B5" s="6">
        <f>IF(Ergebnisse!B5="","",Ergebnisse!B5)</f>
        <v>46191.833333333336</v>
      </c>
      <c r="C5" s="6" t="str">
        <f>IF(Ergebnisse!C5="","",Ergebnisse!C5)</f>
        <v>Guadalajara</v>
      </c>
      <c r="D5" s="56" t="str">
        <f>IF(Ergebnisse!D5="","",Ergebnisse!D5)</f>
        <v>Mexiko</v>
      </c>
      <c r="E5" s="40"/>
      <c r="F5" s="56" t="str">
        <f>IF(Ergebnisse!F5="","",Ergebnisse!F5)</f>
        <v>Südkorea</v>
      </c>
      <c r="G5" s="53"/>
      <c r="H5" s="57">
        <f ca="1">IF(Ergebnisse!H5="","",Ergebnisse!H5)</f>
        <v>0</v>
      </c>
      <c r="I5" s="11" t="s">
        <v>25</v>
      </c>
      <c r="J5" s="57">
        <f ca="1">IF(Ergebnisse!J5="","",Ergebnisse!J5)</f>
        <v>6</v>
      </c>
      <c r="L5" s="1"/>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17">
        <f ca="1">IF($CX$97="",IF(OR(Ergebnisse!H5="",Ergebnisse!J5=""),0,IF(AND(H5=Ergebnisse!H5,J5=Ergebnisse!J5),7,MIN(7,(H5-J5=Ergebnisse!H5-Ergebnisse!J5)*4+(AND(H5-J5&lt;&gt;Ergebnisse!H5-Ergebnisse!J5,SIGN(H5-J5)=SIGN(Ergebnisse!H5-Ergebnisse!J5)))*2+(H5=Ergebnisse!H5)+(J5=Ergebnisse!J5)))),INT(RAND()*8))</f>
        <v>7</v>
      </c>
      <c r="AY5" s="17" t="str">
        <f ca="1">IF(Ergebnisse!K5=Ergebnisse!$B$98,Ergebnisse!K5,"")</f>
        <v>ok</v>
      </c>
      <c r="AZ5" s="2"/>
      <c r="BA5" s="2">
        <f>IF(Ergebnisse!BA5="","",Ergebnisse!BA5)</f>
        <v>32</v>
      </c>
      <c r="BB5" s="6">
        <f>IF(Ergebnisse!BB5="","",Ergebnisse!BB5)</f>
        <v>46192.5</v>
      </c>
      <c r="BC5" s="6" t="str">
        <f>IF(Ergebnisse!BC5="","",Ergebnisse!BC5)</f>
        <v>Seattle</v>
      </c>
      <c r="BD5" s="56" t="str">
        <f>IF(Ergebnisse!BD5="","",Ergebnisse!BD5)</f>
        <v>USA</v>
      </c>
      <c r="BE5" s="40"/>
      <c r="BF5" s="56" t="str">
        <f>IF(Ergebnisse!BF5="","",Ergebnisse!BF5)</f>
        <v>Australien</v>
      </c>
      <c r="BG5" s="53"/>
      <c r="BH5" s="107">
        <f ca="1">IF(Ergebnisse!BH5="","",Ergebnisse!BH5)</f>
        <v>1</v>
      </c>
      <c r="BI5" s="11" t="s">
        <v>25</v>
      </c>
      <c r="BJ5" s="107">
        <f ca="1">IF(Ergebnisse!BJ5="","",Ergebnisse!BJ5)</f>
        <v>1</v>
      </c>
      <c r="BL5" s="1"/>
      <c r="BY5" s="2"/>
      <c r="CX5" s="17">
        <f ca="1">IF($CX$97="",IF(OR(Ergebnisse!BH5="",Ergebnisse!BJ5=""),0,IF(AND(BH5=Ergebnisse!BH5,BJ5=Ergebnisse!BJ5),7,MIN(7,(BH5-BJ5=Ergebnisse!BH5-Ergebnisse!BJ5)*4+(AND(BH5-BJ5&lt;&gt;Ergebnisse!BH5-Ergebnisse!BJ5,SIGN(BH5-BJ5)=SIGN(Ergebnisse!BH5-Ergebnisse!BJ5)))*2+(BH5=Ergebnisse!BH5)+(BJ5=Ergebnisse!BJ5)))),INT(RAND()*8))</f>
        <v>7</v>
      </c>
      <c r="CY5" s="17" t="str">
        <f ca="1">IF(Ergebnisse!BK5=Ergebnisse!$B$98,Ergebnisse!BK5,"")</f>
        <v>ok</v>
      </c>
      <c r="DA5" s="167" t="s">
        <v>79</v>
      </c>
      <c r="DB5" s="270">
        <v>4</v>
      </c>
    </row>
    <row r="6" spans="1:106">
      <c r="A6" s="2">
        <f>IF(Ergebnisse!A6="","",Ergebnisse!A6)</f>
        <v>25</v>
      </c>
      <c r="B6" s="6">
        <f>IF(Ergebnisse!B6="","",Ergebnisse!B6)</f>
        <v>46191.5</v>
      </c>
      <c r="C6" s="6" t="str">
        <f>IF(Ergebnisse!C6="","",Ergebnisse!C6)</f>
        <v>Atlanta</v>
      </c>
      <c r="D6" s="56" t="str">
        <f>IF(Ergebnisse!D6="","",Ergebnisse!D6)</f>
        <v>Tschechien</v>
      </c>
      <c r="E6" s="40"/>
      <c r="F6" s="56" t="str">
        <f>IF(Ergebnisse!F6="","",Ergebnisse!F6)</f>
        <v>Südafrika</v>
      </c>
      <c r="G6" s="53"/>
      <c r="H6" s="57">
        <f ca="1">IF(Ergebnisse!H6="","",Ergebnisse!H6)</f>
        <v>2</v>
      </c>
      <c r="I6" s="11" t="s">
        <v>25</v>
      </c>
      <c r="J6" s="57">
        <f ca="1">IF(Ergebnisse!J6="","",Ergebnisse!J6)</f>
        <v>3</v>
      </c>
      <c r="L6" s="1"/>
      <c r="N6" s="1"/>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17">
        <f ca="1">IF($CX$97="",IF(OR(Ergebnisse!H6="",Ergebnisse!J6=""),0,IF(AND(H6=Ergebnisse!H6,J6=Ergebnisse!J6),7,MIN(7,(H6-J6=Ergebnisse!H6-Ergebnisse!J6)*4+(AND(H6-J6&lt;&gt;Ergebnisse!H6-Ergebnisse!J6,SIGN(H6-J6)=SIGN(Ergebnisse!H6-Ergebnisse!J6)))*2+(H6=Ergebnisse!H6)+(J6=Ergebnisse!J6)))),INT(RAND()*8))</f>
        <v>7</v>
      </c>
      <c r="AY6" s="17" t="str">
        <f ca="1">IF(Ergebnisse!K6=Ergebnisse!$B$98,Ergebnisse!K6,"")</f>
        <v>ok</v>
      </c>
      <c r="AZ6" s="2"/>
      <c r="BA6" s="2">
        <f>IF(Ergebnisse!BA6="","",Ergebnisse!BA6)</f>
        <v>31</v>
      </c>
      <c r="BB6" s="6">
        <f>IF(Ergebnisse!BB6="","",Ergebnisse!BB6)</f>
        <v>46192.875</v>
      </c>
      <c r="BC6" s="6" t="str">
        <f>IF(Ergebnisse!BC6="","",Ergebnisse!BC6)</f>
        <v>San Francisco</v>
      </c>
      <c r="BD6" s="56" t="str">
        <f>IF(Ergebnisse!BD6="","",Ergebnisse!BD6)</f>
        <v>Türkei</v>
      </c>
      <c r="BE6" s="40"/>
      <c r="BF6" s="56" t="str">
        <f>IF(Ergebnisse!BF6="","",Ergebnisse!BF6)</f>
        <v>Paraguay</v>
      </c>
      <c r="BG6" s="53"/>
      <c r="BH6" s="107">
        <f ca="1">IF(Ergebnisse!BH6="","",Ergebnisse!BH6)</f>
        <v>4</v>
      </c>
      <c r="BI6" s="11" t="s">
        <v>25</v>
      </c>
      <c r="BJ6" s="107">
        <f ca="1">IF(Ergebnisse!BJ6="","",Ergebnisse!BJ6)</f>
        <v>1</v>
      </c>
      <c r="BL6" s="1"/>
      <c r="BN6" s="1"/>
      <c r="BY6" s="2"/>
      <c r="CX6" s="17">
        <f ca="1">IF($CX$97="",IF(OR(Ergebnisse!BH6="",Ergebnisse!BJ6=""),0,IF(AND(BH6=Ergebnisse!BH6,BJ6=Ergebnisse!BJ6),7,MIN(7,(BH6-BJ6=Ergebnisse!BH6-Ergebnisse!BJ6)*4+(AND(BH6-BJ6&lt;&gt;Ergebnisse!BH6-Ergebnisse!BJ6,SIGN(BH6-BJ6)=SIGN(Ergebnisse!BH6-Ergebnisse!BJ6)))*2+(BH6=Ergebnisse!BH6)+(BJ6=Ergebnisse!BJ6)))),INT(RAND()*8))</f>
        <v>7</v>
      </c>
      <c r="CY6" s="17" t="str">
        <f ca="1">IF(Ergebnisse!BK6=Ergebnisse!$B$98,Ergebnisse!BK6,"")</f>
        <v>ok</v>
      </c>
      <c r="DA6" s="167" t="s">
        <v>80</v>
      </c>
      <c r="DB6" s="270">
        <v>2</v>
      </c>
    </row>
    <row r="7" spans="1:106">
      <c r="A7" s="2">
        <f>IF(Ergebnisse!A7="","",Ergebnisse!A7)</f>
        <v>53</v>
      </c>
      <c r="B7" s="6">
        <f>IF(Ergebnisse!B7="","",Ergebnisse!B7)</f>
        <v>46197.833333333336</v>
      </c>
      <c r="C7" s="6" t="str">
        <f>IF(Ergebnisse!C7="","",Ergebnisse!C7)</f>
        <v>Mexico City</v>
      </c>
      <c r="D7" s="56" t="str">
        <f>IF(Ergebnisse!D7="","",Ergebnisse!D7)</f>
        <v>Tschechien</v>
      </c>
      <c r="E7" s="40"/>
      <c r="F7" s="56" t="str">
        <f>IF(Ergebnisse!F7="","",Ergebnisse!F7)</f>
        <v>Mexiko</v>
      </c>
      <c r="G7" s="55"/>
      <c r="H7" s="57">
        <f ca="1">IF(Ergebnisse!H7="","",Ergebnisse!H7)</f>
        <v>6</v>
      </c>
      <c r="I7" s="11" t="s">
        <v>25</v>
      </c>
      <c r="J7" s="57">
        <f ca="1">IF(Ergebnisse!J7="","",Ergebnisse!J7)</f>
        <v>1</v>
      </c>
      <c r="M7" s="36" t="str">
        <f ca="1">IF(Ergebnisse!M7="","",Ergebnisse!M7)</f>
        <v>Südafrika</v>
      </c>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17">
        <f ca="1">IF($CX$97="",IF(OR(Ergebnisse!H7="",Ergebnisse!J7=""),0,IF(AND(H7=Ergebnisse!H7,J7=Ergebnisse!J7),7,MIN(7,(H7-J7=Ergebnisse!H7-Ergebnisse!J7)*4+(AND(H7-J7&lt;&gt;Ergebnisse!H7-Ergebnisse!J7,SIGN(H7-J7)=SIGN(Ergebnisse!H7-Ergebnisse!J7)))*2+(H7=Ergebnisse!H7)+(J7=Ergebnisse!J7)))),INT(RAND()*8))</f>
        <v>7</v>
      </c>
      <c r="AY7" s="17" t="str">
        <f ca="1">IF(Ergebnisse!K7=Ergebnisse!$B$98,Ergebnisse!K7,"")</f>
        <v>ok</v>
      </c>
      <c r="AZ7" s="2"/>
      <c r="BA7" s="2">
        <f>IF(Ergebnisse!BA7="","",Ergebnisse!BA7)</f>
        <v>59</v>
      </c>
      <c r="BB7" s="6">
        <f>IF(Ergebnisse!BB7="","",Ergebnisse!BB7)</f>
        <v>46198.791666666664</v>
      </c>
      <c r="BC7" s="6" t="str">
        <f>IF(Ergebnisse!BC7="","",Ergebnisse!BC7)</f>
        <v>Los Angeles</v>
      </c>
      <c r="BD7" s="56" t="str">
        <f>IF(Ergebnisse!BD7="","",Ergebnisse!BD7)</f>
        <v>Türkei</v>
      </c>
      <c r="BE7" s="40"/>
      <c r="BF7" s="56" t="str">
        <f>IF(Ergebnisse!BF7="","",Ergebnisse!BF7)</f>
        <v>USA</v>
      </c>
      <c r="BG7" s="55"/>
      <c r="BH7" s="107">
        <f ca="1">IF(Ergebnisse!BH7="","",Ergebnisse!BH7)</f>
        <v>2</v>
      </c>
      <c r="BI7" s="11" t="s">
        <v>25</v>
      </c>
      <c r="BJ7" s="107">
        <f ca="1">IF(Ergebnisse!BJ7="","",Ergebnisse!BJ7)</f>
        <v>1</v>
      </c>
      <c r="BM7" s="177" t="str">
        <f ca="1">IF(Ergebnisse!BM7="","",Ergebnisse!BM7)</f>
        <v>Türkei</v>
      </c>
      <c r="BY7" s="2"/>
      <c r="CX7" s="17">
        <f ca="1">IF($CX$97="",IF(OR(Ergebnisse!BH7="",Ergebnisse!BJ7=""),0,IF(AND(BH7=Ergebnisse!BH7,BJ7=Ergebnisse!BJ7),7,MIN(7,(BH7-BJ7=Ergebnisse!BH7-Ergebnisse!BJ7)*4+(AND(BH7-BJ7&lt;&gt;Ergebnisse!BH7-Ergebnisse!BJ7,SIGN(BH7-BJ7)=SIGN(Ergebnisse!BH7-Ergebnisse!BJ7)))*2+(BH7=Ergebnisse!BH7)+(BJ7=Ergebnisse!BJ7)))),INT(RAND()*8))</f>
        <v>7</v>
      </c>
      <c r="CY7" s="17" t="str">
        <f ca="1">IF(Ergebnisse!BK7=Ergebnisse!$B$98,Ergebnisse!BK7,"")</f>
        <v>ok</v>
      </c>
      <c r="DA7" s="168" t="s">
        <v>452</v>
      </c>
      <c r="DB7" s="169">
        <v>72</v>
      </c>
    </row>
    <row r="8" spans="1:106">
      <c r="A8" s="2">
        <f>IF(Ergebnisse!A8="","",Ergebnisse!A8)</f>
        <v>54</v>
      </c>
      <c r="B8" s="6">
        <f>IF(Ergebnisse!B8="","",Ergebnisse!B8)</f>
        <v>46197.833333333336</v>
      </c>
      <c r="C8" s="6" t="str">
        <f>IF(Ergebnisse!C8="","",Ergebnisse!C8)</f>
        <v>Monterrey</v>
      </c>
      <c r="D8" s="56" t="str">
        <f>IF(Ergebnisse!D8="","",Ergebnisse!D8)</f>
        <v>Südafrika</v>
      </c>
      <c r="E8" s="40"/>
      <c r="F8" s="56" t="str">
        <f>IF(Ergebnisse!F8="","",Ergebnisse!F8)</f>
        <v>Südkorea</v>
      </c>
      <c r="G8" s="55"/>
      <c r="H8" s="57">
        <f ca="1">IF(Ergebnisse!H8="","",Ergebnisse!H8)</f>
        <v>3</v>
      </c>
      <c r="I8" s="11" t="s">
        <v>25</v>
      </c>
      <c r="J8" s="57">
        <f ca="1">IF(Ergebnisse!J8="","",Ergebnisse!J8)</f>
        <v>0</v>
      </c>
      <c r="M8" s="36" t="str">
        <f ca="1">IF(Ergebnisse!M8="","",Ergebnisse!M8)</f>
        <v>Tschechien</v>
      </c>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17">
        <f ca="1">IF($CX$97="",IF(OR(Ergebnisse!H8="",Ergebnisse!J8=""),0,IF(AND(H8=Ergebnisse!H8,J8=Ergebnisse!J8),7,MIN(7,(H8-J8=Ergebnisse!H8-Ergebnisse!J8)*4+(AND(H8-J8&lt;&gt;Ergebnisse!H8-Ergebnisse!J8,SIGN(H8-J8)=SIGN(Ergebnisse!H8-Ergebnisse!J8)))*2+(H8=Ergebnisse!H8)+(J8=Ergebnisse!J8)))),INT(RAND()*8))</f>
        <v>7</v>
      </c>
      <c r="AY8" s="17" t="str">
        <f ca="1">IF(Ergebnisse!K8=Ergebnisse!$B$98,Ergebnisse!K8,"")</f>
        <v>ok</v>
      </c>
      <c r="AZ8" s="2"/>
      <c r="BA8" s="2">
        <f>IF(Ergebnisse!BA8="","",Ergebnisse!BA8)</f>
        <v>60</v>
      </c>
      <c r="BB8" s="6">
        <f>IF(Ergebnisse!BB8="","",Ergebnisse!BB8)</f>
        <v>46198.791666666664</v>
      </c>
      <c r="BC8" s="6" t="str">
        <f>IF(Ergebnisse!BC8="","",Ergebnisse!BC8)</f>
        <v>San Francisco</v>
      </c>
      <c r="BD8" s="56" t="str">
        <f>IF(Ergebnisse!BD8="","",Ergebnisse!BD8)</f>
        <v>Paraguay</v>
      </c>
      <c r="BE8" s="40"/>
      <c r="BF8" s="56" t="str">
        <f>IF(Ergebnisse!BF8="","",Ergebnisse!BF8)</f>
        <v>Australien</v>
      </c>
      <c r="BG8" s="55"/>
      <c r="BH8" s="107">
        <f ca="1">IF(Ergebnisse!BH8="","",Ergebnisse!BH8)</f>
        <v>0</v>
      </c>
      <c r="BI8" s="11" t="s">
        <v>25</v>
      </c>
      <c r="BJ8" s="107">
        <f ca="1">IF(Ergebnisse!BJ8="","",Ergebnisse!BJ8)</f>
        <v>0</v>
      </c>
      <c r="BM8" s="177" t="str">
        <f ca="1">IF(Ergebnisse!BM8="","",Ergebnisse!BM8)</f>
        <v>Australien</v>
      </c>
      <c r="BY8" s="2"/>
      <c r="CX8" s="17">
        <f ca="1">IF($CX$97="",IF(OR(Ergebnisse!BH8="",Ergebnisse!BJ8=""),0,IF(AND(BH8=Ergebnisse!BH8,BJ8=Ergebnisse!BJ8),7,MIN(7,(BH8-BJ8=Ergebnisse!BH8-Ergebnisse!BJ8)*4+(AND(BH8-BJ8&lt;&gt;Ergebnisse!BH8-Ergebnisse!BJ8,SIGN(BH8-BJ8)=SIGN(Ergebnisse!BH8-Ergebnisse!BJ8)))*2+(BH8=Ergebnisse!BH8)+(BJ8=Ergebnisse!BJ8)))),INT(RAND()*8))</f>
        <v>7</v>
      </c>
      <c r="CY8" s="17" t="str">
        <f ca="1">IF(Ergebnisse!BK8=Ergebnisse!$B$98,Ergebnisse!BK8,"")</f>
        <v>ok</v>
      </c>
      <c r="DA8" s="163"/>
      <c r="DB8" s="164"/>
    </row>
    <row r="9" spans="1:106">
      <c r="E9" s="55"/>
      <c r="F9" s="55"/>
      <c r="G9" s="55"/>
      <c r="M9" s="36" t="str">
        <f ca="1">IF(Ergebnisse!M9="","",Ergebnisse!M9)</f>
        <v>Südkorea</v>
      </c>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8">
        <f ca="1">IF($CX$97="",2*COUNTIF(Ergebnisse!$D$63:'Ergebnisse'!$F$78,M9),2*INT(RAND()*2))</f>
        <v>2</v>
      </c>
      <c r="AY9" s="17" t="str">
        <f ca="1">IF(COUNTIF(Ergebnisse!K3:'Ergebnisse'!K8,Ergebnisse!$B$98)=6,"ok","")</f>
        <v>ok</v>
      </c>
      <c r="AZ9" s="2"/>
      <c r="BE9" s="55"/>
      <c r="BF9" s="55"/>
      <c r="BG9" s="55"/>
      <c r="BM9" s="177" t="str">
        <f ca="1">IF(Ergebnisse!BM9="","",Ergebnisse!BM9)</f>
        <v>USA</v>
      </c>
      <c r="BY9" s="2"/>
      <c r="CX9" s="76">
        <f ca="1">IF($CX$97="",2*COUNTIF(Ergebnisse!$D$63:'Ergebnisse'!$F$78,BM9),2*INT(RAND()*2))</f>
        <v>0</v>
      </c>
      <c r="CY9" s="17" t="str">
        <f ca="1">IF(COUNTIF(Ergebnisse!BK3:'Ergebnisse'!BK8,Ergebnisse!$B$98)=6,"ok","")</f>
        <v>ok</v>
      </c>
      <c r="DA9" s="165" t="s">
        <v>81</v>
      </c>
      <c r="DB9" s="166">
        <f>DB12*DB11</f>
        <v>64</v>
      </c>
    </row>
    <row r="10" spans="1:106" ht="6" customHeight="1">
      <c r="D10" s="55"/>
      <c r="E10" s="58"/>
      <c r="F10" s="59"/>
      <c r="G10" s="59"/>
      <c r="H10" s="55"/>
      <c r="I10" s="55"/>
      <c r="J10" s="55"/>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17"/>
      <c r="AZ10" s="2"/>
      <c r="BD10" s="55"/>
      <c r="BE10" s="58"/>
      <c r="BF10" s="59"/>
      <c r="BG10" s="59"/>
      <c r="BH10" s="55"/>
      <c r="BI10" s="55"/>
      <c r="BJ10" s="55"/>
      <c r="BY10" s="2"/>
      <c r="DA10" s="163"/>
      <c r="DB10" s="164"/>
    </row>
    <row r="11" spans="1:106" s="10" customFormat="1">
      <c r="B11" s="31" t="s">
        <v>0</v>
      </c>
      <c r="C11" s="32" t="s">
        <v>31</v>
      </c>
      <c r="D11" s="53" t="s">
        <v>2</v>
      </c>
      <c r="E11" s="54"/>
      <c r="F11" s="53"/>
      <c r="G11" s="53"/>
      <c r="H11" s="20"/>
      <c r="I11" s="19"/>
      <c r="J11" s="20"/>
      <c r="K11" s="180"/>
      <c r="L11" s="17"/>
      <c r="M11" s="35"/>
      <c r="N11" s="17"/>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X11" s="31">
        <f ca="1">IF($CX$97="",2*COUNTIF(Ergebnisse!$D$63:'Ergebnisse'!$F$78,M17),2*INT(RAND()*2))</f>
        <v>2</v>
      </c>
      <c r="AY11" s="17" t="str">
        <f ca="1">IF(COUNTIF(Ergebnisse!K13:'Ergebnisse'!K18,Ergebnisse!$B$98)=6,"ok","")</f>
        <v>ok</v>
      </c>
      <c r="BB11" s="72" t="s">
        <v>0</v>
      </c>
      <c r="BC11" s="73" t="s">
        <v>21</v>
      </c>
      <c r="BD11" s="53" t="s">
        <v>2</v>
      </c>
      <c r="BE11" s="54"/>
      <c r="BF11" s="53"/>
      <c r="BG11" s="53"/>
      <c r="BH11" s="20"/>
      <c r="BI11" s="19"/>
      <c r="BJ11" s="20"/>
      <c r="BK11" s="180"/>
      <c r="BL11" s="17"/>
      <c r="BM11" s="35"/>
      <c r="BN11" s="17"/>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72">
        <f ca="1">IF($CX$97="",2*COUNTIF(Ergebnisse!$D$63:'Ergebnisse'!$F$78,BM17),2*INT(RAND()*2))</f>
        <v>2</v>
      </c>
      <c r="CY11" s="17" t="str">
        <f ca="1">IF(COUNTIF(Ergebnisse!BK13:'Ergebnisse'!BK18,Ergebnisse!$B$98)=6,"ok","")</f>
        <v>ok</v>
      </c>
      <c r="DA11" s="163" t="s">
        <v>157</v>
      </c>
      <c r="DB11" s="270">
        <v>2</v>
      </c>
    </row>
    <row r="12" spans="1:106">
      <c r="B12" s="3" t="s">
        <v>22</v>
      </c>
      <c r="C12" s="3" t="s">
        <v>23</v>
      </c>
      <c r="D12" s="55"/>
      <c r="E12" s="55"/>
      <c r="F12" s="55"/>
      <c r="G12" s="55"/>
      <c r="L12" s="1"/>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31">
        <f ca="1">IF($CX$97="",2*COUNTIF(Ergebnisse!$D$63:'Ergebnisse'!$F$78,M18),2*INT(RAND()*2))</f>
        <v>2</v>
      </c>
      <c r="AY12" s="17" t="str">
        <f ca="1">IF(COUNTIF(Ergebnisse!K13:'Ergebnisse'!K18,Ergebnisse!$B$98)=6,"ok","")</f>
        <v>ok</v>
      </c>
      <c r="AZ12" s="2"/>
      <c r="BB12" s="3" t="s">
        <v>22</v>
      </c>
      <c r="BC12" s="3" t="s">
        <v>23</v>
      </c>
      <c r="BD12" s="55"/>
      <c r="BE12" s="55"/>
      <c r="BF12" s="55"/>
      <c r="BG12" s="55"/>
      <c r="BL12" s="1"/>
      <c r="BY12" s="2"/>
      <c r="CX12" s="72">
        <f ca="1">IF($CX$97="",2*COUNTIF(Ergebnisse!$D$63:'Ergebnisse'!$F$78,BM18),2*INT(RAND()*2))</f>
        <v>2</v>
      </c>
      <c r="CY12" s="17" t="str">
        <f ca="1">IF(COUNTIF(Ergebnisse!BK13:'Ergebnisse'!BK18,Ergebnisse!$B$98)=6,"ok","")</f>
        <v>ok</v>
      </c>
      <c r="DA12" s="168" t="s">
        <v>453</v>
      </c>
      <c r="DB12" s="188">
        <v>32</v>
      </c>
    </row>
    <row r="13" spans="1:106">
      <c r="A13" s="16">
        <f>IF(Ergebnisse!A13="","",Ergebnisse!A13)</f>
        <v>3</v>
      </c>
      <c r="B13" s="6">
        <f>IF(Ergebnisse!B13="","",Ergebnisse!B13)</f>
        <v>46185.625</v>
      </c>
      <c r="C13" s="6" t="str">
        <f>IF(Ergebnisse!C13="","",Ergebnisse!C13)</f>
        <v>Toronto</v>
      </c>
      <c r="D13" s="56" t="str">
        <f>IF(Ergebnisse!D13="","",Ergebnisse!D13)</f>
        <v>Kanada</v>
      </c>
      <c r="E13" s="40"/>
      <c r="F13" s="56" t="str">
        <f>IF(Ergebnisse!F13="","",Ergebnisse!F13)</f>
        <v>Bosnien/Herzg.</v>
      </c>
      <c r="G13" s="53"/>
      <c r="H13" s="107">
        <f ca="1">IF(Ergebnisse!H13="","",Ergebnisse!H13)</f>
        <v>0</v>
      </c>
      <c r="I13" s="11" t="s">
        <v>25</v>
      </c>
      <c r="J13" s="107">
        <f ca="1">IF(Ergebnisse!J13="","",Ergebnisse!J13)</f>
        <v>0</v>
      </c>
      <c r="L13" s="1"/>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17">
        <f ca="1">IF($CX$97="",IF(OR(Ergebnisse!H13="",Ergebnisse!J13=""),0,IF(AND(H13=Ergebnisse!H13,J13=Ergebnisse!J13),7,MIN(7,(H13-J13=Ergebnisse!H13-Ergebnisse!J13)*4+(AND(H13-J13&lt;&gt;Ergebnisse!H13-Ergebnisse!J13,SIGN(H13-J13)=SIGN(Ergebnisse!H13-Ergebnisse!J13)))*2+(H13=Ergebnisse!H13)+(J13=Ergebnisse!J13)))),INT(RAND()*8))</f>
        <v>7</v>
      </c>
      <c r="AY13" s="17" t="str">
        <f ca="1">IF(Ergebnisse!K13=Ergebnisse!$B$98,Ergebnisse!K13,"")</f>
        <v>ok</v>
      </c>
      <c r="AZ13" s="2"/>
      <c r="BA13" s="2">
        <f>IF(Ergebnisse!BA13="","",Ergebnisse!BA13)</f>
        <v>10</v>
      </c>
      <c r="BB13" s="6">
        <f>IF(Ergebnisse!BB13="","",Ergebnisse!BB13)</f>
        <v>46187.5</v>
      </c>
      <c r="BC13" s="6" t="str">
        <f>IF(Ergebnisse!BC13="","",Ergebnisse!BC13)</f>
        <v>Houston</v>
      </c>
      <c r="BD13" s="56" t="str">
        <f>IF(Ergebnisse!BD13="","",Ergebnisse!BD13)</f>
        <v>Deutschland</v>
      </c>
      <c r="BE13" s="40"/>
      <c r="BF13" s="56" t="str">
        <f>IF(Ergebnisse!BF13="","",Ergebnisse!BF13)</f>
        <v>Curaçao</v>
      </c>
      <c r="BG13" s="53"/>
      <c r="BH13" s="107">
        <f ca="1">IF(Ergebnisse!BH13="","",Ergebnisse!BH13)</f>
        <v>2</v>
      </c>
      <c r="BI13" s="11" t="s">
        <v>25</v>
      </c>
      <c r="BJ13" s="107">
        <f ca="1">IF(Ergebnisse!BJ13="","",Ergebnisse!BJ13)</f>
        <v>6</v>
      </c>
      <c r="BL13" s="1"/>
      <c r="BY13" s="2"/>
      <c r="CX13" s="17">
        <f ca="1">IF($CX$97="",IF(OR(Ergebnisse!BH13="",Ergebnisse!BJ13=""),0,IF(AND(BH13=Ergebnisse!BH13,BJ13=Ergebnisse!BJ13),7,MIN(7,(BH13-BJ13=Ergebnisse!BH13-Ergebnisse!BJ13)*4+(AND(BH13-BJ13&lt;&gt;Ergebnisse!BH13-Ergebnisse!BJ13,SIGN(BH13-BJ13)=SIGN(Ergebnisse!BH13-Ergebnisse!BJ13)))*2+(BH13=Ergebnisse!BH13)+(BJ13=Ergebnisse!BJ13)))),INT(RAND()*8))</f>
        <v>7</v>
      </c>
      <c r="CY13" s="17" t="str">
        <f ca="1">IF(Ergebnisse!BK13=Ergebnisse!$B$98,Ergebnisse!BK13,"")</f>
        <v>ok</v>
      </c>
      <c r="DA13" s="168"/>
      <c r="DB13" s="164"/>
    </row>
    <row r="14" spans="1:106">
      <c r="A14" s="2">
        <f>IF(Ergebnisse!A14="","",Ergebnisse!A14)</f>
        <v>8</v>
      </c>
      <c r="B14" s="6">
        <f>IF(Ergebnisse!B14="","",Ergebnisse!B14)</f>
        <v>46186.5</v>
      </c>
      <c r="C14" s="6" t="str">
        <f>IF(Ergebnisse!C14="","",Ergebnisse!C14)</f>
        <v>San Francisco</v>
      </c>
      <c r="D14" s="56" t="str">
        <f>IF(Ergebnisse!D14="","",Ergebnisse!D14)</f>
        <v>Katar</v>
      </c>
      <c r="E14" s="40"/>
      <c r="F14" s="56" t="str">
        <f>IF(Ergebnisse!F14="","",Ergebnisse!F14)</f>
        <v>Schweiz</v>
      </c>
      <c r="G14" s="53"/>
      <c r="H14" s="107">
        <f ca="1">IF(Ergebnisse!H14="","",Ergebnisse!H14)</f>
        <v>0</v>
      </c>
      <c r="I14" s="11" t="s">
        <v>25</v>
      </c>
      <c r="J14" s="107">
        <f ca="1">IF(Ergebnisse!J14="","",Ergebnisse!J14)</f>
        <v>4</v>
      </c>
      <c r="L14" s="1"/>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17">
        <f ca="1">IF($CX$97="",IF(OR(Ergebnisse!H14="",Ergebnisse!J14=""),0,IF(AND(H14=Ergebnisse!H14,J14=Ergebnisse!J14),7,MIN(7,(H14-J14=Ergebnisse!H14-Ergebnisse!J14)*4+(AND(H14-J14&lt;&gt;Ergebnisse!H14-Ergebnisse!J14,SIGN(H14-J14)=SIGN(Ergebnisse!H14-Ergebnisse!J14)))*2+(H14=Ergebnisse!H14)+(J14=Ergebnisse!J14)))),INT(RAND()*8))</f>
        <v>7</v>
      </c>
      <c r="AY14" s="17" t="str">
        <f ca="1">IF(Ergebnisse!K14=Ergebnisse!$B$98,Ergebnisse!K14,"")</f>
        <v>ok</v>
      </c>
      <c r="AZ14" s="2"/>
      <c r="BA14" s="2">
        <f>IF(Ergebnisse!BA14="","",Ergebnisse!BA14)</f>
        <v>9</v>
      </c>
      <c r="BB14" s="6">
        <f>IF(Ergebnisse!BB14="","",Ergebnisse!BB14)</f>
        <v>46187.791666666664</v>
      </c>
      <c r="BC14" s="6" t="str">
        <f>IF(Ergebnisse!BC14="","",Ergebnisse!BC14)</f>
        <v>Philadelphia</v>
      </c>
      <c r="BD14" s="56" t="str">
        <f>IF(Ergebnisse!BD14="","",Ergebnisse!BD14)</f>
        <v>Elfenbeinküste</v>
      </c>
      <c r="BE14" s="40"/>
      <c r="BF14" s="56" t="str">
        <f>IF(Ergebnisse!BF14="","",Ergebnisse!BF14)</f>
        <v>Ecuador</v>
      </c>
      <c r="BG14" s="53"/>
      <c r="BH14" s="107">
        <f ca="1">IF(Ergebnisse!BH14="","",Ergebnisse!BH14)</f>
        <v>1</v>
      </c>
      <c r="BI14" s="11" t="s">
        <v>25</v>
      </c>
      <c r="BJ14" s="107">
        <f ca="1">IF(Ergebnisse!BJ14="","",Ergebnisse!BJ14)</f>
        <v>3</v>
      </c>
      <c r="BL14" s="1"/>
      <c r="BY14" s="2"/>
      <c r="CX14" s="17">
        <f ca="1">IF($CX$97="",IF(OR(Ergebnisse!BH14="",Ergebnisse!BJ14=""),0,IF(AND(BH14=Ergebnisse!BH14,BJ14=Ergebnisse!BJ14),7,MIN(7,(BH14-BJ14=Ergebnisse!BH14-Ergebnisse!BJ14)*4+(AND(BH14-BJ14&lt;&gt;Ergebnisse!BH14-Ergebnisse!BJ14,SIGN(BH14-BJ14)=SIGN(Ergebnisse!BH14-Ergebnisse!BJ14)))*2+(BH14=Ergebnisse!BH14)+(BJ14=Ergebnisse!BJ14)))),INT(RAND()*8))</f>
        <v>7</v>
      </c>
      <c r="CY14" s="17" t="str">
        <f ca="1">IF(Ergebnisse!BK14=Ergebnisse!$B$98,Ergebnisse!BK14,"")</f>
        <v>ok</v>
      </c>
      <c r="DA14" s="170" t="s">
        <v>454</v>
      </c>
      <c r="DB14" s="166">
        <f>DB17*(DB16+2*DB15)</f>
        <v>144</v>
      </c>
    </row>
    <row r="15" spans="1:106">
      <c r="A15" s="2">
        <f>IF(Ergebnisse!A15="","",Ergebnisse!A15)</f>
        <v>27</v>
      </c>
      <c r="B15" s="6">
        <f>IF(Ergebnisse!B15="","",Ergebnisse!B15)</f>
        <v>46191.625</v>
      </c>
      <c r="C15" s="6" t="str">
        <f>IF(Ergebnisse!C15="","",Ergebnisse!C15)</f>
        <v>Vancouver</v>
      </c>
      <c r="D15" s="56" t="str">
        <f>IF(Ergebnisse!D15="","",Ergebnisse!D15)</f>
        <v>Kanada</v>
      </c>
      <c r="E15" s="40"/>
      <c r="F15" s="56" t="str">
        <f>IF(Ergebnisse!F15="","",Ergebnisse!F15)</f>
        <v>Katar</v>
      </c>
      <c r="G15" s="53"/>
      <c r="H15" s="107">
        <f ca="1">IF(Ergebnisse!H15="","",Ergebnisse!H15)</f>
        <v>6</v>
      </c>
      <c r="I15" s="11" t="s">
        <v>25</v>
      </c>
      <c r="J15" s="107">
        <f ca="1">IF(Ergebnisse!J15="","",Ergebnisse!J15)</f>
        <v>2</v>
      </c>
      <c r="L15" s="1"/>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17">
        <f ca="1">IF($CX$97="",IF(OR(Ergebnisse!H15="",Ergebnisse!J15=""),0,IF(AND(H15=Ergebnisse!H15,J15=Ergebnisse!J15),7,MIN(7,(H15-J15=Ergebnisse!H15-Ergebnisse!J15)*4+(AND(H15-J15&lt;&gt;Ergebnisse!H15-Ergebnisse!J15,SIGN(H15-J15)=SIGN(Ergebnisse!H15-Ergebnisse!J15)))*2+(H15=Ergebnisse!H15)+(J15=Ergebnisse!J15)))),INT(RAND()*8))</f>
        <v>7</v>
      </c>
      <c r="AY15" s="17" t="str">
        <f ca="1">IF(Ergebnisse!K15=Ergebnisse!$B$98,Ergebnisse!K15,"")</f>
        <v>ok</v>
      </c>
      <c r="AZ15" s="2"/>
      <c r="BA15" s="2">
        <f>IF(Ergebnisse!BA15="","",Ergebnisse!BA15)</f>
        <v>33</v>
      </c>
      <c r="BB15" s="6">
        <f>IF(Ergebnisse!BB15="","",Ergebnisse!BB15)</f>
        <v>46193.666666666664</v>
      </c>
      <c r="BC15" s="6" t="str">
        <f>IF(Ergebnisse!BC15="","",Ergebnisse!BC15)</f>
        <v>Toronto</v>
      </c>
      <c r="BD15" s="56" t="str">
        <f>IF(Ergebnisse!BD15="","",Ergebnisse!BD15)</f>
        <v>Deutschland</v>
      </c>
      <c r="BE15" s="40"/>
      <c r="BF15" s="56" t="str">
        <f>IF(Ergebnisse!BF15="","",Ergebnisse!BF15)</f>
        <v>Elfenbeinküste</v>
      </c>
      <c r="BG15" s="53"/>
      <c r="BH15" s="107">
        <f ca="1">IF(Ergebnisse!BH15="","",Ergebnisse!BH15)</f>
        <v>2</v>
      </c>
      <c r="BI15" s="11" t="s">
        <v>25</v>
      </c>
      <c r="BJ15" s="107">
        <f ca="1">IF(Ergebnisse!BJ15="","",Ergebnisse!BJ15)</f>
        <v>3</v>
      </c>
      <c r="BL15" s="1"/>
      <c r="BY15" s="2"/>
      <c r="CX15" s="17">
        <f ca="1">IF($CX$97="",IF(OR(Ergebnisse!BH15="",Ergebnisse!BJ15=""),0,IF(AND(BH15=Ergebnisse!BH15,BJ15=Ergebnisse!BJ15),7,MIN(7,(BH15-BJ15=Ergebnisse!BH15-Ergebnisse!BJ15)*4+(AND(BH15-BJ15&lt;&gt;Ergebnisse!BH15-Ergebnisse!BJ15,SIGN(BH15-BJ15)=SIGN(Ergebnisse!BH15-Ergebnisse!BJ15)))*2+(BH15=Ergebnisse!BH15)+(BJ15=Ergebnisse!BJ15)))),INT(RAND()*8))</f>
        <v>7</v>
      </c>
      <c r="CY15" s="17" t="str">
        <f ca="1">IF(Ergebnisse!BK15=Ergebnisse!$B$98,Ergebnisse!BK15,"")</f>
        <v>ok</v>
      </c>
      <c r="DA15" s="167" t="s">
        <v>455</v>
      </c>
      <c r="DB15" s="270">
        <v>1</v>
      </c>
    </row>
    <row r="16" spans="1:106">
      <c r="A16" s="2">
        <f>IF(Ergebnisse!A16="","",Ergebnisse!A16)</f>
        <v>26</v>
      </c>
      <c r="B16" s="6">
        <f>IF(Ergebnisse!B16="","",Ergebnisse!B16)</f>
        <v>46191.5</v>
      </c>
      <c r="C16" s="6" t="str">
        <f>IF(Ergebnisse!C16="","",Ergebnisse!C16)</f>
        <v>Los Angeles</v>
      </c>
      <c r="D16" s="56" t="str">
        <f>IF(Ergebnisse!D16="","",Ergebnisse!D16)</f>
        <v>Schweiz</v>
      </c>
      <c r="E16" s="40"/>
      <c r="F16" s="56" t="str">
        <f>IF(Ergebnisse!F16="","",Ergebnisse!F16)</f>
        <v>Bosnien/Herzg.</v>
      </c>
      <c r="G16" s="53"/>
      <c r="H16" s="107">
        <f ca="1">IF(Ergebnisse!H16="","",Ergebnisse!H16)</f>
        <v>2</v>
      </c>
      <c r="I16" s="11" t="s">
        <v>25</v>
      </c>
      <c r="J16" s="107">
        <f ca="1">IF(Ergebnisse!J16="","",Ergebnisse!J16)</f>
        <v>2</v>
      </c>
      <c r="L16" s="1"/>
      <c r="N16" s="1"/>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17">
        <f ca="1">IF($CX$97="",IF(OR(Ergebnisse!H16="",Ergebnisse!J16=""),0,IF(AND(H16=Ergebnisse!H16,J16=Ergebnisse!J16),7,MIN(7,(H16-J16=Ergebnisse!H16-Ergebnisse!J16)*4+(AND(H16-J16&lt;&gt;Ergebnisse!H16-Ergebnisse!J16,SIGN(H16-J16)=SIGN(Ergebnisse!H16-Ergebnisse!J16)))*2+(H16=Ergebnisse!H16)+(J16=Ergebnisse!J16)))),INT(RAND()*8))</f>
        <v>7</v>
      </c>
      <c r="AY16" s="17" t="str">
        <f ca="1">IF(Ergebnisse!K16=Ergebnisse!$B$98,Ergebnisse!K16,"")</f>
        <v>ok</v>
      </c>
      <c r="AZ16" s="2"/>
      <c r="BA16" s="2">
        <f>IF(Ergebnisse!BA16="","",Ergebnisse!BA16)</f>
        <v>34</v>
      </c>
      <c r="BB16" s="6">
        <f>IF(Ergebnisse!BB16="","",Ergebnisse!BB16)</f>
        <v>46193.791666666672</v>
      </c>
      <c r="BC16" s="6" t="str">
        <f>IF(Ergebnisse!BC16="","",Ergebnisse!BC16)</f>
        <v>Kansas City</v>
      </c>
      <c r="BD16" s="56" t="str">
        <f>IF(Ergebnisse!BD16="","",Ergebnisse!BD16)</f>
        <v>Ecuador</v>
      </c>
      <c r="BE16" s="40"/>
      <c r="BF16" s="56" t="str">
        <f>IF(Ergebnisse!BF16="","",Ergebnisse!BF16)</f>
        <v>Curaçao</v>
      </c>
      <c r="BG16" s="53"/>
      <c r="BH16" s="107">
        <f ca="1">IF(Ergebnisse!BH16="","",Ergebnisse!BH16)</f>
        <v>5</v>
      </c>
      <c r="BI16" s="11" t="s">
        <v>25</v>
      </c>
      <c r="BJ16" s="107">
        <f ca="1">IF(Ergebnisse!BJ16="","",Ergebnisse!BJ16)</f>
        <v>3</v>
      </c>
      <c r="BL16" s="1"/>
      <c r="BN16" s="1"/>
      <c r="BY16" s="2"/>
      <c r="CX16" s="17">
        <f ca="1">IF($CX$97="",IF(OR(Ergebnisse!BH16="",Ergebnisse!BJ16=""),0,IF(AND(BH16=Ergebnisse!BH16,BJ16=Ergebnisse!BJ16),7,MIN(7,(BH16-BJ16=Ergebnisse!BH16-Ergebnisse!BJ16)*4+(AND(BH16-BJ16&lt;&gt;Ergebnisse!BH16-Ergebnisse!BJ16,SIGN(BH16-BJ16)=SIGN(Ergebnisse!BH16-Ergebnisse!BJ16)))*2+(BH16=Ergebnisse!BH16)+(BJ16=Ergebnisse!BJ16)))),INT(RAND()*8))</f>
        <v>7</v>
      </c>
      <c r="CY16" s="17" t="str">
        <f ca="1">IF(Ergebnisse!BK16=Ergebnisse!$B$98,Ergebnisse!BK16,"")</f>
        <v>ok</v>
      </c>
      <c r="DA16" s="171" t="s">
        <v>83</v>
      </c>
      <c r="DB16" s="270">
        <v>7</v>
      </c>
    </row>
    <row r="17" spans="1:106">
      <c r="A17" s="2">
        <f>IF(Ergebnisse!A17="","",Ergebnisse!A17)</f>
        <v>51</v>
      </c>
      <c r="B17" s="6">
        <f>IF(Ergebnisse!B17="","",Ergebnisse!B17)</f>
        <v>46197.5</v>
      </c>
      <c r="C17" s="6" t="str">
        <f>IF(Ergebnisse!C17="","",Ergebnisse!C17)</f>
        <v>Vancouver</v>
      </c>
      <c r="D17" s="56" t="str">
        <f>IF(Ergebnisse!D17="","",Ergebnisse!D17)</f>
        <v>Schweiz</v>
      </c>
      <c r="E17" s="40"/>
      <c r="F17" s="56" t="str">
        <f>IF(Ergebnisse!F17="","",Ergebnisse!F17)</f>
        <v>Kanada</v>
      </c>
      <c r="G17" s="55"/>
      <c r="H17" s="107">
        <f ca="1">IF(Ergebnisse!H17="","",Ergebnisse!H17)</f>
        <v>0</v>
      </c>
      <c r="I17" s="11" t="s">
        <v>25</v>
      </c>
      <c r="J17" s="107">
        <f ca="1">IF(Ergebnisse!J17="","",Ergebnisse!J17)</f>
        <v>6</v>
      </c>
      <c r="M17" s="37" t="str">
        <f ca="1">IF(Ergebnisse!M17="","",Ergebnisse!M17)</f>
        <v>Kanada</v>
      </c>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17">
        <f ca="1">IF($CX$97="",IF(OR(Ergebnisse!H17="",Ergebnisse!J17=""),0,IF(AND(H17=Ergebnisse!H17,J17=Ergebnisse!J17),7,MIN(7,(H17-J17=Ergebnisse!H17-Ergebnisse!J17)*4+(AND(H17-J17&lt;&gt;Ergebnisse!H17-Ergebnisse!J17,SIGN(H17-J17)=SIGN(Ergebnisse!H17-Ergebnisse!J17)))*2+(H17=Ergebnisse!H17)+(J17=Ergebnisse!J17)))),INT(RAND()*8))</f>
        <v>7</v>
      </c>
      <c r="AY17" s="17" t="str">
        <f ca="1">IF(Ergebnisse!K17=Ergebnisse!$B$98,Ergebnisse!K17,"")</f>
        <v>ok</v>
      </c>
      <c r="AZ17" s="2"/>
      <c r="BA17" s="2">
        <f>IF(Ergebnisse!BA17="","",Ergebnisse!BA17)</f>
        <v>57</v>
      </c>
      <c r="BB17" s="6">
        <f>IF(Ergebnisse!BB17="","",Ergebnisse!BB17)</f>
        <v>46198.75</v>
      </c>
      <c r="BC17" s="6" t="str">
        <f>IF(Ergebnisse!BC17="","",Ergebnisse!BC17)</f>
        <v>Dallas</v>
      </c>
      <c r="BD17" s="56" t="str">
        <f>IF(Ergebnisse!BD17="","",Ergebnisse!BD17)</f>
        <v>Ecuador</v>
      </c>
      <c r="BE17" s="40"/>
      <c r="BF17" s="56" t="str">
        <f>IF(Ergebnisse!BF17="","",Ergebnisse!BF17)</f>
        <v>Deutschland</v>
      </c>
      <c r="BG17" s="55"/>
      <c r="BH17" s="107">
        <f ca="1">IF(Ergebnisse!BH17="","",Ergebnisse!BH17)</f>
        <v>4</v>
      </c>
      <c r="BI17" s="11" t="s">
        <v>25</v>
      </c>
      <c r="BJ17" s="107">
        <f ca="1">IF(Ergebnisse!BJ17="","",Ergebnisse!BJ17)</f>
        <v>3</v>
      </c>
      <c r="BM17" s="73" t="str">
        <f ca="1">IF(Ergebnisse!BM17="","",Ergebnisse!BM17)</f>
        <v>Ecuador</v>
      </c>
      <c r="BY17" s="2"/>
      <c r="CX17" s="17">
        <f ca="1">IF($CX$97="",IF(OR(Ergebnisse!BH17="",Ergebnisse!BJ17=""),0,IF(AND(BH17=Ergebnisse!BH17,BJ17=Ergebnisse!BJ17),7,MIN(7,(BH17-BJ17=Ergebnisse!BH17-Ergebnisse!BJ17)*4+(AND(BH17-BJ17&lt;&gt;Ergebnisse!BH17-Ergebnisse!BJ17,SIGN(BH17-BJ17)=SIGN(Ergebnisse!BH17-Ergebnisse!BJ17)))*2+(BH17=Ergebnisse!BH17)+(BJ17=Ergebnisse!BJ17)))),INT(RAND()*8))</f>
        <v>7</v>
      </c>
      <c r="CY17" s="17" t="str">
        <f ca="1">IF(Ergebnisse!BK17=Ergebnisse!$B$98,Ergebnisse!BK17,"")</f>
        <v>ok</v>
      </c>
      <c r="DA17" s="168" t="s">
        <v>76</v>
      </c>
      <c r="DB17" s="169">
        <v>16</v>
      </c>
    </row>
    <row r="18" spans="1:106">
      <c r="A18" s="2">
        <f>IF(Ergebnisse!A18="","",Ergebnisse!A18)</f>
        <v>52</v>
      </c>
      <c r="B18" s="6">
        <f>IF(Ergebnisse!B18="","",Ergebnisse!B18)</f>
        <v>46197.5</v>
      </c>
      <c r="C18" s="6" t="str">
        <f>IF(Ergebnisse!C18="","",Ergebnisse!C18)</f>
        <v>Seattle</v>
      </c>
      <c r="D18" s="56" t="str">
        <f>IF(Ergebnisse!D18="","",Ergebnisse!D18)</f>
        <v>Bosnien/Herzg.</v>
      </c>
      <c r="E18" s="40"/>
      <c r="F18" s="56" t="str">
        <f>IF(Ergebnisse!F18="","",Ergebnisse!F18)</f>
        <v>Katar</v>
      </c>
      <c r="G18" s="55"/>
      <c r="H18" s="107">
        <f ca="1">IF(Ergebnisse!H18="","",Ergebnisse!H18)</f>
        <v>2</v>
      </c>
      <c r="I18" s="11" t="s">
        <v>25</v>
      </c>
      <c r="J18" s="107">
        <f ca="1">IF(Ergebnisse!J18="","",Ergebnisse!J18)</f>
        <v>3</v>
      </c>
      <c r="M18" s="37" t="str">
        <f ca="1">IF(Ergebnisse!M18="","",Ergebnisse!M18)</f>
        <v>Schweiz</v>
      </c>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17">
        <f ca="1">IF($CX$97="",IF(OR(Ergebnisse!H18="",Ergebnisse!J18=""),0,IF(AND(H18=Ergebnisse!H18,J18=Ergebnisse!J18),7,MIN(7,(H18-J18=Ergebnisse!H18-Ergebnisse!J18)*4+(AND(H18-J18&lt;&gt;Ergebnisse!H18-Ergebnisse!J18,SIGN(H18-J18)=SIGN(Ergebnisse!H18-Ergebnisse!J18)))*2+(H18=Ergebnisse!H18)+(J18=Ergebnisse!J18)))),INT(RAND()*8))</f>
        <v>7</v>
      </c>
      <c r="AY18" s="17" t="str">
        <f ca="1">IF(Ergebnisse!K18=Ergebnisse!$B$98,Ergebnisse!K18,"")</f>
        <v>ok</v>
      </c>
      <c r="AZ18" s="2"/>
      <c r="BA18" s="2">
        <f>IF(Ergebnisse!BA18="","",Ergebnisse!BA18)</f>
        <v>58</v>
      </c>
      <c r="BB18" s="6">
        <f>IF(Ergebnisse!BB18="","",Ergebnisse!BB18)</f>
        <v>46198.75</v>
      </c>
      <c r="BC18" s="6" t="str">
        <f>IF(Ergebnisse!BC18="","",Ergebnisse!BC18)</f>
        <v>Kansas City</v>
      </c>
      <c r="BD18" s="56" t="str">
        <f>IF(Ergebnisse!BD18="","",Ergebnisse!BD18)</f>
        <v>Curaçao</v>
      </c>
      <c r="BE18" s="40"/>
      <c r="BF18" s="56" t="str">
        <f>IF(Ergebnisse!BF18="","",Ergebnisse!BF18)</f>
        <v>Elfenbeinküste</v>
      </c>
      <c r="BG18" s="55"/>
      <c r="BH18" s="107">
        <f ca="1">IF(Ergebnisse!BH18="","",Ergebnisse!BH18)</f>
        <v>2</v>
      </c>
      <c r="BI18" s="11" t="s">
        <v>25</v>
      </c>
      <c r="BJ18" s="107">
        <f ca="1">IF(Ergebnisse!BJ18="","",Ergebnisse!BJ18)</f>
        <v>3</v>
      </c>
      <c r="BM18" s="73" t="str">
        <f ca="1">IF(Ergebnisse!BM18="","",Ergebnisse!BM18)</f>
        <v>Elfenbeinküste</v>
      </c>
      <c r="BY18" s="2"/>
      <c r="CX18" s="17">
        <f ca="1">IF($CX$97="",IF(OR(Ergebnisse!BH18="",Ergebnisse!BJ18=""),0,IF(AND(BH18=Ergebnisse!BH18,BJ18=Ergebnisse!BJ18),7,MIN(7,(BH18-BJ18=Ergebnisse!BH18-Ergebnisse!BJ18)*4+(AND(BH18-BJ18&lt;&gt;Ergebnisse!BH18-Ergebnisse!BJ18,SIGN(BH18-BJ18)=SIGN(Ergebnisse!BH18-Ergebnisse!BJ18)))*2+(BH18=Ergebnisse!BH18)+(BJ18=Ergebnisse!BJ18)))),INT(RAND()*8))</f>
        <v>7</v>
      </c>
      <c r="CY18" s="17" t="str">
        <f ca="1">IF(Ergebnisse!BK18=Ergebnisse!$B$98,Ergebnisse!BK18,"")</f>
        <v>ok</v>
      </c>
      <c r="DA18" s="163"/>
      <c r="DB18" s="164"/>
    </row>
    <row r="19" spans="1:106">
      <c r="D19" s="55"/>
      <c r="E19" s="55"/>
      <c r="G19" s="55"/>
      <c r="M19" s="37" t="str">
        <f ca="1">IF(Ergebnisse!M19="","",Ergebnisse!M19)</f>
        <v>Katar</v>
      </c>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31">
        <f ca="1">IF($CX$97="",2*COUNTIF(Ergebnisse!$D$63:'Ergebnisse'!$F$78,M19),2*INT(RAND()*2))</f>
        <v>0</v>
      </c>
      <c r="AY19" s="17" t="str">
        <f ca="1">IF(COUNTIF(Ergebnisse!K13:'Ergebnisse'!K18,Ergebnisse!$B$98)=6,"ok","")</f>
        <v>ok</v>
      </c>
      <c r="AZ19" s="2"/>
      <c r="BE19" s="55"/>
      <c r="BF19" s="55"/>
      <c r="BG19" s="55"/>
      <c r="BM19" s="73" t="str">
        <f ca="1">IF(Ergebnisse!BM19="","",Ergebnisse!BM19)</f>
        <v>Curaçao</v>
      </c>
      <c r="BY19" s="2"/>
      <c r="CX19" s="72">
        <f ca="1">IF($CX$97="",2*COUNTIF(Ergebnisse!$D$63:'Ergebnisse'!$F$78,BM19),2*INT(RAND()*2))</f>
        <v>2</v>
      </c>
      <c r="CY19" s="17" t="str">
        <f ca="1">IF(COUNTIF(Ergebnisse!BK13:'Ergebnisse'!BK18,Ergebnisse!$B$98)=6,"ok","")</f>
        <v>ok</v>
      </c>
      <c r="DA19" s="170" t="s">
        <v>82</v>
      </c>
      <c r="DB19" s="166">
        <f>DB23*(DB22+2*DB21)</f>
        <v>88</v>
      </c>
    </row>
    <row r="20" spans="1:106" ht="6" customHeight="1">
      <c r="D20" s="55"/>
      <c r="E20" s="58"/>
      <c r="F20" s="59"/>
      <c r="G20" s="59"/>
      <c r="H20" s="55"/>
      <c r="I20" s="55"/>
      <c r="J20" s="55"/>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17"/>
      <c r="AZ20" s="2"/>
      <c r="BD20" s="55"/>
      <c r="BE20" s="58"/>
      <c r="BF20" s="59"/>
      <c r="BG20" s="59"/>
      <c r="BH20" s="55"/>
      <c r="BI20" s="55"/>
      <c r="BJ20" s="55"/>
      <c r="BY20" s="2"/>
    </row>
    <row r="21" spans="1:106" s="10" customFormat="1">
      <c r="B21" s="27" t="s">
        <v>0</v>
      </c>
      <c r="C21" s="25" t="s">
        <v>37</v>
      </c>
      <c r="D21" s="53" t="s">
        <v>2</v>
      </c>
      <c r="E21" s="54"/>
      <c r="F21" s="53"/>
      <c r="G21" s="53"/>
      <c r="H21" s="20"/>
      <c r="I21" s="19"/>
      <c r="J21" s="20"/>
      <c r="K21" s="180"/>
      <c r="L21" s="17"/>
      <c r="M21" s="35"/>
      <c r="N21" s="17"/>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X21" s="27">
        <f ca="1">IF($CX$97="",2*COUNTIF(Ergebnisse!$D$63:'Ergebnisse'!$F$78,M27),2*INT(RAND()*2))</f>
        <v>2</v>
      </c>
      <c r="AY21" s="17" t="str">
        <f ca="1">IF(COUNTIF(Ergebnisse!K23:'Ergebnisse'!K28,Ergebnisse!$B$98)=6,"ok","")</f>
        <v>ok</v>
      </c>
      <c r="BB21" s="221" t="s">
        <v>0</v>
      </c>
      <c r="BC21" s="222" t="s">
        <v>32</v>
      </c>
      <c r="BD21" s="53" t="s">
        <v>2</v>
      </c>
      <c r="BE21" s="54"/>
      <c r="BF21" s="53"/>
      <c r="BG21" s="53"/>
      <c r="BH21" s="20"/>
      <c r="BI21" s="19"/>
      <c r="BJ21" s="20"/>
      <c r="BK21" s="180"/>
      <c r="BL21" s="17"/>
      <c r="BM21" s="35"/>
      <c r="BN21" s="17"/>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21">
        <f ca="1">IF($CX$97="",2*COUNTIF(Ergebnisse!$D$63:'Ergebnisse'!$F$78,BM27),2*INT(RAND()*2))</f>
        <v>2</v>
      </c>
      <c r="CY21" s="17" t="str">
        <f ca="1">IF(COUNTIF(Ergebnisse!BK23:'Ergebnisse'!BK28,Ergebnisse!$B$98)=6,"ok","")</f>
        <v>ok</v>
      </c>
      <c r="DA21" s="167" t="s">
        <v>125</v>
      </c>
      <c r="DB21" s="164">
        <v>2</v>
      </c>
    </row>
    <row r="22" spans="1:106">
      <c r="B22" s="3" t="s">
        <v>22</v>
      </c>
      <c r="C22" s="3" t="s">
        <v>23</v>
      </c>
      <c r="D22" s="55"/>
      <c r="E22" s="55"/>
      <c r="F22" s="55"/>
      <c r="G22" s="55"/>
      <c r="L22" s="1"/>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7">
        <f ca="1">IF($CX$97="",2*COUNTIF(Ergebnisse!$D$63:'Ergebnisse'!$F$78,M28),2*INT(RAND()*2))</f>
        <v>2</v>
      </c>
      <c r="AY22" s="17" t="str">
        <f ca="1">IF(COUNTIF(Ergebnisse!K23:'Ergebnisse'!K28,Ergebnisse!$B$98)=6,"ok","")</f>
        <v>ok</v>
      </c>
      <c r="AZ22" s="2"/>
      <c r="BB22" s="3" t="s">
        <v>22</v>
      </c>
      <c r="BC22" s="3" t="s">
        <v>23</v>
      </c>
      <c r="BD22" s="55"/>
      <c r="BE22" s="55"/>
      <c r="BF22" s="55"/>
      <c r="BG22" s="55"/>
      <c r="BL22" s="1"/>
      <c r="BY22" s="2"/>
      <c r="CX22" s="221">
        <f ca="1">IF($CX$97="",2*COUNTIF(Ergebnisse!$D$63:'Ergebnisse'!$F$78,BM28),2*INT(RAND()*2))</f>
        <v>2</v>
      </c>
      <c r="CY22" s="17" t="str">
        <f ca="1">IF(COUNTIF(Ergebnisse!BK23:'Ergebnisse'!BK28,Ergebnisse!$B$98)=6,"ok","")</f>
        <v>ok</v>
      </c>
      <c r="DA22" s="171" t="s">
        <v>83</v>
      </c>
      <c r="DB22" s="270">
        <v>7</v>
      </c>
    </row>
    <row r="23" spans="1:106">
      <c r="A23" s="2">
        <f>IF(Ergebnisse!A23="","",Ergebnisse!A23)</f>
        <v>7</v>
      </c>
      <c r="B23" s="6">
        <f>IF(Ergebnisse!B23="","",Ergebnisse!B23)</f>
        <v>46186.75</v>
      </c>
      <c r="C23" s="6" t="str">
        <f>IF(Ergebnisse!C23="","",Ergebnisse!C23)</f>
        <v>New York</v>
      </c>
      <c r="D23" s="56" t="str">
        <f>IF(Ergebnisse!D23="","",Ergebnisse!D23)</f>
        <v>Brasilien</v>
      </c>
      <c r="E23" s="40"/>
      <c r="F23" s="56" t="str">
        <f>IF(Ergebnisse!F23="","",Ergebnisse!F23)</f>
        <v>Marokko</v>
      </c>
      <c r="G23" s="53"/>
      <c r="H23" s="107">
        <f ca="1">IF(Ergebnisse!H23="","",Ergebnisse!H23)</f>
        <v>3</v>
      </c>
      <c r="I23" s="11" t="s">
        <v>25</v>
      </c>
      <c r="J23" s="107">
        <f ca="1">IF(Ergebnisse!J23="","",Ergebnisse!J23)</f>
        <v>1</v>
      </c>
      <c r="L23" s="1"/>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17">
        <f ca="1">IF($CX$97="",IF(OR(Ergebnisse!H23="",Ergebnisse!J23=""),0,IF(AND(H23=Ergebnisse!H23,J23=Ergebnisse!J23),7,MIN(7,(H23-J23=Ergebnisse!H23-Ergebnisse!J23)*4+(AND(H23-J23&lt;&gt;Ergebnisse!H23-Ergebnisse!J23,SIGN(H23-J23)=SIGN(Ergebnisse!H23-Ergebnisse!J23)))*2+(H23=Ergebnisse!H23)+(J23=Ergebnisse!J23)))),INT(RAND()*8))</f>
        <v>7</v>
      </c>
      <c r="AY23" s="17" t="str">
        <f ca="1">IF(Ergebnisse!K23=Ergebnisse!$B$98,Ergebnisse!K23,"")</f>
        <v>ok</v>
      </c>
      <c r="AZ23" s="2"/>
      <c r="BA23" s="2">
        <f>IF(Ergebnisse!BA23="","",Ergebnisse!BA23)</f>
        <v>11</v>
      </c>
      <c r="BB23" s="6">
        <f>IF(Ergebnisse!BB23="","",Ergebnisse!BB23)</f>
        <v>46187.625</v>
      </c>
      <c r="BC23" s="6" t="str">
        <f>IF(Ergebnisse!BC23="","",Ergebnisse!BC23)</f>
        <v>Dallas</v>
      </c>
      <c r="BD23" s="56" t="str">
        <f>IF(Ergebnisse!BD23="","",Ergebnisse!BD23)</f>
        <v>Niederlande</v>
      </c>
      <c r="BE23" s="40"/>
      <c r="BF23" s="56" t="str">
        <f>IF(Ergebnisse!BF23="","",Ergebnisse!BF23)</f>
        <v>Japan</v>
      </c>
      <c r="BG23" s="53"/>
      <c r="BH23" s="107">
        <f ca="1">IF(Ergebnisse!BH23="","",Ergebnisse!BH23)</f>
        <v>4</v>
      </c>
      <c r="BI23" s="11" t="s">
        <v>25</v>
      </c>
      <c r="BJ23" s="107">
        <f ca="1">IF(Ergebnisse!BJ23="","",Ergebnisse!BJ23)</f>
        <v>2</v>
      </c>
      <c r="BL23" s="1"/>
      <c r="BY23" s="2"/>
      <c r="CX23" s="17">
        <f ca="1">IF($CX$97="",IF(OR(Ergebnisse!BH23="",Ergebnisse!BJ23=""),0,IF(AND(BH23=Ergebnisse!BH23,BJ23=Ergebnisse!BJ23),7,MIN(7,(BH23-BJ23=Ergebnisse!BH23-Ergebnisse!BJ23)*4+(AND(BH23-BJ23&lt;&gt;Ergebnisse!BH23-Ergebnisse!BJ23,SIGN(BH23-BJ23)=SIGN(Ergebnisse!BH23-Ergebnisse!BJ23)))*2+(BH23=Ergebnisse!BH23)+(BJ23=Ergebnisse!BJ23)))),INT(RAND()*8))</f>
        <v>7</v>
      </c>
      <c r="CY23" s="17" t="str">
        <f ca="1">IF(Ergebnisse!BK23=Ergebnisse!$B$98,Ergebnisse!BK23,"")</f>
        <v>ok</v>
      </c>
      <c r="DA23" s="168" t="s">
        <v>76</v>
      </c>
      <c r="DB23" s="169">
        <v>8</v>
      </c>
    </row>
    <row r="24" spans="1:106">
      <c r="A24" s="2">
        <f>IF(Ergebnisse!A24="","",Ergebnisse!A24)</f>
        <v>5</v>
      </c>
      <c r="B24" s="6">
        <f>IF(Ergebnisse!B24="","",Ergebnisse!B24)</f>
        <v>46186.875</v>
      </c>
      <c r="C24" s="6" t="str">
        <f>IF(Ergebnisse!C24="","",Ergebnisse!C24)</f>
        <v>Boston</v>
      </c>
      <c r="D24" s="56" t="str">
        <f>IF(Ergebnisse!D24="","",Ergebnisse!D24)</f>
        <v>Haiti</v>
      </c>
      <c r="E24" s="40"/>
      <c r="F24" s="56" t="str">
        <f>IF(Ergebnisse!F24="","",Ergebnisse!F24)</f>
        <v>Schottland</v>
      </c>
      <c r="G24" s="53"/>
      <c r="H24" s="107">
        <f ca="1">IF(Ergebnisse!H24="","",Ergebnisse!H24)</f>
        <v>0</v>
      </c>
      <c r="I24" s="11" t="s">
        <v>25</v>
      </c>
      <c r="J24" s="107">
        <f ca="1">IF(Ergebnisse!J24="","",Ergebnisse!J24)</f>
        <v>5</v>
      </c>
      <c r="L24" s="1"/>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17">
        <f ca="1">IF($CX$97="",IF(OR(Ergebnisse!H24="",Ergebnisse!J24=""),0,IF(AND(H24=Ergebnisse!H24,J24=Ergebnisse!J24),7,MIN(7,(H24-J24=Ergebnisse!H24-Ergebnisse!J24)*4+(AND(H24-J24&lt;&gt;Ergebnisse!H24-Ergebnisse!J24,SIGN(H24-J24)=SIGN(Ergebnisse!H24-Ergebnisse!J24)))*2+(H24=Ergebnisse!H24)+(J24=Ergebnisse!J24)))),INT(RAND()*8))</f>
        <v>7</v>
      </c>
      <c r="AY24" s="17" t="str">
        <f ca="1">IF(Ergebnisse!K24=Ergebnisse!$B$98,Ergebnisse!K24,"")</f>
        <v>ok</v>
      </c>
      <c r="AZ24" s="2"/>
      <c r="BA24" s="2">
        <f>IF(Ergebnisse!BA24="","",Ergebnisse!BA24)</f>
        <v>12</v>
      </c>
      <c r="BB24" s="6">
        <f>IF(Ergebnisse!BB24="","",Ergebnisse!BB24)</f>
        <v>46187.875</v>
      </c>
      <c r="BC24" s="6" t="str">
        <f>IF(Ergebnisse!BC24="","",Ergebnisse!BC24)</f>
        <v>Monterrey</v>
      </c>
      <c r="BD24" s="56" t="str">
        <f>IF(Ergebnisse!BD24="","",Ergebnisse!BD24)</f>
        <v>Schweden</v>
      </c>
      <c r="BE24" s="40"/>
      <c r="BF24" s="56" t="str">
        <f>IF(Ergebnisse!BF24="","",Ergebnisse!BF24)</f>
        <v>Tunesien</v>
      </c>
      <c r="BG24" s="53"/>
      <c r="BH24" s="107">
        <f ca="1">IF(Ergebnisse!BH24="","",Ergebnisse!BH24)</f>
        <v>6</v>
      </c>
      <c r="BI24" s="11" t="s">
        <v>25</v>
      </c>
      <c r="BJ24" s="107">
        <f ca="1">IF(Ergebnisse!BJ24="","",Ergebnisse!BJ24)</f>
        <v>4</v>
      </c>
      <c r="BL24" s="1"/>
      <c r="BY24" s="2"/>
      <c r="CX24" s="17">
        <f ca="1">IF($CX$97="",IF(OR(Ergebnisse!BH24="",Ergebnisse!BJ24=""),0,IF(AND(BH24=Ergebnisse!BH24,BJ24=Ergebnisse!BJ24),7,MIN(7,(BH24-BJ24=Ergebnisse!BH24-Ergebnisse!BJ24)*4+(AND(BH24-BJ24&lt;&gt;Ergebnisse!BH24-Ergebnisse!BJ24,SIGN(BH24-BJ24)=SIGN(Ergebnisse!BH24-Ergebnisse!BJ24)))*2+(BH24=Ergebnisse!BH24)+(BJ24=Ergebnisse!BJ24)))),INT(RAND()*8))</f>
        <v>7</v>
      </c>
      <c r="CY24" s="17" t="str">
        <f ca="1">IF(Ergebnisse!BK24=Ergebnisse!$B$98,Ergebnisse!BK24,"")</f>
        <v>ok</v>
      </c>
    </row>
    <row r="25" spans="1:106">
      <c r="A25" s="2">
        <f>IF(Ergebnisse!A25="","",Ergebnisse!A25)</f>
        <v>29</v>
      </c>
      <c r="B25" s="6">
        <f>IF(Ergebnisse!B25="","",Ergebnisse!B25)</f>
        <v>46192.875</v>
      </c>
      <c r="C25" s="6" t="str">
        <f>IF(Ergebnisse!C25="","",Ergebnisse!C25)</f>
        <v>Philadelphia</v>
      </c>
      <c r="D25" s="56" t="str">
        <f>IF(Ergebnisse!D25="","",Ergebnisse!D25)</f>
        <v>Brasilien</v>
      </c>
      <c r="E25" s="40"/>
      <c r="F25" s="56" t="str">
        <f>IF(Ergebnisse!F25="","",Ergebnisse!F25)</f>
        <v>Haiti</v>
      </c>
      <c r="G25" s="53"/>
      <c r="H25" s="107">
        <f ca="1">IF(Ergebnisse!H25="","",Ergebnisse!H25)</f>
        <v>3</v>
      </c>
      <c r="I25" s="11" t="s">
        <v>25</v>
      </c>
      <c r="J25" s="107">
        <f ca="1">IF(Ergebnisse!J25="","",Ergebnisse!J25)</f>
        <v>4</v>
      </c>
      <c r="L25" s="1"/>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17">
        <f ca="1">IF($CX$97="",IF(OR(Ergebnisse!H25="",Ergebnisse!J25=""),0,IF(AND(H25=Ergebnisse!H25,J25=Ergebnisse!J25),7,MIN(7,(H25-J25=Ergebnisse!H25-Ergebnisse!J25)*4+(AND(H25-J25&lt;&gt;Ergebnisse!H25-Ergebnisse!J25,SIGN(H25-J25)=SIGN(Ergebnisse!H25-Ergebnisse!J25)))*2+(H25=Ergebnisse!H25)+(J25=Ergebnisse!J25)))),INT(RAND()*8))</f>
        <v>7</v>
      </c>
      <c r="AY25" s="17" t="str">
        <f ca="1">IF(Ergebnisse!K25=Ergebnisse!$B$98,Ergebnisse!K25,"")</f>
        <v>ok</v>
      </c>
      <c r="AZ25" s="2"/>
      <c r="BA25" s="2">
        <f>IF(Ergebnisse!BA25="","",Ergebnisse!BA25)</f>
        <v>35</v>
      </c>
      <c r="BB25" s="6">
        <f>IF(Ergebnisse!BB25="","",Ergebnisse!BB25)</f>
        <v>46193.5</v>
      </c>
      <c r="BC25" s="6" t="str">
        <f>IF(Ergebnisse!BC25="","",Ergebnisse!BC25)</f>
        <v>Houston</v>
      </c>
      <c r="BD25" s="56" t="str">
        <f>IF(Ergebnisse!BD25="","",Ergebnisse!BD25)</f>
        <v>Niederlande</v>
      </c>
      <c r="BE25" s="40"/>
      <c r="BF25" s="56" t="str">
        <f>IF(Ergebnisse!BF25="","",Ergebnisse!BF25)</f>
        <v>Schweden</v>
      </c>
      <c r="BG25" s="53"/>
      <c r="BH25" s="107">
        <f ca="1">IF(Ergebnisse!BH25="","",Ergebnisse!BH25)</f>
        <v>2</v>
      </c>
      <c r="BI25" s="11" t="s">
        <v>25</v>
      </c>
      <c r="BJ25" s="107">
        <f ca="1">IF(Ergebnisse!BJ25="","",Ergebnisse!BJ25)</f>
        <v>0</v>
      </c>
      <c r="BL25" s="1"/>
      <c r="BY25" s="2"/>
      <c r="CX25" s="17">
        <f ca="1">IF($CX$97="",IF(OR(Ergebnisse!BH25="",Ergebnisse!BJ25=""),0,IF(AND(BH25=Ergebnisse!BH25,BJ25=Ergebnisse!BJ25),7,MIN(7,(BH25-BJ25=Ergebnisse!BH25-Ergebnisse!BJ25)*4+(AND(BH25-BJ25&lt;&gt;Ergebnisse!BH25-Ergebnisse!BJ25,SIGN(BH25-BJ25)=SIGN(Ergebnisse!BH25-Ergebnisse!BJ25)))*2+(BH25=Ergebnisse!BH25)+(BJ25=Ergebnisse!BJ25)))),INT(RAND()*8))</f>
        <v>7</v>
      </c>
      <c r="CY25" s="17" t="str">
        <f ca="1">IF(Ergebnisse!BK25=Ergebnisse!$B$98,Ergebnisse!BK25,"")</f>
        <v>ok</v>
      </c>
      <c r="DA25" s="170" t="s">
        <v>75</v>
      </c>
      <c r="DB25" s="166">
        <f>DB29*(DB28+2*DB26)</f>
        <v>52</v>
      </c>
    </row>
    <row r="26" spans="1:106">
      <c r="A26" s="2">
        <f>IF(Ergebnisse!A26="","",Ergebnisse!A26)</f>
        <v>30</v>
      </c>
      <c r="B26" s="6">
        <f>IF(Ergebnisse!B26="","",Ergebnisse!B26)</f>
        <v>46192.75</v>
      </c>
      <c r="C26" s="6" t="str">
        <f>IF(Ergebnisse!C26="","",Ergebnisse!C26)</f>
        <v>Boston</v>
      </c>
      <c r="D26" s="56" t="str">
        <f>IF(Ergebnisse!D26="","",Ergebnisse!D26)</f>
        <v>Schottland</v>
      </c>
      <c r="E26" s="40"/>
      <c r="F26" s="56" t="str">
        <f>IF(Ergebnisse!F26="","",Ergebnisse!F26)</f>
        <v>Marokko</v>
      </c>
      <c r="G26" s="53"/>
      <c r="H26" s="107">
        <f ca="1">IF(Ergebnisse!H26="","",Ergebnisse!H26)</f>
        <v>2</v>
      </c>
      <c r="I26" s="11" t="s">
        <v>25</v>
      </c>
      <c r="J26" s="107">
        <f ca="1">IF(Ergebnisse!J26="","",Ergebnisse!J26)</f>
        <v>3</v>
      </c>
      <c r="L26" s="1"/>
      <c r="N26" s="1"/>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17">
        <f ca="1">IF($CX$97="",IF(OR(Ergebnisse!H26="",Ergebnisse!J26=""),0,IF(AND(H26=Ergebnisse!H26,J26=Ergebnisse!J26),7,MIN(7,(H26-J26=Ergebnisse!H26-Ergebnisse!J26)*4+(AND(H26-J26&lt;&gt;Ergebnisse!H26-Ergebnisse!J26,SIGN(H26-J26)=SIGN(Ergebnisse!H26-Ergebnisse!J26)))*2+(H26=Ergebnisse!H26)+(J26=Ergebnisse!J26)))),INT(RAND()*8))</f>
        <v>7</v>
      </c>
      <c r="AY26" s="17" t="str">
        <f ca="1">IF(Ergebnisse!K26=Ergebnisse!$B$98,Ergebnisse!K26,"")</f>
        <v>ok</v>
      </c>
      <c r="AZ26" s="2"/>
      <c r="BA26" s="2">
        <f>IF(Ergebnisse!BA26="","",Ergebnisse!BA26)</f>
        <v>36</v>
      </c>
      <c r="BB26" s="6">
        <f>IF(Ergebnisse!BB26="","",Ergebnisse!BB26)</f>
        <v>46193.958333333336</v>
      </c>
      <c r="BC26" s="6" t="str">
        <f>IF(Ergebnisse!BC26="","",Ergebnisse!BC26)</f>
        <v>Monterrey</v>
      </c>
      <c r="BD26" s="56" t="str">
        <f>IF(Ergebnisse!BD26="","",Ergebnisse!BD26)</f>
        <v>Tunesien</v>
      </c>
      <c r="BE26" s="40"/>
      <c r="BF26" s="56" t="str">
        <f>IF(Ergebnisse!BF26="","",Ergebnisse!BF26)</f>
        <v>Japan</v>
      </c>
      <c r="BG26" s="53"/>
      <c r="BH26" s="107">
        <f ca="1">IF(Ergebnisse!BH26="","",Ergebnisse!BH26)</f>
        <v>3</v>
      </c>
      <c r="BI26" s="11" t="s">
        <v>25</v>
      </c>
      <c r="BJ26" s="107">
        <f ca="1">IF(Ergebnisse!BJ26="","",Ergebnisse!BJ26)</f>
        <v>2</v>
      </c>
      <c r="BL26" s="1"/>
      <c r="BN26" s="1"/>
      <c r="BY26" s="2"/>
      <c r="CX26" s="17">
        <f ca="1">IF($CX$97="",IF(OR(Ergebnisse!BH26="",Ergebnisse!BJ26=""),0,IF(AND(BH26=Ergebnisse!BH26,BJ26=Ergebnisse!BJ26),7,MIN(7,(BH26-BJ26=Ergebnisse!BH26-Ergebnisse!BJ26)*4+(AND(BH26-BJ26&lt;&gt;Ergebnisse!BH26-Ergebnisse!BJ26,SIGN(BH26-BJ26)=SIGN(Ergebnisse!BH26-Ergebnisse!BJ26)))*2+(BH26=Ergebnisse!BH26)+(BJ26=Ergebnisse!BJ26)))),INT(RAND()*8))</f>
        <v>7</v>
      </c>
      <c r="CY26" s="17" t="str">
        <f ca="1">IF(Ergebnisse!BK26=Ergebnisse!$B$98,Ergebnisse!BK26,"")</f>
        <v>ok</v>
      </c>
      <c r="DA26" s="167" t="s">
        <v>126</v>
      </c>
      <c r="DB26" s="164">
        <v>3</v>
      </c>
    </row>
    <row r="27" spans="1:106">
      <c r="A27" s="2">
        <f>IF(Ergebnisse!A27="","",Ergebnisse!A27)</f>
        <v>49</v>
      </c>
      <c r="B27" s="6">
        <f>IF(Ergebnisse!B27="","",Ergebnisse!B27)</f>
        <v>46197.75</v>
      </c>
      <c r="C27" s="6" t="str">
        <f>IF(Ergebnisse!C27="","",Ergebnisse!C27)</f>
        <v>Miami</v>
      </c>
      <c r="D27" s="56" t="str">
        <f>IF(Ergebnisse!D27="","",Ergebnisse!D27)</f>
        <v>Schottland</v>
      </c>
      <c r="E27" s="40"/>
      <c r="F27" s="56" t="str">
        <f>IF(Ergebnisse!F27="","",Ergebnisse!F27)</f>
        <v>Brasilien</v>
      </c>
      <c r="G27" s="55"/>
      <c r="H27" s="107">
        <f ca="1">IF(Ergebnisse!H27="","",Ergebnisse!H27)</f>
        <v>2</v>
      </c>
      <c r="I27" s="11" t="s">
        <v>25</v>
      </c>
      <c r="J27" s="107">
        <f ca="1">IF(Ergebnisse!J27="","",Ergebnisse!J27)</f>
        <v>1</v>
      </c>
      <c r="M27" s="38" t="str">
        <f ca="1">IF(Ergebnisse!M27="","",Ergebnisse!M27)</f>
        <v>Schottland</v>
      </c>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17">
        <f ca="1">IF($CX$97="",IF(OR(Ergebnisse!H27="",Ergebnisse!J27=""),0,IF(AND(H27=Ergebnisse!H27,J27=Ergebnisse!J27),7,MIN(7,(H27-J27=Ergebnisse!H27-Ergebnisse!J27)*4+(AND(H27-J27&lt;&gt;Ergebnisse!H27-Ergebnisse!J27,SIGN(H27-J27)=SIGN(Ergebnisse!H27-Ergebnisse!J27)))*2+(H27=Ergebnisse!H27)+(J27=Ergebnisse!J27)))),INT(RAND()*8))</f>
        <v>7</v>
      </c>
      <c r="AY27" s="17" t="str">
        <f ca="1">IF(Ergebnisse!K27=Ergebnisse!$B$98,Ergebnisse!K27,"")</f>
        <v>ok</v>
      </c>
      <c r="AZ27" s="2"/>
      <c r="BA27" s="2">
        <f>IF(Ergebnisse!BA27="","",Ergebnisse!BA27)</f>
        <v>55</v>
      </c>
      <c r="BB27" s="6">
        <f>IF(Ergebnisse!BB27="","",Ergebnisse!BB27)</f>
        <v>46198.666666666664</v>
      </c>
      <c r="BC27" s="6" t="str">
        <f>IF(Ergebnisse!BC27="","",Ergebnisse!BC27)</f>
        <v>Philadelphia</v>
      </c>
      <c r="BD27" s="56" t="str">
        <f>IF(Ergebnisse!BD27="","",Ergebnisse!BD27)</f>
        <v>Tunesien</v>
      </c>
      <c r="BE27" s="40"/>
      <c r="BF27" s="56" t="str">
        <f>IF(Ergebnisse!BF27="","",Ergebnisse!BF27)</f>
        <v>Niederlande</v>
      </c>
      <c r="BG27" s="55"/>
      <c r="BH27" s="107">
        <f ca="1">IF(Ergebnisse!BH27="","",Ergebnisse!BH27)</f>
        <v>2</v>
      </c>
      <c r="BI27" s="11" t="s">
        <v>25</v>
      </c>
      <c r="BJ27" s="107">
        <f ca="1">IF(Ergebnisse!BJ27="","",Ergebnisse!BJ27)</f>
        <v>1</v>
      </c>
      <c r="BM27" s="223" t="str">
        <f ca="1">IF(Ergebnisse!BM27="","",Ergebnisse!BM27)</f>
        <v>Niederlande</v>
      </c>
      <c r="BY27" s="2"/>
      <c r="CX27" s="17">
        <f ca="1">IF($CX$97="",IF(OR(Ergebnisse!BH27="",Ergebnisse!BJ27=""),0,IF(AND(BH27=Ergebnisse!BH27,BJ27=Ergebnisse!BJ27),7,MIN(7,(BH27-BJ27=Ergebnisse!BH27-Ergebnisse!BJ27)*4+(AND(BH27-BJ27&lt;&gt;Ergebnisse!BH27-Ergebnisse!BJ27,SIGN(BH27-BJ27)=SIGN(Ergebnisse!BH27-Ergebnisse!BJ27)))*2+(BH27=Ergebnisse!BH27)+(BJ27=Ergebnisse!BJ27)))),INT(RAND()*8))</f>
        <v>7</v>
      </c>
      <c r="CY27" s="17" t="str">
        <f ca="1">IF(Ergebnisse!BK27=Ergebnisse!$B$98,Ergebnisse!BK27,"")</f>
        <v>ok</v>
      </c>
      <c r="DA27" s="167" t="s">
        <v>122</v>
      </c>
      <c r="DB27" s="164">
        <v>1</v>
      </c>
    </row>
    <row r="28" spans="1:106">
      <c r="A28" s="2">
        <f>IF(Ergebnisse!A28="","",Ergebnisse!A28)</f>
        <v>50</v>
      </c>
      <c r="B28" s="6">
        <f>IF(Ergebnisse!B28="","",Ergebnisse!B28)</f>
        <v>46197.75</v>
      </c>
      <c r="C28" s="6" t="str">
        <f>IF(Ergebnisse!C28="","",Ergebnisse!C28)</f>
        <v>Atlanta</v>
      </c>
      <c r="D28" s="56" t="str">
        <f>IF(Ergebnisse!D28="","",Ergebnisse!D28)</f>
        <v>Marokko</v>
      </c>
      <c r="E28" s="40"/>
      <c r="F28" s="56" t="str">
        <f>IF(Ergebnisse!F28="","",Ergebnisse!F28)</f>
        <v>Haiti</v>
      </c>
      <c r="G28" s="55"/>
      <c r="H28" s="107">
        <f ca="1">IF(Ergebnisse!H28="","",Ergebnisse!H28)</f>
        <v>2</v>
      </c>
      <c r="I28" s="11" t="s">
        <v>25</v>
      </c>
      <c r="J28" s="107">
        <f ca="1">IF(Ergebnisse!J28="","",Ergebnisse!J28)</f>
        <v>5</v>
      </c>
      <c r="M28" s="38" t="str">
        <f ca="1">IF(Ergebnisse!M28="","",Ergebnisse!M28)</f>
        <v>Haiti</v>
      </c>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17">
        <f ca="1">IF($CX$97="",IF(OR(Ergebnisse!H28="",Ergebnisse!J28=""),0,IF(AND(H28=Ergebnisse!H28,J28=Ergebnisse!J28),7,MIN(7,(H28-J28=Ergebnisse!H28-Ergebnisse!J28)*4+(AND(H28-J28&lt;&gt;Ergebnisse!H28-Ergebnisse!J28,SIGN(H28-J28)=SIGN(Ergebnisse!H28-Ergebnisse!J28)))*2+(H28=Ergebnisse!H28)+(J28=Ergebnisse!J28)))),INT(RAND()*8))</f>
        <v>7</v>
      </c>
      <c r="AY28" s="17" t="str">
        <f ca="1">IF(Ergebnisse!K28=Ergebnisse!$B$98,Ergebnisse!K28,"")</f>
        <v>ok</v>
      </c>
      <c r="AZ28" s="2"/>
      <c r="BA28" s="2">
        <f>IF(Ergebnisse!BA28="","",Ergebnisse!BA28)</f>
        <v>56</v>
      </c>
      <c r="BB28" s="6">
        <f>IF(Ergebnisse!BB28="","",Ergebnisse!BB28)</f>
        <v>46198.666666666664</v>
      </c>
      <c r="BC28" s="6" t="str">
        <f>IF(Ergebnisse!BC28="","",Ergebnisse!BC28)</f>
        <v>New York</v>
      </c>
      <c r="BD28" s="56" t="str">
        <f>IF(Ergebnisse!BD28="","",Ergebnisse!BD28)</f>
        <v>Japan</v>
      </c>
      <c r="BE28" s="40"/>
      <c r="BF28" s="56" t="str">
        <f>IF(Ergebnisse!BF28="","",Ergebnisse!BF28)</f>
        <v>Schweden</v>
      </c>
      <c r="BG28" s="55"/>
      <c r="BH28" s="107">
        <f ca="1">IF(Ergebnisse!BH28="","",Ergebnisse!BH28)</f>
        <v>1</v>
      </c>
      <c r="BI28" s="11" t="s">
        <v>25</v>
      </c>
      <c r="BJ28" s="107">
        <f ca="1">IF(Ergebnisse!BJ28="","",Ergebnisse!BJ28)</f>
        <v>2</v>
      </c>
      <c r="BM28" s="223" t="str">
        <f ca="1">IF(Ergebnisse!BM28="","",Ergebnisse!BM28)</f>
        <v>Schweden</v>
      </c>
      <c r="BY28" s="2"/>
      <c r="CX28" s="17">
        <f ca="1">IF($CX$97="",IF(OR(Ergebnisse!BH28="",Ergebnisse!BJ28=""),0,IF(AND(BH28=Ergebnisse!BH28,BJ28=Ergebnisse!BJ28),7,MIN(7,(BH28-BJ28=Ergebnisse!BH28-Ergebnisse!BJ28)*4+(AND(BH28-BJ28&lt;&gt;Ergebnisse!BH28-Ergebnisse!BJ28,SIGN(BH28-BJ28)=SIGN(Ergebnisse!BH28-Ergebnisse!BJ28)))*2+(BH28=Ergebnisse!BH28)+(BJ28=Ergebnisse!BJ28)))),INT(RAND()*8))</f>
        <v>7</v>
      </c>
      <c r="CY28" s="17" t="str">
        <f ca="1">IF(Ergebnisse!BK28=Ergebnisse!$B$98,Ergebnisse!BK28,"")</f>
        <v>ok</v>
      </c>
      <c r="DA28" s="171" t="s">
        <v>83</v>
      </c>
      <c r="DB28" s="270">
        <v>7</v>
      </c>
    </row>
    <row r="29" spans="1:106">
      <c r="D29" s="55"/>
      <c r="E29" s="55"/>
      <c r="G29" s="55"/>
      <c r="M29" s="38" t="str">
        <f ca="1">IF(Ergebnisse!M29="","",Ergebnisse!M29)</f>
        <v>Brasilien</v>
      </c>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7">
        <f ca="1">IF($CX$97="",2*COUNTIF(Ergebnisse!$D$63:'Ergebnisse'!$F$78,M29),2*INT(RAND()*2))</f>
        <v>2</v>
      </c>
      <c r="AY29" s="17" t="str">
        <f ca="1">IF(COUNTIF(Ergebnisse!K23:'Ergebnisse'!K28,Ergebnisse!$B$98)=6,"ok","")</f>
        <v>ok</v>
      </c>
      <c r="AZ29" s="2"/>
      <c r="BE29" s="55"/>
      <c r="BF29" s="55"/>
      <c r="BG29" s="55"/>
      <c r="BM29" s="223" t="str">
        <f ca="1">IF(Ergebnisse!BM29="","",Ergebnisse!BM29)</f>
        <v>Tunesien</v>
      </c>
      <c r="BY29" s="2"/>
      <c r="CX29" s="221">
        <f ca="1">IF($CX$97="",2*COUNTIF(Ergebnisse!$D$63:'Ergebnisse'!$F$78,BM29),2*INT(RAND()*2))</f>
        <v>2</v>
      </c>
      <c r="CY29" s="17" t="str">
        <f ca="1">IF(COUNTIF(Ergebnisse!BK23:'Ergebnisse'!BK28,Ergebnisse!$B$98)=6,"ok","")</f>
        <v>ok</v>
      </c>
      <c r="DA29" s="168" t="s">
        <v>76</v>
      </c>
      <c r="DB29" s="169">
        <v>4</v>
      </c>
    </row>
    <row r="30" spans="1:106" ht="6" customHeight="1">
      <c r="D30" s="55"/>
      <c r="E30" s="58"/>
      <c r="F30" s="59"/>
      <c r="G30" s="59"/>
      <c r="H30" s="55"/>
      <c r="I30" s="55"/>
      <c r="J30" s="55"/>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17"/>
      <c r="AZ30" s="2"/>
      <c r="BD30" s="55"/>
      <c r="BE30" s="58"/>
      <c r="BF30" s="59"/>
      <c r="BG30" s="59"/>
      <c r="BH30" s="55"/>
      <c r="BI30" s="55"/>
      <c r="BJ30" s="55"/>
      <c r="BY30" s="2"/>
      <c r="DA30" s="163"/>
      <c r="DB30" s="164"/>
    </row>
    <row r="31" spans="1:106">
      <c r="A31" s="10"/>
      <c r="B31" s="224" t="s">
        <v>0</v>
      </c>
      <c r="C31" s="225" t="s">
        <v>219</v>
      </c>
      <c r="D31" s="17" t="s">
        <v>2</v>
      </c>
      <c r="E31" s="14"/>
      <c r="F31" s="17"/>
      <c r="G31" s="17"/>
      <c r="H31" s="17"/>
      <c r="I31" s="19"/>
      <c r="J31" s="20"/>
      <c r="K31" s="180"/>
      <c r="L31" s="17"/>
      <c r="M31" s="35"/>
      <c r="N31" s="17"/>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10"/>
      <c r="AX31" s="224">
        <f ca="1">IF($CX$97="",2*COUNTIF(Ergebnisse!$D$63:'Ergebnisse'!$F$78,M37),2*INT(RAND()*2))</f>
        <v>2</v>
      </c>
      <c r="AY31" s="17" t="str">
        <f ca="1">IF(COUNTIF(Ergebnisse!K33:'Ergebnisse'!K38,Ergebnisse!$B$98)=6,"ok","")</f>
        <v>ok</v>
      </c>
      <c r="AZ31" s="10"/>
      <c r="BA31" s="10"/>
      <c r="BB31" s="226" t="s">
        <v>0</v>
      </c>
      <c r="BC31" s="227" t="s">
        <v>220</v>
      </c>
      <c r="BD31" s="17" t="s">
        <v>2</v>
      </c>
      <c r="BE31" s="14"/>
      <c r="BF31" s="17"/>
      <c r="BG31" s="17"/>
      <c r="BH31" s="17"/>
      <c r="BI31" s="19"/>
      <c r="BJ31" s="20"/>
      <c r="BK31" s="180"/>
      <c r="BL31" s="17"/>
      <c r="BM31" s="35"/>
      <c r="BN31" s="17"/>
      <c r="BY31" s="2"/>
      <c r="CX31" s="226">
        <f ca="1">IF($CX$97="",2*COUNTIF(Ergebnisse!$D$63:'Ergebnisse'!$F$78,BM37),2*INT(RAND()*2))</f>
        <v>2</v>
      </c>
      <c r="CY31" s="17" t="str">
        <f ca="1">IF(COUNTIF(Ergebnisse!BK33:'Ergebnisse'!BK38,Ergebnisse!$B$98)=6,"ok","")</f>
        <v>ok</v>
      </c>
    </row>
    <row r="32" spans="1:106">
      <c r="B32" s="3" t="s">
        <v>22</v>
      </c>
      <c r="C32" s="3" t="s">
        <v>23</v>
      </c>
      <c r="L32" s="1"/>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24">
        <f ca="1">IF($CX$97="",2*COUNTIF(Ergebnisse!$D$63:'Ergebnisse'!$F$78,M38),2*INT(RAND()*2))</f>
        <v>2</v>
      </c>
      <c r="AY32" s="17" t="str">
        <f ca="1">IF(COUNTIF(Ergebnisse!K33:'Ergebnisse'!K38,Ergebnisse!$B$98)=6,"ok","")</f>
        <v>ok</v>
      </c>
      <c r="AZ32" s="2"/>
      <c r="BB32" s="3" t="s">
        <v>22</v>
      </c>
      <c r="BC32" s="3" t="s">
        <v>23</v>
      </c>
      <c r="BL32" s="1"/>
      <c r="BY32" s="2"/>
      <c r="CX32" s="226">
        <f ca="1">IF($CX$97="",2*COUNTIF(Ergebnisse!$D$63:'Ergebnisse'!$F$78,BM38),2*INT(RAND()*2))</f>
        <v>2</v>
      </c>
      <c r="CY32" s="17" t="str">
        <f ca="1">IF(COUNTIF(Ergebnisse!BK33:'Ergebnisse'!BK38,Ergebnisse!$B$98)=6,"ok","")</f>
        <v>ok</v>
      </c>
      <c r="DA32" s="170" t="s">
        <v>77</v>
      </c>
      <c r="DB32" s="166">
        <f>DB36*(DB35+2*DB33)</f>
        <v>30</v>
      </c>
    </row>
    <row r="33" spans="1:106">
      <c r="A33" s="2">
        <f>IF(Ergebnisse!A33="","",Ergebnisse!A33)</f>
        <v>16</v>
      </c>
      <c r="B33" s="6">
        <f>IF(Ergebnisse!B33="","",Ergebnisse!B33)</f>
        <v>46188.5</v>
      </c>
      <c r="C33" s="6" t="str">
        <f>IF(Ergebnisse!C33="","",Ergebnisse!C33)</f>
        <v>Seattle</v>
      </c>
      <c r="D33" s="56" t="str">
        <f>IF(Ergebnisse!D33="","",Ergebnisse!D33)</f>
        <v>Belgien</v>
      </c>
      <c r="E33" s="40"/>
      <c r="F33" s="56" t="str">
        <f>IF(Ergebnisse!F33="","",Ergebnisse!F33)</f>
        <v>Ägypten</v>
      </c>
      <c r="G33" s="53"/>
      <c r="H33" s="107">
        <f ca="1">IF(Ergebnisse!H33="","",Ergebnisse!H33)</f>
        <v>3</v>
      </c>
      <c r="I33" s="11" t="s">
        <v>25</v>
      </c>
      <c r="J33" s="107">
        <f ca="1">IF(Ergebnisse!J33="","",Ergebnisse!J33)</f>
        <v>1</v>
      </c>
      <c r="L33" s="1"/>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17">
        <f ca="1">IF($CX$97="",IF(OR(Ergebnisse!H33="",Ergebnisse!J33=""),0,IF(AND(H33=Ergebnisse!H33,J33=Ergebnisse!J33),7,MIN(7,(H33-J33=Ergebnisse!H33-Ergebnisse!J33)*4+(AND(H33-J33&lt;&gt;Ergebnisse!H33-Ergebnisse!J33,SIGN(H33-J33)=SIGN(Ergebnisse!H33-Ergebnisse!J33)))*2+(H33=Ergebnisse!H33)+(J33=Ergebnisse!J33)))),INT(RAND()*8))</f>
        <v>7</v>
      </c>
      <c r="AY33" s="17" t="str">
        <f ca="1">IF(Ergebnisse!K33=Ergebnisse!$B$98,Ergebnisse!K33,"")</f>
        <v>ok</v>
      </c>
      <c r="AZ33" s="2"/>
      <c r="BA33" s="2">
        <f>IF(Ergebnisse!BA33="","",Ergebnisse!BA33)</f>
        <v>17</v>
      </c>
      <c r="BB33" s="6">
        <f>IF(Ergebnisse!BB33="","",Ergebnisse!BB33)</f>
        <v>46189.625</v>
      </c>
      <c r="BC33" s="6" t="str">
        <f>IF(Ergebnisse!BC33="","",Ergebnisse!BC33)</f>
        <v>New York</v>
      </c>
      <c r="BD33" s="56" t="str">
        <f>IF(Ergebnisse!BD33="","",Ergebnisse!BD33)</f>
        <v>Argentinien</v>
      </c>
      <c r="BE33" s="40"/>
      <c r="BF33" s="56" t="str">
        <f>IF(Ergebnisse!BF33="","",Ergebnisse!BF33)</f>
        <v>Algerien</v>
      </c>
      <c r="BG33" s="53"/>
      <c r="BH33" s="107">
        <f ca="1">IF(Ergebnisse!BH33="","",Ergebnisse!BH33)</f>
        <v>4</v>
      </c>
      <c r="BI33" s="11" t="s">
        <v>25</v>
      </c>
      <c r="BJ33" s="107">
        <f ca="1">IF(Ergebnisse!BJ33="","",Ergebnisse!BJ33)</f>
        <v>4</v>
      </c>
      <c r="BL33" s="1"/>
      <c r="BY33" s="2"/>
      <c r="CX33" s="17">
        <f ca="1">IF($CX$97="",IF(OR(Ergebnisse!BH33="",Ergebnisse!BJ33=""),0,IF(AND(BH33=Ergebnisse!BH33,BJ33=Ergebnisse!BJ33),7,MIN(7,(BH33-BJ33=Ergebnisse!BH33-Ergebnisse!BJ33)*4+(AND(BH33-BJ33&lt;&gt;Ergebnisse!BH33-Ergebnisse!BJ33,SIGN(BH33-BJ33)=SIGN(Ergebnisse!BH33-Ergebnisse!BJ33)))*2+(BH33=Ergebnisse!BH33)+(BJ33=Ergebnisse!BJ33)))),INT(RAND()*8))</f>
        <v>7</v>
      </c>
      <c r="CY33" s="17" t="str">
        <f ca="1">IF(Ergebnisse!BK33=Ergebnisse!$B$98,Ergebnisse!BK33,"")</f>
        <v>ok</v>
      </c>
      <c r="DA33" s="167" t="s">
        <v>127</v>
      </c>
      <c r="DB33" s="164">
        <v>4</v>
      </c>
    </row>
    <row r="34" spans="1:106" s="10" customFormat="1">
      <c r="A34" s="2">
        <f>IF(Ergebnisse!A34="","",Ergebnisse!A34)</f>
        <v>15</v>
      </c>
      <c r="B34" s="6">
        <f>IF(Ergebnisse!B34="","",Ergebnisse!B34)</f>
        <v>46188.75</v>
      </c>
      <c r="C34" s="6" t="str">
        <f>IF(Ergebnisse!C34="","",Ergebnisse!C34)</f>
        <v>Los Angeles</v>
      </c>
      <c r="D34" s="56" t="str">
        <f>IF(Ergebnisse!D34="","",Ergebnisse!D34)</f>
        <v>IR Iran</v>
      </c>
      <c r="E34" s="40"/>
      <c r="F34" s="56" t="str">
        <f>IF(Ergebnisse!F34="","",Ergebnisse!F34)</f>
        <v>Neuseeland</v>
      </c>
      <c r="G34" s="53"/>
      <c r="H34" s="107">
        <f ca="1">IF(Ergebnisse!H34="","",Ergebnisse!H34)</f>
        <v>1</v>
      </c>
      <c r="I34" s="11" t="s">
        <v>25</v>
      </c>
      <c r="J34" s="107">
        <f ca="1">IF(Ergebnisse!J34="","",Ergebnisse!J34)</f>
        <v>3</v>
      </c>
      <c r="K34" s="7"/>
      <c r="L34" s="1"/>
      <c r="M34" s="9"/>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17">
        <f ca="1">IF($CX$97="",IF(OR(Ergebnisse!H34="",Ergebnisse!J34=""),0,IF(AND(H34=Ergebnisse!H34,J34=Ergebnisse!J34),7,MIN(7,(H34-J34=Ergebnisse!H34-Ergebnisse!J34)*4+(AND(H34-J34&lt;&gt;Ergebnisse!H34-Ergebnisse!J34,SIGN(H34-J34)=SIGN(Ergebnisse!H34-Ergebnisse!J34)))*2+(H34=Ergebnisse!H34)+(J34=Ergebnisse!J34)))),INT(RAND()*8))</f>
        <v>7</v>
      </c>
      <c r="AY34" s="17" t="str">
        <f ca="1">IF(Ergebnisse!K34=Ergebnisse!$B$98,Ergebnisse!K34,"")</f>
        <v>ok</v>
      </c>
      <c r="AZ34" s="2"/>
      <c r="BA34" s="2">
        <f>IF(Ergebnisse!BA34="","",Ergebnisse!BA34)</f>
        <v>18</v>
      </c>
      <c r="BB34" s="6">
        <f>IF(Ergebnisse!BB34="","",Ergebnisse!BB34)</f>
        <v>46189.75</v>
      </c>
      <c r="BC34" s="6" t="str">
        <f>IF(Ergebnisse!BC34="","",Ergebnisse!BC34)</f>
        <v>Boston</v>
      </c>
      <c r="BD34" s="56" t="str">
        <f>IF(Ergebnisse!BD34="","",Ergebnisse!BD34)</f>
        <v>Österreich</v>
      </c>
      <c r="BE34" s="40"/>
      <c r="BF34" s="56" t="str">
        <f>IF(Ergebnisse!BF34="","",Ergebnisse!BF34)</f>
        <v>Jordanien</v>
      </c>
      <c r="BG34" s="53"/>
      <c r="BH34" s="107">
        <f ca="1">IF(Ergebnisse!BH34="","",Ergebnisse!BH34)</f>
        <v>0</v>
      </c>
      <c r="BI34" s="11" t="s">
        <v>25</v>
      </c>
      <c r="BJ34" s="107">
        <f ca="1">IF(Ergebnisse!BJ34="","",Ergebnisse!BJ34)</f>
        <v>3</v>
      </c>
      <c r="BK34" s="7"/>
      <c r="BL34" s="1"/>
      <c r="BM34" s="9"/>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17">
        <f ca="1">IF($CX$97="",IF(OR(Ergebnisse!BH34="",Ergebnisse!BJ34=""),0,IF(AND(BH34=Ergebnisse!BH34,BJ34=Ergebnisse!BJ34),7,MIN(7,(BH34-BJ34=Ergebnisse!BH34-Ergebnisse!BJ34)*4+(AND(BH34-BJ34&lt;&gt;Ergebnisse!BH34-Ergebnisse!BJ34,SIGN(BH34-BJ34)=SIGN(Ergebnisse!BH34-Ergebnisse!BJ34)))*2+(BH34=Ergebnisse!BH34)+(BJ34=Ergebnisse!BJ34)))),INT(RAND()*8))</f>
        <v>7</v>
      </c>
      <c r="CY34" s="17" t="str">
        <f ca="1">IF(Ergebnisse!BK34=Ergebnisse!$B$98,Ergebnisse!BK34,"")</f>
        <v>ok</v>
      </c>
      <c r="DA34" s="167" t="s">
        <v>123</v>
      </c>
      <c r="DB34" s="164">
        <v>2</v>
      </c>
    </row>
    <row r="35" spans="1:106">
      <c r="A35" s="2">
        <f>IF(Ergebnisse!A35="","",Ergebnisse!A35)</f>
        <v>39</v>
      </c>
      <c r="B35" s="6">
        <f>IF(Ergebnisse!B35="","",Ergebnisse!B35)</f>
        <v>46194.5</v>
      </c>
      <c r="C35" s="6" t="str">
        <f>IF(Ergebnisse!C35="","",Ergebnisse!C35)</f>
        <v>Los Angeles</v>
      </c>
      <c r="D35" s="56" t="str">
        <f>IF(Ergebnisse!D35="","",Ergebnisse!D35)</f>
        <v>Belgien</v>
      </c>
      <c r="E35" s="40"/>
      <c r="F35" s="56" t="str">
        <f>IF(Ergebnisse!F35="","",Ergebnisse!F35)</f>
        <v>IR Iran</v>
      </c>
      <c r="G35" s="53"/>
      <c r="H35" s="107">
        <f ca="1">IF(Ergebnisse!H35="","",Ergebnisse!H35)</f>
        <v>2</v>
      </c>
      <c r="I35" s="11" t="s">
        <v>25</v>
      </c>
      <c r="J35" s="107">
        <f ca="1">IF(Ergebnisse!J35="","",Ergebnisse!J35)</f>
        <v>5</v>
      </c>
      <c r="L35" s="1"/>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17">
        <f ca="1">IF($CX$97="",IF(OR(Ergebnisse!H35="",Ergebnisse!J35=""),0,IF(AND(H35=Ergebnisse!H35,J35=Ergebnisse!J35),7,MIN(7,(H35-J35=Ergebnisse!H35-Ergebnisse!J35)*4+(AND(H35-J35&lt;&gt;Ergebnisse!H35-Ergebnisse!J35,SIGN(H35-J35)=SIGN(Ergebnisse!H35-Ergebnisse!J35)))*2+(H35=Ergebnisse!H35)+(J35=Ergebnisse!J35)))),INT(RAND()*8))</f>
        <v>7</v>
      </c>
      <c r="AY35" s="17" t="str">
        <f ca="1">IF(Ergebnisse!K35=Ergebnisse!$B$98,Ergebnisse!K35,"")</f>
        <v>ok</v>
      </c>
      <c r="AZ35" s="2"/>
      <c r="BA35" s="2">
        <f>IF(Ergebnisse!BA35="","",Ergebnisse!BA35)</f>
        <v>43</v>
      </c>
      <c r="BB35" s="6">
        <f>IF(Ergebnisse!BB35="","",Ergebnisse!BB35)</f>
        <v>46195.5</v>
      </c>
      <c r="BC35" s="6" t="str">
        <f>IF(Ergebnisse!BC35="","",Ergebnisse!BC35)</f>
        <v>Dallas</v>
      </c>
      <c r="BD35" s="56" t="str">
        <f>IF(Ergebnisse!BD35="","",Ergebnisse!BD35)</f>
        <v>Argentinien</v>
      </c>
      <c r="BE35" s="40"/>
      <c r="BF35" s="56" t="str">
        <f>IF(Ergebnisse!BF35="","",Ergebnisse!BF35)</f>
        <v>Österreich</v>
      </c>
      <c r="BG35" s="53"/>
      <c r="BH35" s="107">
        <f ca="1">IF(Ergebnisse!BH35="","",Ergebnisse!BH35)</f>
        <v>4</v>
      </c>
      <c r="BI35" s="11" t="s">
        <v>25</v>
      </c>
      <c r="BJ35" s="107">
        <f ca="1">IF(Ergebnisse!BJ35="","",Ergebnisse!BJ35)</f>
        <v>3</v>
      </c>
      <c r="BL35" s="1"/>
      <c r="BY35" s="2"/>
      <c r="CX35" s="17">
        <f ca="1">IF($CX$97="",IF(OR(Ergebnisse!BH35="",Ergebnisse!BJ35=""),0,IF(AND(BH35=Ergebnisse!BH35,BJ35=Ergebnisse!BJ35),7,MIN(7,(BH35-BJ35=Ergebnisse!BH35-Ergebnisse!BJ35)*4+(AND(BH35-BJ35&lt;&gt;Ergebnisse!BH35-Ergebnisse!BJ35,SIGN(BH35-BJ35)=SIGN(Ergebnisse!BH35-Ergebnisse!BJ35)))*2+(BH35=Ergebnisse!BH35)+(BJ35=Ergebnisse!BJ35)))),INT(RAND()*8))</f>
        <v>7</v>
      </c>
      <c r="CY35" s="17" t="str">
        <f ca="1">IF(Ergebnisse!BK35=Ergebnisse!$B$98,Ergebnisse!BK35,"")</f>
        <v>ok</v>
      </c>
      <c r="DA35" s="171" t="s">
        <v>83</v>
      </c>
      <c r="DB35" s="270">
        <v>7</v>
      </c>
    </row>
    <row r="36" spans="1:106">
      <c r="A36" s="2">
        <f>IF(Ergebnisse!A36="","",Ergebnisse!A36)</f>
        <v>40</v>
      </c>
      <c r="B36" s="6">
        <f>IF(Ergebnisse!B36="","",Ergebnisse!B36)</f>
        <v>46194.75</v>
      </c>
      <c r="C36" s="6" t="str">
        <f>IF(Ergebnisse!C36="","",Ergebnisse!C36)</f>
        <v>Vancouver</v>
      </c>
      <c r="D36" s="56" t="str">
        <f>IF(Ergebnisse!D36="","",Ergebnisse!D36)</f>
        <v>Neuseeland</v>
      </c>
      <c r="E36" s="40"/>
      <c r="F36" s="56" t="str">
        <f>IF(Ergebnisse!F36="","",Ergebnisse!F36)</f>
        <v>Ägypten</v>
      </c>
      <c r="G36" s="53"/>
      <c r="H36" s="107">
        <f ca="1">IF(Ergebnisse!H36="","",Ergebnisse!H36)</f>
        <v>3</v>
      </c>
      <c r="I36" s="11" t="s">
        <v>25</v>
      </c>
      <c r="J36" s="107">
        <f ca="1">IF(Ergebnisse!J36="","",Ergebnisse!J36)</f>
        <v>0</v>
      </c>
      <c r="L36" s="1"/>
      <c r="N36" s="1"/>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17">
        <f ca="1">IF($CX$97="",IF(OR(Ergebnisse!H36="",Ergebnisse!J36=""),0,IF(AND(H36=Ergebnisse!H36,J36=Ergebnisse!J36),7,MIN(7,(H36-J36=Ergebnisse!H36-Ergebnisse!J36)*4+(AND(H36-J36&lt;&gt;Ergebnisse!H36-Ergebnisse!J36,SIGN(H36-J36)=SIGN(Ergebnisse!H36-Ergebnisse!J36)))*2+(H36=Ergebnisse!H36)+(J36=Ergebnisse!J36)))),INT(RAND()*8))</f>
        <v>7</v>
      </c>
      <c r="AY36" s="17" t="str">
        <f ca="1">IF(Ergebnisse!K36=Ergebnisse!$B$98,Ergebnisse!K36,"")</f>
        <v>ok</v>
      </c>
      <c r="AZ36" s="2"/>
      <c r="BA36" s="2">
        <f>IF(Ergebnisse!BA36="","",Ergebnisse!BA36)</f>
        <v>44</v>
      </c>
      <c r="BB36" s="6">
        <f>IF(Ergebnisse!BB36="","",Ergebnisse!BB36)</f>
        <v>46195.833333333336</v>
      </c>
      <c r="BC36" s="6" t="str">
        <f>IF(Ergebnisse!BC36="","",Ergebnisse!BC36)</f>
        <v>San Francisco</v>
      </c>
      <c r="BD36" s="56" t="str">
        <f>IF(Ergebnisse!BD36="","",Ergebnisse!BD36)</f>
        <v>Jordanien</v>
      </c>
      <c r="BE36" s="40"/>
      <c r="BF36" s="56" t="str">
        <f>IF(Ergebnisse!BF36="","",Ergebnisse!BF36)</f>
        <v>Algerien</v>
      </c>
      <c r="BG36" s="53"/>
      <c r="BH36" s="107">
        <f ca="1">IF(Ergebnisse!BH36="","",Ergebnisse!BH36)</f>
        <v>0</v>
      </c>
      <c r="BI36" s="11" t="s">
        <v>25</v>
      </c>
      <c r="BJ36" s="107">
        <f ca="1">IF(Ergebnisse!BJ36="","",Ergebnisse!BJ36)</f>
        <v>4</v>
      </c>
      <c r="BL36" s="1"/>
      <c r="BN36" s="1"/>
      <c r="BY36" s="2"/>
      <c r="CX36" s="17">
        <f ca="1">IF($CX$97="",IF(OR(Ergebnisse!BH36="",Ergebnisse!BJ36=""),0,IF(AND(BH36=Ergebnisse!BH36,BJ36=Ergebnisse!BJ36),7,MIN(7,(BH36-BJ36=Ergebnisse!BH36-Ergebnisse!BJ36)*4+(AND(BH36-BJ36&lt;&gt;Ergebnisse!BH36-Ergebnisse!BJ36,SIGN(BH36-BJ36)=SIGN(Ergebnisse!BH36-Ergebnisse!BJ36)))*2+(BH36=Ergebnisse!BH36)+(BJ36=Ergebnisse!BJ36)))),INT(RAND()*8))</f>
        <v>7</v>
      </c>
      <c r="CY36" s="17" t="str">
        <f ca="1">IF(Ergebnisse!BK36=Ergebnisse!$B$98,Ergebnisse!BK36,"")</f>
        <v>ok</v>
      </c>
      <c r="DA36" s="168" t="s">
        <v>76</v>
      </c>
      <c r="DB36" s="169">
        <v>2</v>
      </c>
    </row>
    <row r="37" spans="1:106">
      <c r="A37" s="2">
        <f>IF(Ergebnisse!A37="","",Ergebnisse!A37)</f>
        <v>64</v>
      </c>
      <c r="B37" s="6">
        <f>IF(Ergebnisse!B37="","",Ergebnisse!B37)</f>
        <v>46199.833333333336</v>
      </c>
      <c r="C37" s="6" t="str">
        <f>IF(Ergebnisse!C37="","",Ergebnisse!C37)</f>
        <v>Vancouver</v>
      </c>
      <c r="D37" s="56" t="str">
        <f>IF(Ergebnisse!D37="","",Ergebnisse!D37)</f>
        <v>Neuseeland</v>
      </c>
      <c r="E37" s="40"/>
      <c r="F37" s="56" t="str">
        <f>IF(Ergebnisse!F37="","",Ergebnisse!F37)</f>
        <v>Belgien</v>
      </c>
      <c r="G37" s="55"/>
      <c r="H37" s="107">
        <f ca="1">IF(Ergebnisse!H37="","",Ergebnisse!H37)</f>
        <v>2</v>
      </c>
      <c r="I37" s="11" t="s">
        <v>25</v>
      </c>
      <c r="J37" s="107">
        <f ca="1">IF(Ergebnisse!J37="","",Ergebnisse!J37)</f>
        <v>2</v>
      </c>
      <c r="M37" s="228" t="str">
        <f ca="1">IF(Ergebnisse!M37="","",Ergebnisse!M37)</f>
        <v>Neuseeland</v>
      </c>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17">
        <f ca="1">IF($CX$97="",IF(OR(Ergebnisse!H37="",Ergebnisse!J37=""),0,IF(AND(H37=Ergebnisse!H37,J37=Ergebnisse!J37),7,MIN(7,(H37-J37=Ergebnisse!H37-Ergebnisse!J37)*4+(AND(H37-J37&lt;&gt;Ergebnisse!H37-Ergebnisse!J37,SIGN(H37-J37)=SIGN(Ergebnisse!H37-Ergebnisse!J37)))*2+(H37=Ergebnisse!H37)+(J37=Ergebnisse!J37)))),INT(RAND()*8))</f>
        <v>7</v>
      </c>
      <c r="AY37" s="17" t="str">
        <f ca="1">IF(Ergebnisse!K37=Ergebnisse!$B$98,Ergebnisse!K37,"")</f>
        <v>ok</v>
      </c>
      <c r="AZ37" s="2"/>
      <c r="BA37" s="2">
        <f>IF(Ergebnisse!BA37="","",Ergebnisse!BA37)</f>
        <v>70</v>
      </c>
      <c r="BB37" s="6">
        <f>IF(Ergebnisse!BB37="","",Ergebnisse!BB37)</f>
        <v>46200.875</v>
      </c>
      <c r="BC37" s="6" t="str">
        <f>IF(Ergebnisse!BC37="","",Ergebnisse!BC37)</f>
        <v>Dallas</v>
      </c>
      <c r="BD37" s="56" t="str">
        <f>IF(Ergebnisse!BD37="","",Ergebnisse!BD37)</f>
        <v>Jordanien</v>
      </c>
      <c r="BE37" s="40"/>
      <c r="BF37" s="56" t="str">
        <f>IF(Ergebnisse!BF37="","",Ergebnisse!BF37)</f>
        <v>Argentinien</v>
      </c>
      <c r="BG37" s="55"/>
      <c r="BH37" s="107">
        <f ca="1">IF(Ergebnisse!BH37="","",Ergebnisse!BH37)</f>
        <v>1</v>
      </c>
      <c r="BI37" s="11" t="s">
        <v>25</v>
      </c>
      <c r="BJ37" s="107">
        <f ca="1">IF(Ergebnisse!BJ37="","",Ergebnisse!BJ37)</f>
        <v>3</v>
      </c>
      <c r="BM37" s="227" t="str">
        <f ca="1">IF(Ergebnisse!BM37="","",Ergebnisse!BM37)</f>
        <v>Argentinien</v>
      </c>
      <c r="BY37" s="2"/>
      <c r="CX37" s="17">
        <f ca="1">IF($CX$97="",IF(OR(Ergebnisse!BH37="",Ergebnisse!BJ37=""),0,IF(AND(BH37=Ergebnisse!BH37,BJ37=Ergebnisse!BJ37),7,MIN(7,(BH37-BJ37=Ergebnisse!BH37-Ergebnisse!BJ37)*4+(AND(BH37-BJ37&lt;&gt;Ergebnisse!BH37-Ergebnisse!BJ37,SIGN(BH37-BJ37)=SIGN(Ergebnisse!BH37-Ergebnisse!BJ37)))*2+(BH37=Ergebnisse!BH37)+(BJ37=Ergebnisse!BJ37)))),INT(RAND()*8))</f>
        <v>7</v>
      </c>
      <c r="CY37" s="17" t="str">
        <f ca="1">IF(Ergebnisse!BK37=Ergebnisse!$B$98,Ergebnisse!BK37,"")</f>
        <v>ok</v>
      </c>
    </row>
    <row r="38" spans="1:106">
      <c r="A38" s="2">
        <f>IF(Ergebnisse!A38="","",Ergebnisse!A38)</f>
        <v>63</v>
      </c>
      <c r="B38" s="6">
        <f>IF(Ergebnisse!B38="","",Ergebnisse!B38)</f>
        <v>46199.833333333336</v>
      </c>
      <c r="C38" s="6" t="str">
        <f>IF(Ergebnisse!C38="","",Ergebnisse!C38)</f>
        <v>Seattle</v>
      </c>
      <c r="D38" s="56" t="str">
        <f>IF(Ergebnisse!D38="","",Ergebnisse!D38)</f>
        <v>Ägypten</v>
      </c>
      <c r="E38" s="40"/>
      <c r="F38" s="56" t="str">
        <f>IF(Ergebnisse!F38="","",Ergebnisse!F38)</f>
        <v>IR Iran</v>
      </c>
      <c r="G38" s="55"/>
      <c r="H38" s="107">
        <f ca="1">IF(Ergebnisse!H38="","",Ergebnisse!H38)</f>
        <v>2</v>
      </c>
      <c r="I38" s="11" t="s">
        <v>25</v>
      </c>
      <c r="J38" s="107">
        <f ca="1">IF(Ergebnisse!J38="","",Ergebnisse!J38)</f>
        <v>2</v>
      </c>
      <c r="M38" s="228" t="str">
        <f ca="1">IF(Ergebnisse!M38="","",Ergebnisse!M38)</f>
        <v>IR Iran</v>
      </c>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17">
        <f ca="1">IF($CX$97="",IF(OR(Ergebnisse!H38="",Ergebnisse!J38=""),0,IF(AND(H38=Ergebnisse!H38,J38=Ergebnisse!J38),7,MIN(7,(H38-J38=Ergebnisse!H38-Ergebnisse!J38)*4+(AND(H38-J38&lt;&gt;Ergebnisse!H38-Ergebnisse!J38,SIGN(H38-J38)=SIGN(Ergebnisse!H38-Ergebnisse!J38)))*2+(H38=Ergebnisse!H38)+(J38=Ergebnisse!J38)))),INT(RAND()*8))</f>
        <v>7</v>
      </c>
      <c r="AY38" s="17" t="str">
        <f ca="1">IF(Ergebnisse!K38=Ergebnisse!$B$98,Ergebnisse!K38,"")</f>
        <v>ok</v>
      </c>
      <c r="AZ38" s="2"/>
      <c r="BA38" s="2">
        <f>IF(Ergebnisse!BA38="","",Ergebnisse!BA38)</f>
        <v>69</v>
      </c>
      <c r="BB38" s="6">
        <f>IF(Ergebnisse!BB38="","",Ergebnisse!BB38)</f>
        <v>46200.875</v>
      </c>
      <c r="BC38" s="6" t="str">
        <f>IF(Ergebnisse!BC38="","",Ergebnisse!BC38)</f>
        <v>Kansas City</v>
      </c>
      <c r="BD38" s="56" t="str">
        <f>IF(Ergebnisse!BD38="","",Ergebnisse!BD38)</f>
        <v>Algerien</v>
      </c>
      <c r="BE38" s="40"/>
      <c r="BF38" s="56" t="str">
        <f>IF(Ergebnisse!BF38="","",Ergebnisse!BF38)</f>
        <v>Österreich</v>
      </c>
      <c r="BG38" s="55"/>
      <c r="BH38" s="107">
        <f ca="1">IF(Ergebnisse!BH38="","",Ergebnisse!BH38)</f>
        <v>2</v>
      </c>
      <c r="BI38" s="11" t="s">
        <v>25</v>
      </c>
      <c r="BJ38" s="107">
        <f ca="1">IF(Ergebnisse!BJ38="","",Ergebnisse!BJ38)</f>
        <v>4</v>
      </c>
      <c r="BM38" s="227" t="str">
        <f ca="1">IF(Ergebnisse!BM38="","",Ergebnisse!BM38)</f>
        <v>Algerien</v>
      </c>
      <c r="BY38" s="2"/>
      <c r="CX38" s="17">
        <f ca="1">IF($CX$97="",IF(OR(Ergebnisse!BH38="",Ergebnisse!BJ38=""),0,IF(AND(BH38=Ergebnisse!BH38,BJ38=Ergebnisse!BJ38),7,MIN(7,(BH38-BJ38=Ergebnisse!BH38-Ergebnisse!BJ38)*4+(AND(BH38-BJ38&lt;&gt;Ergebnisse!BH38-Ergebnisse!BJ38,SIGN(BH38-BJ38)=SIGN(Ergebnisse!BH38-Ergebnisse!BJ38)))*2+(BH38=Ergebnisse!BH38)+(BJ38=Ergebnisse!BJ38)))),INT(RAND()*8))</f>
        <v>7</v>
      </c>
      <c r="CY38" s="17" t="str">
        <f ca="1">IF(Ergebnisse!BK38=Ergebnisse!$B$98,Ergebnisse!BK38,"")</f>
        <v>ok</v>
      </c>
      <c r="DA38" s="165" t="s">
        <v>84</v>
      </c>
      <c r="DB38" s="166">
        <f>DB41*(DB40+2*DB39)</f>
        <v>30</v>
      </c>
    </row>
    <row r="39" spans="1:106">
      <c r="E39" s="55"/>
      <c r="F39" s="55"/>
      <c r="G39" s="55"/>
      <c r="M39" s="228" t="str">
        <f ca="1">IF(Ergebnisse!M39="","",Ergebnisse!M39)</f>
        <v>Belgien</v>
      </c>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24">
        <f ca="1">IF($CX$97="",2*COUNTIF(Ergebnisse!$D$63:'Ergebnisse'!$F$78,M39),2*INT(RAND()*2))</f>
        <v>2</v>
      </c>
      <c r="AY39" s="17" t="str">
        <f ca="1">IF(COUNTIF(Ergebnisse!K33:'Ergebnisse'!K38,Ergebnisse!$B$98)=6,"ok","")</f>
        <v>ok</v>
      </c>
      <c r="AZ39" s="2"/>
      <c r="BE39" s="55"/>
      <c r="BF39" s="55"/>
      <c r="BG39" s="55"/>
      <c r="BM39" s="227" t="str">
        <f ca="1">IF(Ergebnisse!BM39="","",Ergebnisse!BM39)</f>
        <v>Jordanien</v>
      </c>
      <c r="BY39" s="2"/>
      <c r="CX39" s="226">
        <f ca="1">IF($CX$97="",2*COUNTIF(Ergebnisse!$D$63:'Ergebnisse'!$F$78,BM39),2*INT(RAND()*2))</f>
        <v>0</v>
      </c>
      <c r="CY39" s="17" t="str">
        <f ca="1">IF(COUNTIF(Ergebnisse!BK33:'Ergebnisse'!BK38,Ergebnisse!$B$98)=6,"ok","")</f>
        <v>ok</v>
      </c>
      <c r="DA39" s="167" t="s">
        <v>128</v>
      </c>
      <c r="DB39" s="164">
        <v>4</v>
      </c>
    </row>
    <row r="40" spans="1:106">
      <c r="D40" s="55"/>
      <c r="E40" s="58"/>
      <c r="F40" s="59"/>
      <c r="G40" s="59"/>
      <c r="H40" s="55"/>
      <c r="I40" s="55"/>
      <c r="J40" s="55"/>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17"/>
      <c r="AZ40" s="2"/>
      <c r="BD40" s="55"/>
      <c r="BE40" s="58"/>
      <c r="BF40" s="59"/>
      <c r="BG40" s="59"/>
      <c r="BH40" s="55"/>
      <c r="BI40" s="55"/>
      <c r="BJ40" s="55"/>
      <c r="BY40" s="2"/>
      <c r="DA40" s="171" t="s">
        <v>83</v>
      </c>
      <c r="DB40" s="271">
        <v>7</v>
      </c>
    </row>
    <row r="41" spans="1:106">
      <c r="A41" s="10"/>
      <c r="B41" s="229" t="s">
        <v>0</v>
      </c>
      <c r="C41" s="230" t="s">
        <v>233</v>
      </c>
      <c r="D41" s="53" t="s">
        <v>2</v>
      </c>
      <c r="E41" s="54"/>
      <c r="F41" s="53"/>
      <c r="G41" s="53"/>
      <c r="H41" s="20"/>
      <c r="I41" s="19"/>
      <c r="J41" s="20"/>
      <c r="K41" s="180"/>
      <c r="L41" s="17"/>
      <c r="M41" s="35"/>
      <c r="N41" s="17"/>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10"/>
      <c r="AX41" s="229">
        <f ca="1">IF($CX$97="",2*COUNTIF(Ergebnisse!$D$63:'Ergebnisse'!$F$78,M47),2*INT(RAND()*2))</f>
        <v>2</v>
      </c>
      <c r="AY41" s="17" t="str">
        <f ca="1">IF(COUNTIF(Ergebnisse!K43:'Ergebnisse'!K48,Ergebnisse!$B$98)=6,"ok","")</f>
        <v>ok</v>
      </c>
      <c r="AZ41" s="10"/>
      <c r="BA41" s="10"/>
      <c r="BB41" s="231" t="s">
        <v>0</v>
      </c>
      <c r="BC41" s="232" t="s">
        <v>234</v>
      </c>
      <c r="BD41" s="53" t="s">
        <v>2</v>
      </c>
      <c r="BE41" s="54"/>
      <c r="BF41" s="53"/>
      <c r="BG41" s="53"/>
      <c r="BH41" s="20"/>
      <c r="BI41" s="19"/>
      <c r="BJ41" s="20"/>
      <c r="BK41" s="180"/>
      <c r="BL41" s="17"/>
      <c r="BM41" s="35"/>
      <c r="BN41" s="17"/>
      <c r="BY41" s="2"/>
      <c r="CX41" s="231">
        <f ca="1">IF($CX$97="",2*COUNTIF(Ergebnisse!$D$63:'Ergebnisse'!$F$78,BM47),2*INT(RAND()*2))</f>
        <v>2</v>
      </c>
      <c r="CY41" s="17" t="str">
        <f ca="1">IF(COUNTIF(Ergebnisse!BK43:'Ergebnisse'!BK48,Ergebnisse!$B$98)=6,"ok","")</f>
        <v>ok</v>
      </c>
      <c r="DA41" s="168" t="s">
        <v>76</v>
      </c>
      <c r="DB41" s="169">
        <v>2</v>
      </c>
    </row>
    <row r="42" spans="1:106">
      <c r="B42" s="6" t="s">
        <v>22</v>
      </c>
      <c r="C42" s="6" t="s">
        <v>23</v>
      </c>
      <c r="D42" s="56"/>
      <c r="E42" s="40"/>
      <c r="F42" s="56"/>
      <c r="G42" s="53"/>
      <c r="H42" s="20"/>
      <c r="I42" s="19"/>
      <c r="J42" s="20"/>
      <c r="L42" s="1"/>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29">
        <f ca="1">IF($CX$97="",2*COUNTIF(Ergebnisse!$D$63:'Ergebnisse'!$F$78,M48),2*INT(RAND()*2))</f>
        <v>2</v>
      </c>
      <c r="AY42" s="17" t="str">
        <f ca="1">IF(COUNTIF(Ergebnisse!K43:'Ergebnisse'!K48,Ergebnisse!$B$98)=6,"ok","")</f>
        <v>ok</v>
      </c>
      <c r="AZ42" s="2"/>
      <c r="BB42" s="6" t="s">
        <v>22</v>
      </c>
      <c r="BC42" s="6" t="s">
        <v>23</v>
      </c>
      <c r="BD42" s="56"/>
      <c r="BE42" s="40"/>
      <c r="BF42" s="56"/>
      <c r="BG42" s="53"/>
      <c r="BH42" s="20"/>
      <c r="BI42" s="19"/>
      <c r="BJ42" s="20"/>
      <c r="BL42" s="1"/>
      <c r="BY42" s="2"/>
      <c r="CX42" s="231">
        <f ca="1">IF($CX$97="",2*COUNTIF(Ergebnisse!$D$63:'Ergebnisse'!$F$78,BM48),2*INT(RAND()*2))</f>
        <v>2</v>
      </c>
      <c r="CY42" s="17" t="str">
        <f ca="1">IF(COUNTIF(Ergebnisse!BK43:'Ergebnisse'!BK48,Ergebnisse!$B$98)=6,"ok","")</f>
        <v>ok</v>
      </c>
    </row>
    <row r="43" spans="1:106">
      <c r="A43" s="2">
        <f>IF(Ergebnisse!A43="","",Ergebnisse!A43)</f>
        <v>14</v>
      </c>
      <c r="B43" s="6">
        <f>IF(Ergebnisse!B43="","",Ergebnisse!B43)</f>
        <v>46188.5</v>
      </c>
      <c r="C43" s="6" t="str">
        <f>IF(Ergebnisse!C43="","",Ergebnisse!C43)</f>
        <v>Atlanta</v>
      </c>
      <c r="D43" s="56" t="str">
        <f>IF(Ergebnisse!D43="","",Ergebnisse!D43)</f>
        <v>Spanien</v>
      </c>
      <c r="E43" s="40"/>
      <c r="F43" s="56" t="str">
        <f>IF(Ergebnisse!F43="","",Ergebnisse!F43)</f>
        <v>Kap Verde</v>
      </c>
      <c r="G43" s="53"/>
      <c r="H43" s="107">
        <f ca="1">IF(Ergebnisse!H43="","",Ergebnisse!H43)</f>
        <v>6</v>
      </c>
      <c r="I43" s="11" t="s">
        <v>25</v>
      </c>
      <c r="J43" s="107">
        <f ca="1">IF(Ergebnisse!J43="","",Ergebnisse!J43)</f>
        <v>1</v>
      </c>
      <c r="L43" s="1"/>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17">
        <f ca="1">IF($CX$97="",IF(OR(Ergebnisse!H43="",Ergebnisse!J43=""),0,IF(AND(H43=Ergebnisse!H43,J43=Ergebnisse!J43),7,MIN(7,(H43-J43=Ergebnisse!H43-Ergebnisse!J43)*4+(AND(H43-J43&lt;&gt;Ergebnisse!H43-Ergebnisse!J43,SIGN(H43-J43)=SIGN(Ergebnisse!H43-Ergebnisse!J43)))*2+(H43=Ergebnisse!H43)+(J43=Ergebnisse!J43)))),INT(RAND()*8))</f>
        <v>7</v>
      </c>
      <c r="AY43" s="17" t="str">
        <f ca="1">IF(Ergebnisse!K43=Ergebnisse!$B$98,Ergebnisse!K43,"")</f>
        <v>ok</v>
      </c>
      <c r="AZ43" s="2"/>
      <c r="BA43" s="2">
        <f>IF(Ergebnisse!BA43="","",Ergebnisse!BA43)</f>
        <v>23</v>
      </c>
      <c r="BB43" s="6">
        <f>IF(Ergebnisse!BB43="","",Ergebnisse!BB43)</f>
        <v>46190.5</v>
      </c>
      <c r="BC43" s="6" t="str">
        <f>IF(Ergebnisse!BC43="","",Ergebnisse!BC43)</f>
        <v>Houston</v>
      </c>
      <c r="BD43" s="56" t="str">
        <f>IF(Ergebnisse!BD43="","",Ergebnisse!BD43)</f>
        <v>Portugal</v>
      </c>
      <c r="BE43" s="40"/>
      <c r="BF43" s="56" t="str">
        <f>IF(Ergebnisse!BF43="","",Ergebnisse!BF43)</f>
        <v>DR Kongo</v>
      </c>
      <c r="BG43" s="53"/>
      <c r="BH43" s="107">
        <f ca="1">IF(Ergebnisse!BH43="","",Ergebnisse!BH43)</f>
        <v>4</v>
      </c>
      <c r="BI43" s="11" t="s">
        <v>25</v>
      </c>
      <c r="BJ43" s="107">
        <f ca="1">IF(Ergebnisse!BJ43="","",Ergebnisse!BJ43)</f>
        <v>1</v>
      </c>
      <c r="BL43" s="1"/>
      <c r="BY43" s="2"/>
      <c r="CX43" s="17">
        <f ca="1">IF($CX$97="",IF(OR(Ergebnisse!BH43="",Ergebnisse!BJ43=""),0,IF(AND(BH43=Ergebnisse!BH43,BJ43=Ergebnisse!BJ43),7,MIN(7,(BH43-BJ43=Ergebnisse!BH43-Ergebnisse!BJ43)*4+(AND(BH43-BJ43&lt;&gt;Ergebnisse!BH43-Ergebnisse!BJ43,SIGN(BH43-BJ43)=SIGN(Ergebnisse!BH43-Ergebnisse!BJ43)))*2+(BH43=Ergebnisse!BH43)+(BJ43=Ergebnisse!BJ43)))),INT(RAND()*8))</f>
        <v>7</v>
      </c>
      <c r="CY43" s="17" t="str">
        <f ca="1">IF(Ergebnisse!BK43=Ergebnisse!$B$98,Ergebnisse!BK43,"")</f>
        <v>ok</v>
      </c>
      <c r="DA43" s="165" t="s">
        <v>63</v>
      </c>
      <c r="DB43" s="272">
        <v>24</v>
      </c>
    </row>
    <row r="44" spans="1:106">
      <c r="A44" s="2">
        <f>IF(Ergebnisse!A44="","",Ergebnisse!A44)</f>
        <v>13</v>
      </c>
      <c r="B44" s="6">
        <f>IF(Ergebnisse!B44="","",Ergebnisse!B44)</f>
        <v>46188.75</v>
      </c>
      <c r="C44" s="6" t="str">
        <f>IF(Ergebnisse!C44="","",Ergebnisse!C44)</f>
        <v>Miami</v>
      </c>
      <c r="D44" s="56" t="str">
        <f>IF(Ergebnisse!D44="","",Ergebnisse!D44)</f>
        <v>Saudiarabien</v>
      </c>
      <c r="E44" s="40"/>
      <c r="F44" s="56" t="str">
        <f>IF(Ergebnisse!F44="","",Ergebnisse!F44)</f>
        <v>Uruguay</v>
      </c>
      <c r="G44" s="53"/>
      <c r="H44" s="107">
        <f ca="1">IF(Ergebnisse!H44="","",Ergebnisse!H44)</f>
        <v>0</v>
      </c>
      <c r="I44" s="11" t="s">
        <v>25</v>
      </c>
      <c r="J44" s="107">
        <f ca="1">IF(Ergebnisse!J44="","",Ergebnisse!J44)</f>
        <v>2</v>
      </c>
      <c r="L44" s="1"/>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17">
        <f ca="1">IF($CX$97="",IF(OR(Ergebnisse!H44="",Ergebnisse!J44=""),0,IF(AND(H44=Ergebnisse!H44,J44=Ergebnisse!J44),7,MIN(7,(H44-J44=Ergebnisse!H44-Ergebnisse!J44)*4+(AND(H44-J44&lt;&gt;Ergebnisse!H44-Ergebnisse!J44,SIGN(H44-J44)=SIGN(Ergebnisse!H44-Ergebnisse!J44)))*2+(H44=Ergebnisse!H44)+(J44=Ergebnisse!J44)))),INT(RAND()*8))</f>
        <v>7</v>
      </c>
      <c r="AY44" s="17" t="str">
        <f ca="1">IF(Ergebnisse!K44=Ergebnisse!$B$98,Ergebnisse!K44,"")</f>
        <v>ok</v>
      </c>
      <c r="AZ44" s="2"/>
      <c r="BA44" s="2">
        <f>IF(Ergebnisse!BA44="","",Ergebnisse!BA44)</f>
        <v>24</v>
      </c>
      <c r="BB44" s="6">
        <f>IF(Ergebnisse!BB44="","",Ergebnisse!BB44)</f>
        <v>46190.875</v>
      </c>
      <c r="BC44" s="6" t="str">
        <f>IF(Ergebnisse!BC44="","",Ergebnisse!BC44)</f>
        <v>Mexico City</v>
      </c>
      <c r="BD44" s="56" t="str">
        <f>IF(Ergebnisse!BD44="","",Ergebnisse!BD44)</f>
        <v>Usbekistan</v>
      </c>
      <c r="BE44" s="40"/>
      <c r="BF44" s="56" t="str">
        <f>IF(Ergebnisse!BF44="","",Ergebnisse!BF44)</f>
        <v>Kolumbien</v>
      </c>
      <c r="BG44" s="53"/>
      <c r="BH44" s="107">
        <f ca="1">IF(Ergebnisse!BH44="","",Ergebnisse!BH44)</f>
        <v>1</v>
      </c>
      <c r="BI44" s="11" t="s">
        <v>25</v>
      </c>
      <c r="BJ44" s="107">
        <f ca="1">IF(Ergebnisse!BJ44="","",Ergebnisse!BJ44)</f>
        <v>0</v>
      </c>
      <c r="BL44" s="1"/>
      <c r="BY44" s="2"/>
      <c r="CX44" s="17">
        <f ca="1">IF($CX$97="",IF(OR(Ergebnisse!BH44="",Ergebnisse!BJ44=""),0,IF(AND(BH44=Ergebnisse!BH44,BJ44=Ergebnisse!BJ44),7,MIN(7,(BH44-BJ44=Ergebnisse!BH44-Ergebnisse!BJ44)*4+(AND(BH44-BJ44&lt;&gt;Ergebnisse!BH44-Ergebnisse!BJ44,SIGN(BH44-BJ44)=SIGN(Ergebnisse!BH44-Ergebnisse!BJ44)))*2+(BH44=Ergebnisse!BH44)+(BJ44=Ergebnisse!BJ44)))),INT(RAND()*8))</f>
        <v>7</v>
      </c>
      <c r="CY44" s="17" t="str">
        <f ca="1">IF(Ergebnisse!BK44=Ergebnisse!$B$98,Ergebnisse!BK44,"")</f>
        <v>ok</v>
      </c>
    </row>
    <row r="45" spans="1:106">
      <c r="A45" s="2">
        <f>IF(Ergebnisse!A45="","",Ergebnisse!A45)</f>
        <v>38</v>
      </c>
      <c r="B45" s="6">
        <f>IF(Ergebnisse!B45="","",Ergebnisse!B45)</f>
        <v>46194.5</v>
      </c>
      <c r="C45" s="6" t="str">
        <f>IF(Ergebnisse!C45="","",Ergebnisse!C45)</f>
        <v>Atlanta</v>
      </c>
      <c r="D45" s="56" t="str">
        <f>IF(Ergebnisse!D45="","",Ergebnisse!D45)</f>
        <v>Spanien</v>
      </c>
      <c r="E45" s="40"/>
      <c r="F45" s="56" t="str">
        <f>IF(Ergebnisse!F45="","",Ergebnisse!F45)</f>
        <v>Saudiarabien</v>
      </c>
      <c r="G45" s="53"/>
      <c r="H45" s="107">
        <f ca="1">IF(Ergebnisse!H45="","",Ergebnisse!H45)</f>
        <v>0</v>
      </c>
      <c r="I45" s="11" t="s">
        <v>25</v>
      </c>
      <c r="J45" s="107">
        <f ca="1">IF(Ergebnisse!J45="","",Ergebnisse!J45)</f>
        <v>4</v>
      </c>
      <c r="L45" s="1"/>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17">
        <f ca="1">IF($CX$97="",IF(OR(Ergebnisse!H45="",Ergebnisse!J45=""),0,IF(AND(H45=Ergebnisse!H45,J45=Ergebnisse!J45),7,MIN(7,(H45-J45=Ergebnisse!H45-Ergebnisse!J45)*4+(AND(H45-J45&lt;&gt;Ergebnisse!H45-Ergebnisse!J45,SIGN(H45-J45)=SIGN(Ergebnisse!H45-Ergebnisse!J45)))*2+(H45=Ergebnisse!H45)+(J45=Ergebnisse!J45)))),INT(RAND()*8))</f>
        <v>7</v>
      </c>
      <c r="AY45" s="17" t="str">
        <f ca="1">IF(Ergebnisse!K45=Ergebnisse!$B$98,Ergebnisse!K45,"")</f>
        <v>ok</v>
      </c>
      <c r="AZ45" s="2"/>
      <c r="BA45" s="2">
        <f>IF(Ergebnisse!BA45="","",Ergebnisse!BA45)</f>
        <v>47</v>
      </c>
      <c r="BB45" s="6">
        <f>IF(Ergebnisse!BB45="","",Ergebnisse!BB45)</f>
        <v>46196.5</v>
      </c>
      <c r="BC45" s="6" t="str">
        <f>IF(Ergebnisse!BC45="","",Ergebnisse!BC45)</f>
        <v>Houston</v>
      </c>
      <c r="BD45" s="56" t="str">
        <f>IF(Ergebnisse!BD45="","",Ergebnisse!BD45)</f>
        <v>Portugal</v>
      </c>
      <c r="BE45" s="40"/>
      <c r="BF45" s="56" t="str">
        <f>IF(Ergebnisse!BF45="","",Ergebnisse!BF45)</f>
        <v>Usbekistan</v>
      </c>
      <c r="BG45" s="53"/>
      <c r="BH45" s="107">
        <f ca="1">IF(Ergebnisse!BH45="","",Ergebnisse!BH45)</f>
        <v>0</v>
      </c>
      <c r="BI45" s="11" t="s">
        <v>25</v>
      </c>
      <c r="BJ45" s="107">
        <f ca="1">IF(Ergebnisse!BJ45="","",Ergebnisse!BJ45)</f>
        <v>2</v>
      </c>
      <c r="BL45" s="1"/>
      <c r="BY45" s="2"/>
      <c r="CX45" s="17">
        <f ca="1">IF($CX$97="",IF(OR(Ergebnisse!BH45="",Ergebnisse!BJ45=""),0,IF(AND(BH45=Ergebnisse!BH45,BJ45=Ergebnisse!BJ45),7,MIN(7,(BH45-BJ45=Ergebnisse!BH45-Ergebnisse!BJ45)*4+(AND(BH45-BJ45&lt;&gt;Ergebnisse!BH45-Ergebnisse!BJ45,SIGN(BH45-BJ45)=SIGN(Ergebnisse!BH45-Ergebnisse!BJ45)))*2+(BH45=Ergebnisse!BH45)+(BJ45=Ergebnisse!BJ45)))),INT(RAND()*8))</f>
        <v>7</v>
      </c>
      <c r="CY45" s="17" t="str">
        <f ca="1">IF(Ergebnisse!BK45=Ergebnisse!$B$98,Ergebnisse!BK45,"")</f>
        <v>ok</v>
      </c>
      <c r="DA45" s="165" t="s">
        <v>180</v>
      </c>
      <c r="DB45" s="186">
        <f>DB47*(2*DB46)</f>
        <v>64</v>
      </c>
    </row>
    <row r="46" spans="1:106">
      <c r="A46" s="2">
        <f>IF(Ergebnisse!A46="","",Ergebnisse!A46)</f>
        <v>37</v>
      </c>
      <c r="B46" s="6">
        <f>IF(Ergebnisse!B46="","",Ergebnisse!B46)</f>
        <v>46194.75</v>
      </c>
      <c r="C46" s="6" t="str">
        <f>IF(Ergebnisse!C46="","",Ergebnisse!C46)</f>
        <v>Miami</v>
      </c>
      <c r="D46" s="56" t="str">
        <f>IF(Ergebnisse!D46="","",Ergebnisse!D46)</f>
        <v>Uruguay</v>
      </c>
      <c r="E46" s="40"/>
      <c r="F46" s="56" t="str">
        <f>IF(Ergebnisse!F46="","",Ergebnisse!F46)</f>
        <v>Kap Verde</v>
      </c>
      <c r="G46" s="53"/>
      <c r="H46" s="107">
        <f ca="1">IF(Ergebnisse!H46="","",Ergebnisse!H46)</f>
        <v>5</v>
      </c>
      <c r="I46" s="11" t="s">
        <v>25</v>
      </c>
      <c r="J46" s="107">
        <f ca="1">IF(Ergebnisse!J46="","",Ergebnisse!J46)</f>
        <v>2</v>
      </c>
      <c r="L46" s="1"/>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17">
        <f ca="1">IF($CX$97="",IF(OR(Ergebnisse!H46="",Ergebnisse!J46=""),0,IF(AND(H46=Ergebnisse!H46,J46=Ergebnisse!J46),7,MIN(7,(H46-J46=Ergebnisse!H46-Ergebnisse!J46)*4+(AND(H46-J46&lt;&gt;Ergebnisse!H46-Ergebnisse!J46,SIGN(H46-J46)=SIGN(Ergebnisse!H46-Ergebnisse!J46)))*2+(H46=Ergebnisse!H46)+(J46=Ergebnisse!J46)))),INT(RAND()*8))</f>
        <v>7</v>
      </c>
      <c r="AY46" s="17" t="str">
        <f ca="1">IF(Ergebnisse!K46=Ergebnisse!$B$98,Ergebnisse!K46,"")</f>
        <v>ok</v>
      </c>
      <c r="AZ46" s="2"/>
      <c r="BA46" s="2">
        <f>IF(Ergebnisse!BA46="","",Ergebnisse!BA46)</f>
        <v>48</v>
      </c>
      <c r="BB46" s="6">
        <f>IF(Ergebnisse!BB46="","",Ergebnisse!BB46)</f>
        <v>46196.875</v>
      </c>
      <c r="BC46" s="6" t="str">
        <f>IF(Ergebnisse!BC46="","",Ergebnisse!BC46)</f>
        <v>Guadalajara</v>
      </c>
      <c r="BD46" s="56" t="str">
        <f>IF(Ergebnisse!BD46="","",Ergebnisse!BD46)</f>
        <v>Kolumbien</v>
      </c>
      <c r="BE46" s="40"/>
      <c r="BF46" s="56" t="str">
        <f>IF(Ergebnisse!BF46="","",Ergebnisse!BF46)</f>
        <v>DR Kongo</v>
      </c>
      <c r="BG46" s="53"/>
      <c r="BH46" s="107">
        <f ca="1">IF(Ergebnisse!BH46="","",Ergebnisse!BH46)</f>
        <v>4</v>
      </c>
      <c r="BI46" s="11" t="s">
        <v>25</v>
      </c>
      <c r="BJ46" s="107">
        <f ca="1">IF(Ergebnisse!BJ46="","",Ergebnisse!BJ46)</f>
        <v>5</v>
      </c>
      <c r="BL46" s="1"/>
      <c r="BY46" s="2"/>
      <c r="CX46" s="17">
        <f ca="1">IF($CX$97="",IF(OR(Ergebnisse!BH46="",Ergebnisse!BJ46=""),0,IF(AND(BH46=Ergebnisse!BH46,BJ46=Ergebnisse!BJ46),7,MIN(7,(BH46-BJ46=Ergebnisse!BH46-Ergebnisse!BJ46)*4+(AND(BH46-BJ46&lt;&gt;Ergebnisse!BH46-Ergebnisse!BJ46,SIGN(BH46-BJ46)=SIGN(Ergebnisse!BH46-Ergebnisse!BJ46)))*2+(BH46=Ergebnisse!BH46)+(BJ46=Ergebnisse!BJ46)))),INT(RAND()*8))</f>
        <v>7</v>
      </c>
      <c r="CY46" s="17" t="str">
        <f ca="1">IF(Ergebnisse!BK46=Ergebnisse!$B$98,Ergebnisse!BK46,"")</f>
        <v>ok</v>
      </c>
      <c r="DA46" s="167" t="s">
        <v>181</v>
      </c>
      <c r="DB46" s="270">
        <v>1</v>
      </c>
    </row>
    <row r="47" spans="1:106">
      <c r="A47" s="2">
        <f>IF(Ergebnisse!A47="","",Ergebnisse!A47)</f>
        <v>66</v>
      </c>
      <c r="B47" s="6">
        <f>IF(Ergebnisse!B47="","",Ergebnisse!B47)</f>
        <v>46199.791666666672</v>
      </c>
      <c r="C47" s="6" t="str">
        <f>IF(Ergebnisse!C47="","",Ergebnisse!C47)</f>
        <v>Guadalajara</v>
      </c>
      <c r="D47" s="56" t="str">
        <f>IF(Ergebnisse!D47="","",Ergebnisse!D47)</f>
        <v>Uruguay</v>
      </c>
      <c r="E47" s="40"/>
      <c r="F47" s="56" t="str">
        <f>IF(Ergebnisse!F47="","",Ergebnisse!F47)</f>
        <v>Spanien</v>
      </c>
      <c r="G47" s="53"/>
      <c r="H47" s="107">
        <f ca="1">IF(Ergebnisse!H47="","",Ergebnisse!H47)</f>
        <v>4</v>
      </c>
      <c r="I47" s="11" t="s">
        <v>25</v>
      </c>
      <c r="J47" s="107">
        <f ca="1">IF(Ergebnisse!J47="","",Ergebnisse!J47)</f>
        <v>4</v>
      </c>
      <c r="L47" s="1"/>
      <c r="M47" s="233" t="str">
        <f ca="1">IF(Ergebnisse!M47="","",Ergebnisse!M47)</f>
        <v>Uruguay</v>
      </c>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17">
        <f ca="1">IF($CX$97="",IF(OR(Ergebnisse!H47="",Ergebnisse!J47=""),0,IF(AND(H47=Ergebnisse!H47,J47=Ergebnisse!J47),7,MIN(7,(H47-J47=Ergebnisse!H47-Ergebnisse!J47)*4+(AND(H47-J47&lt;&gt;Ergebnisse!H47-Ergebnisse!J47,SIGN(H47-J47)=SIGN(Ergebnisse!H47-Ergebnisse!J47)))*2+(H47=Ergebnisse!H47)+(J47=Ergebnisse!J47)))),INT(RAND()*8))</f>
        <v>7</v>
      </c>
      <c r="AY47" s="17" t="str">
        <f ca="1">IF(Ergebnisse!K47=Ergebnisse!$B$98,Ergebnisse!K47,"")</f>
        <v>ok</v>
      </c>
      <c r="AZ47" s="2"/>
      <c r="BA47" s="2">
        <f>IF(Ergebnisse!BA47="","",Ergebnisse!BA47)</f>
        <v>72</v>
      </c>
      <c r="BB47" s="6">
        <f>IF(Ergebnisse!BB47="","",Ergebnisse!BB47)</f>
        <v>46200.8125</v>
      </c>
      <c r="BC47" s="6" t="str">
        <f>IF(Ergebnisse!BC47="","",Ergebnisse!BC47)</f>
        <v>Atlanta</v>
      </c>
      <c r="BD47" s="56" t="str">
        <f>IF(Ergebnisse!BD47="","",Ergebnisse!BD47)</f>
        <v>Kolumbien</v>
      </c>
      <c r="BE47" s="40"/>
      <c r="BF47" s="56" t="str">
        <f>IF(Ergebnisse!BF47="","",Ergebnisse!BF47)</f>
        <v>Portugal</v>
      </c>
      <c r="BG47" s="53"/>
      <c r="BH47" s="107">
        <f ca="1">IF(Ergebnisse!BH47="","",Ergebnisse!BH47)</f>
        <v>3</v>
      </c>
      <c r="BI47" s="11" t="s">
        <v>25</v>
      </c>
      <c r="BJ47" s="107">
        <f ca="1">IF(Ergebnisse!BJ47="","",Ergebnisse!BJ47)</f>
        <v>5</v>
      </c>
      <c r="BL47" s="1"/>
      <c r="BM47" s="232" t="str">
        <f ca="1">IF(Ergebnisse!BM47="","",Ergebnisse!BM47)</f>
        <v>Portugal</v>
      </c>
      <c r="BY47" s="2"/>
      <c r="CX47" s="17">
        <f ca="1">IF($CX$97="",IF(OR(Ergebnisse!BH47="",Ergebnisse!BJ47=""),0,IF(AND(BH47=Ergebnisse!BH47,BJ47=Ergebnisse!BJ47),7,MIN(7,(BH47-BJ47=Ergebnisse!BH47-Ergebnisse!BJ47)*4+(AND(BH47-BJ47&lt;&gt;Ergebnisse!BH47-Ergebnisse!BJ47,SIGN(BH47-BJ47)=SIGN(Ergebnisse!BH47-Ergebnisse!BJ47)))*2+(BH47=Ergebnisse!BH47)+(BJ47=Ergebnisse!BJ47)))),INT(RAND()*8))</f>
        <v>7</v>
      </c>
      <c r="CY47" s="17" t="str">
        <f ca="1">IF(Ergebnisse!BK47=Ergebnisse!$B$98,Ergebnisse!BK47,"")</f>
        <v>ok</v>
      </c>
      <c r="CZ47" s="55"/>
      <c r="DA47" s="168" t="s">
        <v>182</v>
      </c>
      <c r="DB47" s="188">
        <v>32</v>
      </c>
    </row>
    <row r="48" spans="1:106">
      <c r="A48" s="2">
        <f>IF(Ergebnisse!A48="","",Ergebnisse!A48)</f>
        <v>65</v>
      </c>
      <c r="B48" s="6">
        <f>IF(Ergebnisse!B48="","",Ergebnisse!B48)</f>
        <v>46199.791666666672</v>
      </c>
      <c r="C48" s="6" t="str">
        <f>IF(Ergebnisse!C48="","",Ergebnisse!C48)</f>
        <v>Houston</v>
      </c>
      <c r="D48" s="56" t="str">
        <f>IF(Ergebnisse!D48="","",Ergebnisse!D48)</f>
        <v>Kap Verde</v>
      </c>
      <c r="E48" s="40"/>
      <c r="F48" s="56" t="str">
        <f>IF(Ergebnisse!F48="","",Ergebnisse!F48)</f>
        <v>Saudiarabien</v>
      </c>
      <c r="G48" s="53"/>
      <c r="H48" s="107">
        <f ca="1">IF(Ergebnisse!H48="","",Ergebnisse!H48)</f>
        <v>4</v>
      </c>
      <c r="I48" s="11" t="s">
        <v>25</v>
      </c>
      <c r="J48" s="107">
        <f ca="1">IF(Ergebnisse!J48="","",Ergebnisse!J48)</f>
        <v>3</v>
      </c>
      <c r="L48" s="1"/>
      <c r="M48" s="233" t="str">
        <f ca="1">IF(Ergebnisse!M48="","",Ergebnisse!M48)</f>
        <v>Spanien</v>
      </c>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17">
        <f ca="1">IF($CX$97="",IF(OR(Ergebnisse!H48="",Ergebnisse!J48=""),0,IF(AND(H48=Ergebnisse!H48,J48=Ergebnisse!J48),7,MIN(7,(H48-J48=Ergebnisse!H48-Ergebnisse!J48)*4+(AND(H48-J48&lt;&gt;Ergebnisse!H48-Ergebnisse!J48,SIGN(H48-J48)=SIGN(Ergebnisse!H48-Ergebnisse!J48)))*2+(H48=Ergebnisse!H48)+(J48=Ergebnisse!J48)))),INT(RAND()*8))</f>
        <v>7</v>
      </c>
      <c r="AY48" s="17" t="str">
        <f ca="1">IF(Ergebnisse!K48=Ergebnisse!$B$98,Ergebnisse!K48,"")</f>
        <v>ok</v>
      </c>
      <c r="AZ48" s="2"/>
      <c r="BA48" s="2">
        <f>IF(Ergebnisse!BA48="","",Ergebnisse!BA48)</f>
        <v>71</v>
      </c>
      <c r="BB48" s="6">
        <f>IF(Ergebnisse!BB48="","",Ergebnisse!BB48)</f>
        <v>46200.8125</v>
      </c>
      <c r="BC48" s="6" t="str">
        <f>IF(Ergebnisse!BC48="","",Ergebnisse!BC48)</f>
        <v>Miami</v>
      </c>
      <c r="BD48" s="56" t="str">
        <f>IF(Ergebnisse!BD48="","",Ergebnisse!BD48)</f>
        <v>DR Kongo</v>
      </c>
      <c r="BE48" s="40"/>
      <c r="BF48" s="56" t="str">
        <f>IF(Ergebnisse!BF48="","",Ergebnisse!BF48)</f>
        <v>Usbekistan</v>
      </c>
      <c r="BG48" s="53"/>
      <c r="BH48" s="107">
        <f ca="1">IF(Ergebnisse!BH48="","",Ergebnisse!BH48)</f>
        <v>2</v>
      </c>
      <c r="BI48" s="11" t="s">
        <v>25</v>
      </c>
      <c r="BJ48" s="107">
        <f ca="1">IF(Ergebnisse!BJ48="","",Ergebnisse!BJ48)</f>
        <v>1</v>
      </c>
      <c r="BL48" s="1"/>
      <c r="BM48" s="232" t="str">
        <f ca="1">IF(Ergebnisse!BM48="","",Ergebnisse!BM48)</f>
        <v>Usbekistan</v>
      </c>
      <c r="BY48" s="2"/>
      <c r="CX48" s="17">
        <f ca="1">IF($CX$97="",IF(OR(Ergebnisse!BH48="",Ergebnisse!BJ48=""),0,IF(AND(BH48=Ergebnisse!BH48,BJ48=Ergebnisse!BJ48),7,MIN(7,(BH48-BJ48=Ergebnisse!BH48-Ergebnisse!BJ48)*4+(AND(BH48-BJ48&lt;&gt;Ergebnisse!BH48-Ergebnisse!BJ48,SIGN(BH48-BJ48)=SIGN(Ergebnisse!BH48-Ergebnisse!BJ48)))*2+(BH48=Ergebnisse!BH48)+(BJ48=Ergebnisse!BJ48)))),INT(RAND()*8))</f>
        <v>7</v>
      </c>
      <c r="CY48" s="17" t="str">
        <f ca="1">IF(Ergebnisse!BK48=Ergebnisse!$B$98,Ergebnisse!BK48,"")</f>
        <v>ok</v>
      </c>
      <c r="CZ48" s="55"/>
      <c r="DA48" s="163"/>
      <c r="DB48" s="187"/>
    </row>
    <row r="49" spans="1:106">
      <c r="E49" s="55"/>
      <c r="F49" s="55"/>
      <c r="G49" s="55"/>
      <c r="M49" s="233" t="str">
        <f ca="1">IF(Ergebnisse!M49="","",Ergebnisse!M49)</f>
        <v>Kap Verde</v>
      </c>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29">
        <f ca="1">IF($CX$97="",2*COUNTIF(Ergebnisse!$D$63:'Ergebnisse'!$F$78,M49),2*INT(RAND()*2))</f>
        <v>0</v>
      </c>
      <c r="AY49" s="17" t="str">
        <f ca="1">IF(COUNTIF(Ergebnisse!K43:'Ergebnisse'!K48,Ergebnisse!$B$98)=6,"ok","")</f>
        <v>ok</v>
      </c>
      <c r="AZ49" s="2"/>
      <c r="BE49" s="55"/>
      <c r="BF49" s="55"/>
      <c r="BG49" s="55"/>
      <c r="BM49" s="232" t="str">
        <f ca="1">IF(Ergebnisse!BM49="","",Ergebnisse!BM49)</f>
        <v>DR Kongo</v>
      </c>
      <c r="BY49" s="2"/>
      <c r="CX49" s="231">
        <f ca="1">IF($CX$97="",2*COUNTIF(Ergebnisse!$D$63:'Ergebnisse'!$F$78,BM49),2*INT(RAND()*2))</f>
        <v>2</v>
      </c>
      <c r="CY49" s="17" t="str">
        <f ca="1">IF(COUNTIF(Ergebnisse!BK43:'Ergebnisse'!BK48,Ergebnisse!$B$98)=6,"ok","")</f>
        <v>ok</v>
      </c>
      <c r="CZ49" s="55"/>
      <c r="DA49" s="165" t="s">
        <v>74</v>
      </c>
      <c r="DB49" s="186">
        <f>DB3+DB9+DB14+DB19+DB25+DB32+DB38+DB43+DB45</f>
        <v>1000</v>
      </c>
    </row>
    <row r="50" spans="1:106">
      <c r="D50" s="55"/>
      <c r="E50" s="58"/>
      <c r="F50" s="59"/>
      <c r="G50" s="59"/>
      <c r="H50" s="55"/>
      <c r="I50" s="55"/>
      <c r="J50" s="55"/>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Z50" s="2"/>
      <c r="BD50" s="55"/>
      <c r="BE50" s="58"/>
      <c r="BF50" s="59"/>
      <c r="BG50" s="59"/>
      <c r="BH50" s="55"/>
      <c r="BI50" s="55"/>
      <c r="BJ50" s="55"/>
      <c r="BY50" s="2"/>
      <c r="CX50" s="1"/>
      <c r="CZ50" s="55"/>
    </row>
    <row r="51" spans="1:106">
      <c r="A51" s="10"/>
      <c r="B51" s="234" t="s">
        <v>0</v>
      </c>
      <c r="C51" s="235" t="s">
        <v>247</v>
      </c>
      <c r="D51" s="53" t="s">
        <v>2</v>
      </c>
      <c r="E51" s="54"/>
      <c r="F51" s="53"/>
      <c r="G51" s="53"/>
      <c r="H51" s="20"/>
      <c r="I51" s="19"/>
      <c r="J51" s="20"/>
      <c r="K51" s="180"/>
      <c r="L51" s="17"/>
      <c r="M51" s="35"/>
      <c r="N51" s="17"/>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10"/>
      <c r="AX51" s="234">
        <f ca="1">IF($CX$97="",2*COUNTIF(Ergebnisse!$D$63:'Ergebnisse'!$F$78,M57),2*INT(RAND()*2))</f>
        <v>2</v>
      </c>
      <c r="AY51" s="17" t="str">
        <f ca="1">IF(COUNTIF(Ergebnisse!K53:'Ergebnisse'!K58,Ergebnisse!$B$98)=6,"ok","")</f>
        <v>ok</v>
      </c>
      <c r="AZ51" s="10"/>
      <c r="BA51" s="10"/>
      <c r="BB51" s="236" t="s">
        <v>0</v>
      </c>
      <c r="BC51" s="237" t="s">
        <v>248</v>
      </c>
      <c r="BD51" s="53" t="s">
        <v>2</v>
      </c>
      <c r="BE51" s="54"/>
      <c r="BF51" s="53"/>
      <c r="BG51" s="53"/>
      <c r="BH51" s="20"/>
      <c r="BI51" s="19"/>
      <c r="BJ51" s="20"/>
      <c r="BK51" s="180"/>
      <c r="BL51" s="17"/>
      <c r="BM51" s="35"/>
      <c r="BN51" s="17"/>
      <c r="BY51" s="2"/>
      <c r="CX51" s="236">
        <f ca="1">IF($CX$97="",2*COUNTIF(Ergebnisse!$D$63:'Ergebnisse'!$F$78,BM57),2*INT(RAND()*2))</f>
        <v>2</v>
      </c>
      <c r="CY51" s="17" t="str">
        <f ca="1">IF(COUNTIF(Ergebnisse!BK53:'Ergebnisse'!BK58,Ergebnisse!$B$98)=6,"ok","")</f>
        <v>ok</v>
      </c>
      <c r="CZ51" s="55"/>
    </row>
    <row r="52" spans="1:106">
      <c r="B52" s="3" t="s">
        <v>22</v>
      </c>
      <c r="C52" s="3" t="s">
        <v>23</v>
      </c>
      <c r="D52" s="55"/>
      <c r="E52" s="55"/>
      <c r="F52" s="55"/>
      <c r="G52" s="55"/>
      <c r="L52" s="1"/>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34">
        <f ca="1">IF($CX$97="",2*COUNTIF(Ergebnisse!$D$63:'Ergebnisse'!$F$78,M58),2*INT(RAND()*2))</f>
        <v>2</v>
      </c>
      <c r="AY52" s="17" t="str">
        <f ca="1">IF(COUNTIF(Ergebnisse!K53:'Ergebnisse'!K58,Ergebnisse!$B$98)=6,"ok","")</f>
        <v>ok</v>
      </c>
      <c r="AZ52" s="2"/>
      <c r="BB52" s="3" t="s">
        <v>22</v>
      </c>
      <c r="BC52" s="3" t="s">
        <v>23</v>
      </c>
      <c r="BD52" s="55"/>
      <c r="BE52" s="55"/>
      <c r="BF52" s="55"/>
      <c r="BG52" s="55"/>
      <c r="BL52" s="1"/>
      <c r="BY52" s="2"/>
      <c r="CX52" s="236">
        <f ca="1">IF($CX$97="",2*COUNTIF(Ergebnisse!$D$63:'Ergebnisse'!$F$78,BM58),2*INT(RAND()*2))</f>
        <v>2</v>
      </c>
      <c r="CY52" s="17" t="str">
        <f ca="1">IF(COUNTIF(Ergebnisse!BK53:'Ergebnisse'!BK58,Ergebnisse!$B$98)=6,"ok","")</f>
        <v>ok</v>
      </c>
      <c r="CZ52" s="55"/>
      <c r="DA52" s="2" t="s">
        <v>456</v>
      </c>
    </row>
    <row r="53" spans="1:106">
      <c r="A53" s="2">
        <f>IF(Ergebnisse!A53="","",Ergebnisse!A53)</f>
        <v>17</v>
      </c>
      <c r="B53" s="6">
        <f>IF(Ergebnisse!B53="","",Ergebnisse!B53)</f>
        <v>46189.625</v>
      </c>
      <c r="C53" s="6" t="str">
        <f>IF(Ergebnisse!C53="","",Ergebnisse!C53)</f>
        <v>New York</v>
      </c>
      <c r="D53" s="56" t="str">
        <f>IF(Ergebnisse!D53="","",Ergebnisse!D53)</f>
        <v>Frankreich</v>
      </c>
      <c r="E53" s="40"/>
      <c r="F53" s="56" t="str">
        <f>IF(Ergebnisse!F53="","",Ergebnisse!F53)</f>
        <v>Senegal</v>
      </c>
      <c r="G53" s="53"/>
      <c r="H53" s="107">
        <f ca="1">IF(Ergebnisse!H53="","",Ergebnisse!H53)</f>
        <v>1</v>
      </c>
      <c r="I53" s="11" t="s">
        <v>25</v>
      </c>
      <c r="J53" s="107">
        <f ca="1">IF(Ergebnisse!J53="","",Ergebnisse!J53)</f>
        <v>0</v>
      </c>
      <c r="L53" s="1"/>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17">
        <f ca="1">IF($CX$97="",IF(OR(Ergebnisse!H53="",Ergebnisse!J53=""),0,IF(AND(H53=Ergebnisse!H53,J53=Ergebnisse!J53),7,MIN(7,(H53-J53=Ergebnisse!H53-Ergebnisse!J53)*4+(AND(H53-J53&lt;&gt;Ergebnisse!H53-Ergebnisse!J53,SIGN(H53-J53)=SIGN(Ergebnisse!H53-Ergebnisse!J53)))*2+(H53=Ergebnisse!H53)+(J53=Ergebnisse!J53)))),INT(RAND()*8))</f>
        <v>7</v>
      </c>
      <c r="AY53" s="17" t="str">
        <f ca="1">IF(Ergebnisse!K53=Ergebnisse!$B$98,Ergebnisse!K53,"")</f>
        <v>ok</v>
      </c>
      <c r="AZ53" s="2"/>
      <c r="BA53" s="2">
        <f>IF(Ergebnisse!BA53="","",Ergebnisse!BA53)</f>
        <v>22</v>
      </c>
      <c r="BB53" s="6">
        <f>IF(Ergebnisse!BB53="","",Ergebnisse!BB53)</f>
        <v>46190.625</v>
      </c>
      <c r="BC53" s="6" t="str">
        <f>IF(Ergebnisse!BC53="","",Ergebnisse!BC53)</f>
        <v>Dallas</v>
      </c>
      <c r="BD53" s="56" t="str">
        <f>IF(Ergebnisse!BD53="","",Ergebnisse!BD53)</f>
        <v>England</v>
      </c>
      <c r="BE53" s="40"/>
      <c r="BF53" s="56" t="str">
        <f>IF(Ergebnisse!BF53="","",Ergebnisse!BF53)</f>
        <v>Kroatien</v>
      </c>
      <c r="BG53" s="53"/>
      <c r="BH53" s="107">
        <f ca="1">IF(Ergebnisse!BH53="","",Ergebnisse!BH53)</f>
        <v>2</v>
      </c>
      <c r="BI53" s="11" t="s">
        <v>25</v>
      </c>
      <c r="BJ53" s="107">
        <f ca="1">IF(Ergebnisse!BJ53="","",Ergebnisse!BJ53)</f>
        <v>4</v>
      </c>
      <c r="BL53" s="1"/>
      <c r="BY53" s="2"/>
      <c r="CX53" s="17">
        <f ca="1">IF($CX$97="",IF(OR(Ergebnisse!BH53="",Ergebnisse!BJ53=""),0,IF(AND(BH53=Ergebnisse!BH53,BJ53=Ergebnisse!BJ53),7,MIN(7,(BH53-BJ53=Ergebnisse!BH53-Ergebnisse!BJ53)*4+(AND(BH53-BJ53&lt;&gt;Ergebnisse!BH53-Ergebnisse!BJ53,SIGN(BH53-BJ53)=SIGN(Ergebnisse!BH53-Ergebnisse!BJ53)))*2+(BH53=Ergebnisse!BH53)+(BJ53=Ergebnisse!BJ53)))),INT(RAND()*8))</f>
        <v>7</v>
      </c>
      <c r="CY53" s="17" t="str">
        <f ca="1">IF(Ergebnisse!BK53=Ergebnisse!$B$98,Ergebnisse!BK53,"")</f>
        <v>ok</v>
      </c>
      <c r="CZ53" s="55"/>
    </row>
    <row r="54" spans="1:106">
      <c r="A54" s="2">
        <f>IF(Ergebnisse!A54="","",Ergebnisse!A54)</f>
        <v>18</v>
      </c>
      <c r="B54" s="6">
        <f>IF(Ergebnisse!B54="","",Ergebnisse!B54)</f>
        <v>46189.75</v>
      </c>
      <c r="C54" s="6" t="str">
        <f>IF(Ergebnisse!C54="","",Ergebnisse!C54)</f>
        <v>Boston</v>
      </c>
      <c r="D54" s="56" t="str">
        <f>IF(Ergebnisse!D54="","",Ergebnisse!D54)</f>
        <v>Irak</v>
      </c>
      <c r="E54" s="40"/>
      <c r="F54" s="56" t="str">
        <f>IF(Ergebnisse!F54="","",Ergebnisse!F54)</f>
        <v>Norwegen</v>
      </c>
      <c r="G54" s="53"/>
      <c r="H54" s="107">
        <f ca="1">IF(Ergebnisse!H54="","",Ergebnisse!H54)</f>
        <v>3</v>
      </c>
      <c r="I54" s="11" t="s">
        <v>25</v>
      </c>
      <c r="J54" s="107">
        <f ca="1">IF(Ergebnisse!J54="","",Ergebnisse!J54)</f>
        <v>1</v>
      </c>
      <c r="L54" s="1"/>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17">
        <f ca="1">IF($CX$97="",IF(OR(Ergebnisse!H54="",Ergebnisse!J54=""),0,IF(AND(H54=Ergebnisse!H54,J54=Ergebnisse!J54),7,MIN(7,(H54-J54=Ergebnisse!H54-Ergebnisse!J54)*4+(AND(H54-J54&lt;&gt;Ergebnisse!H54-Ergebnisse!J54,SIGN(H54-J54)=SIGN(Ergebnisse!H54-Ergebnisse!J54)))*2+(H54=Ergebnisse!H54)+(J54=Ergebnisse!J54)))),INT(RAND()*8))</f>
        <v>7</v>
      </c>
      <c r="AY54" s="17" t="str">
        <f ca="1">IF(Ergebnisse!K54=Ergebnisse!$B$98,Ergebnisse!K54,"")</f>
        <v>ok</v>
      </c>
      <c r="AZ54" s="2"/>
      <c r="BA54" s="2">
        <f>IF(Ergebnisse!BA54="","",Ergebnisse!BA54)</f>
        <v>21</v>
      </c>
      <c r="BB54" s="6">
        <f>IF(Ergebnisse!BB54="","",Ergebnisse!BB54)</f>
        <v>46190.791666666664</v>
      </c>
      <c r="BC54" s="6" t="str">
        <f>IF(Ergebnisse!BC54="","",Ergebnisse!BC54)</f>
        <v>Toronto</v>
      </c>
      <c r="BD54" s="56" t="str">
        <f>IF(Ergebnisse!BD54="","",Ergebnisse!BD54)</f>
        <v>Ghana</v>
      </c>
      <c r="BE54" s="40"/>
      <c r="BF54" s="56" t="str">
        <f>IF(Ergebnisse!BF54="","",Ergebnisse!BF54)</f>
        <v>Panama</v>
      </c>
      <c r="BG54" s="53"/>
      <c r="BH54" s="107">
        <f ca="1">IF(Ergebnisse!BH54="","",Ergebnisse!BH54)</f>
        <v>2</v>
      </c>
      <c r="BI54" s="11" t="s">
        <v>25</v>
      </c>
      <c r="BJ54" s="107">
        <f ca="1">IF(Ergebnisse!BJ54="","",Ergebnisse!BJ54)</f>
        <v>0</v>
      </c>
      <c r="BL54" s="1"/>
      <c r="BY54" s="2"/>
      <c r="CX54" s="17">
        <f ca="1">IF($CX$97="",IF(OR(Ergebnisse!BH54="",Ergebnisse!BJ54=""),0,IF(AND(BH54=Ergebnisse!BH54,BJ54=Ergebnisse!BJ54),7,MIN(7,(BH54-BJ54=Ergebnisse!BH54-Ergebnisse!BJ54)*4+(AND(BH54-BJ54&lt;&gt;Ergebnisse!BH54-Ergebnisse!BJ54,SIGN(BH54-BJ54)=SIGN(Ergebnisse!BH54-Ergebnisse!BJ54)))*2+(BH54=Ergebnisse!BH54)+(BJ54=Ergebnisse!BJ54)))),INT(RAND()*8))</f>
        <v>7</v>
      </c>
      <c r="CY54" s="17" t="str">
        <f ca="1">IF(Ergebnisse!BK54=Ergebnisse!$B$98,Ergebnisse!BK54,"")</f>
        <v>ok</v>
      </c>
      <c r="CZ54" s="55"/>
    </row>
    <row r="55" spans="1:106">
      <c r="A55" s="2">
        <f>IF(Ergebnisse!A55="","",Ergebnisse!A55)</f>
        <v>42</v>
      </c>
      <c r="B55" s="6">
        <f>IF(Ergebnisse!B55="","",Ergebnisse!B55)</f>
        <v>46195.708333333336</v>
      </c>
      <c r="C55" s="6" t="str">
        <f>IF(Ergebnisse!C55="","",Ergebnisse!C55)</f>
        <v>Philadelphia</v>
      </c>
      <c r="D55" s="56" t="str">
        <f>IF(Ergebnisse!D55="","",Ergebnisse!D55)</f>
        <v>Frankreich</v>
      </c>
      <c r="E55" s="40"/>
      <c r="F55" s="56" t="str">
        <f>IF(Ergebnisse!F55="","",Ergebnisse!F55)</f>
        <v>Irak</v>
      </c>
      <c r="G55" s="53"/>
      <c r="H55" s="107">
        <f ca="1">IF(Ergebnisse!H55="","",Ergebnisse!H55)</f>
        <v>3</v>
      </c>
      <c r="I55" s="11" t="s">
        <v>25</v>
      </c>
      <c r="J55" s="107">
        <f ca="1">IF(Ergebnisse!J55="","",Ergebnisse!J55)</f>
        <v>3</v>
      </c>
      <c r="L55" s="1"/>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17">
        <f ca="1">IF($CX$97="",IF(OR(Ergebnisse!H55="",Ergebnisse!J55=""),0,IF(AND(H55=Ergebnisse!H55,J55=Ergebnisse!J55),7,MIN(7,(H55-J55=Ergebnisse!H55-Ergebnisse!J55)*4+(AND(H55-J55&lt;&gt;Ergebnisse!H55-Ergebnisse!J55,SIGN(H55-J55)=SIGN(Ergebnisse!H55-Ergebnisse!J55)))*2+(H55=Ergebnisse!H55)+(J55=Ergebnisse!J55)))),INT(RAND()*8))</f>
        <v>7</v>
      </c>
      <c r="AY55" s="17" t="str">
        <f ca="1">IF(Ergebnisse!K55=Ergebnisse!$B$98,Ergebnisse!K55,"")</f>
        <v>ok</v>
      </c>
      <c r="AZ55" s="2"/>
      <c r="BA55" s="2">
        <f>IF(Ergebnisse!BA55="","",Ergebnisse!BA55)</f>
        <v>45</v>
      </c>
      <c r="BB55" s="6">
        <f>IF(Ergebnisse!BB55="","",Ergebnisse!BB55)</f>
        <v>46196.666666666664</v>
      </c>
      <c r="BC55" s="6" t="str">
        <f>IF(Ergebnisse!BC55="","",Ergebnisse!BC55)</f>
        <v>Boston</v>
      </c>
      <c r="BD55" s="56" t="str">
        <f>IF(Ergebnisse!BD55="","",Ergebnisse!BD55)</f>
        <v>England</v>
      </c>
      <c r="BE55" s="40"/>
      <c r="BF55" s="56" t="str">
        <f>IF(Ergebnisse!BF55="","",Ergebnisse!BF55)</f>
        <v>Ghana</v>
      </c>
      <c r="BG55" s="53"/>
      <c r="BH55" s="107">
        <f ca="1">IF(Ergebnisse!BH55="","",Ergebnisse!BH55)</f>
        <v>3</v>
      </c>
      <c r="BI55" s="11" t="s">
        <v>25</v>
      </c>
      <c r="BJ55" s="107">
        <f ca="1">IF(Ergebnisse!BJ55="","",Ergebnisse!BJ55)</f>
        <v>3</v>
      </c>
      <c r="BL55" s="1"/>
      <c r="BY55" s="2"/>
      <c r="CX55" s="17">
        <f ca="1">IF($CX$97="",IF(OR(Ergebnisse!BH55="",Ergebnisse!BJ55=""),0,IF(AND(BH55=Ergebnisse!BH55,BJ55=Ergebnisse!BJ55),7,MIN(7,(BH55-BJ55=Ergebnisse!BH55-Ergebnisse!BJ55)*4+(AND(BH55-BJ55&lt;&gt;Ergebnisse!BH55-Ergebnisse!BJ55,SIGN(BH55-BJ55)=SIGN(Ergebnisse!BH55-Ergebnisse!BJ55)))*2+(BH55=Ergebnisse!BH55)+(BJ55=Ergebnisse!BJ55)))),INT(RAND()*8))</f>
        <v>7</v>
      </c>
      <c r="CY55" s="17" t="str">
        <f ca="1">IF(Ergebnisse!BK55=Ergebnisse!$B$98,Ergebnisse!BK55,"")</f>
        <v>ok</v>
      </c>
      <c r="CZ55" s="55"/>
    </row>
    <row r="56" spans="1:106">
      <c r="A56" s="2">
        <f>IF(Ergebnisse!A56="","",Ergebnisse!A56)</f>
        <v>41</v>
      </c>
      <c r="B56" s="6">
        <f>IF(Ergebnisse!B56="","",Ergebnisse!B56)</f>
        <v>46195.833333333336</v>
      </c>
      <c r="C56" s="6" t="str">
        <f>IF(Ergebnisse!C56="","",Ergebnisse!C56)</f>
        <v>New York</v>
      </c>
      <c r="D56" s="56" t="str">
        <f>IF(Ergebnisse!D56="","",Ergebnisse!D56)</f>
        <v>Norwegen</v>
      </c>
      <c r="E56" s="40"/>
      <c r="F56" s="56" t="str">
        <f>IF(Ergebnisse!F56="","",Ergebnisse!F56)</f>
        <v>Senegal</v>
      </c>
      <c r="G56" s="53"/>
      <c r="H56" s="107">
        <f ca="1">IF(Ergebnisse!H56="","",Ergebnisse!H56)</f>
        <v>1</v>
      </c>
      <c r="I56" s="11" t="s">
        <v>25</v>
      </c>
      <c r="J56" s="107">
        <f ca="1">IF(Ergebnisse!J56="","",Ergebnisse!J56)</f>
        <v>3</v>
      </c>
      <c r="L56" s="1"/>
      <c r="N56" s="1"/>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17">
        <f ca="1">IF($CX$97="",IF(OR(Ergebnisse!H56="",Ergebnisse!J56=""),0,IF(AND(H56=Ergebnisse!H56,J56=Ergebnisse!J56),7,MIN(7,(H56-J56=Ergebnisse!H56-Ergebnisse!J56)*4+(AND(H56-J56&lt;&gt;Ergebnisse!H56-Ergebnisse!J56,SIGN(H56-J56)=SIGN(Ergebnisse!H56-Ergebnisse!J56)))*2+(H56=Ergebnisse!H56)+(J56=Ergebnisse!J56)))),INT(RAND()*8))</f>
        <v>7</v>
      </c>
      <c r="AY56" s="17" t="str">
        <f ca="1">IF(Ergebnisse!K56=Ergebnisse!$B$98,Ergebnisse!K56,"")</f>
        <v>ok</v>
      </c>
      <c r="AZ56" s="2"/>
      <c r="BA56" s="2">
        <f>IF(Ergebnisse!BA56="","",Ergebnisse!BA56)</f>
        <v>46</v>
      </c>
      <c r="BB56" s="6">
        <f>IF(Ergebnisse!BB56="","",Ergebnisse!BB56)</f>
        <v>46196.791666666664</v>
      </c>
      <c r="BC56" s="6" t="str">
        <f>IF(Ergebnisse!BC56="","",Ergebnisse!BC56)</f>
        <v>Toronto</v>
      </c>
      <c r="BD56" s="56" t="str">
        <f>IF(Ergebnisse!BD56="","",Ergebnisse!BD56)</f>
        <v>Panama</v>
      </c>
      <c r="BE56" s="40"/>
      <c r="BF56" s="56" t="str">
        <f>IF(Ergebnisse!BF56="","",Ergebnisse!BF56)</f>
        <v>Kroatien</v>
      </c>
      <c r="BG56" s="53"/>
      <c r="BH56" s="107">
        <f ca="1">IF(Ergebnisse!BH56="","",Ergebnisse!BH56)</f>
        <v>4</v>
      </c>
      <c r="BI56" s="11" t="s">
        <v>25</v>
      </c>
      <c r="BJ56" s="107">
        <f ca="1">IF(Ergebnisse!BJ56="","",Ergebnisse!BJ56)</f>
        <v>0</v>
      </c>
      <c r="BL56" s="1"/>
      <c r="BN56" s="1"/>
      <c r="BY56" s="2"/>
      <c r="CX56" s="17">
        <f ca="1">IF($CX$97="",IF(OR(Ergebnisse!BH56="",Ergebnisse!BJ56=""),0,IF(AND(BH56=Ergebnisse!BH56,BJ56=Ergebnisse!BJ56),7,MIN(7,(BH56-BJ56=Ergebnisse!BH56-Ergebnisse!BJ56)*4+(AND(BH56-BJ56&lt;&gt;Ergebnisse!BH56-Ergebnisse!BJ56,SIGN(BH56-BJ56)=SIGN(Ergebnisse!BH56-Ergebnisse!BJ56)))*2+(BH56=Ergebnisse!BH56)+(BJ56=Ergebnisse!BJ56)))),INT(RAND()*8))</f>
        <v>7</v>
      </c>
      <c r="CY56" s="17" t="str">
        <f ca="1">IF(Ergebnisse!BK56=Ergebnisse!$B$98,Ergebnisse!BK56,"")</f>
        <v>ok</v>
      </c>
      <c r="CZ56" s="55"/>
    </row>
    <row r="57" spans="1:106">
      <c r="A57" s="2">
        <f>IF(Ergebnisse!A57="","",Ergebnisse!A57)</f>
        <v>61</v>
      </c>
      <c r="B57" s="6">
        <f>IF(Ergebnisse!B57="","",Ergebnisse!B57)</f>
        <v>46199.625</v>
      </c>
      <c r="C57" s="6" t="str">
        <f>IF(Ergebnisse!C57="","",Ergebnisse!C57)</f>
        <v>Boston</v>
      </c>
      <c r="D57" s="56" t="str">
        <f>IF(Ergebnisse!D57="","",Ergebnisse!D57)</f>
        <v>Norwegen</v>
      </c>
      <c r="E57" s="40"/>
      <c r="F57" s="56" t="str">
        <f>IF(Ergebnisse!F57="","",Ergebnisse!F57)</f>
        <v>Frankreich</v>
      </c>
      <c r="G57" s="55"/>
      <c r="H57" s="107">
        <f ca="1">IF(Ergebnisse!H57="","",Ergebnisse!H57)</f>
        <v>3</v>
      </c>
      <c r="I57" s="11" t="s">
        <v>25</v>
      </c>
      <c r="J57" s="107">
        <f ca="1">IF(Ergebnisse!J57="","",Ergebnisse!J57)</f>
        <v>6</v>
      </c>
      <c r="M57" s="238" t="str">
        <f ca="1">IF(Ergebnisse!M57="","",Ergebnisse!M57)</f>
        <v>Frankreich</v>
      </c>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17">
        <f ca="1">IF($CX$97="",IF(OR(Ergebnisse!H57="",Ergebnisse!J57=""),0,IF(AND(H57=Ergebnisse!H57,J57=Ergebnisse!J57),7,MIN(7,(H57-J57=Ergebnisse!H57-Ergebnisse!J57)*4+(AND(H57-J57&lt;&gt;Ergebnisse!H57-Ergebnisse!J57,SIGN(H57-J57)=SIGN(Ergebnisse!H57-Ergebnisse!J57)))*2+(H57=Ergebnisse!H57)+(J57=Ergebnisse!J57)))),INT(RAND()*8))</f>
        <v>7</v>
      </c>
      <c r="AY57" s="17" t="str">
        <f ca="1">IF(Ergebnisse!K57=Ergebnisse!$B$98,Ergebnisse!K57,"")</f>
        <v>ok</v>
      </c>
      <c r="AZ57" s="2"/>
      <c r="BA57" s="2">
        <f>IF(Ergebnisse!BA57="","",Ergebnisse!BA57)</f>
        <v>68</v>
      </c>
      <c r="BB57" s="6">
        <f>IF(Ergebnisse!BB57="","",Ergebnisse!BB57)</f>
        <v>46200.708333333336</v>
      </c>
      <c r="BC57" s="6" t="str">
        <f>IF(Ergebnisse!BC57="","",Ergebnisse!BC57)</f>
        <v>Philadelphia</v>
      </c>
      <c r="BD57" s="56" t="str">
        <f>IF(Ergebnisse!BD57="","",Ergebnisse!BD57)</f>
        <v>Panama</v>
      </c>
      <c r="BE57" s="40"/>
      <c r="BF57" s="56" t="str">
        <f>IF(Ergebnisse!BF57="","",Ergebnisse!BF57)</f>
        <v>England</v>
      </c>
      <c r="BG57" s="55"/>
      <c r="BH57" s="107">
        <f ca="1">IF(Ergebnisse!BH57="","",Ergebnisse!BH57)</f>
        <v>3</v>
      </c>
      <c r="BI57" s="11" t="s">
        <v>25</v>
      </c>
      <c r="BJ57" s="107">
        <f ca="1">IF(Ergebnisse!BJ57="","",Ergebnisse!BJ57)</f>
        <v>3</v>
      </c>
      <c r="BM57" s="237" t="str">
        <f ca="1">IF(Ergebnisse!BM57="","",Ergebnisse!BM57)</f>
        <v>Ghana</v>
      </c>
      <c r="BY57" s="2"/>
      <c r="CX57" s="17">
        <f ca="1">IF($CX$97="",IF(OR(Ergebnisse!BH57="",Ergebnisse!BJ57=""),0,IF(AND(BH57=Ergebnisse!BH57,BJ57=Ergebnisse!BJ57),7,MIN(7,(BH57-BJ57=Ergebnisse!BH57-Ergebnisse!BJ57)*4+(AND(BH57-BJ57&lt;&gt;Ergebnisse!BH57-Ergebnisse!BJ57,SIGN(BH57-BJ57)=SIGN(Ergebnisse!BH57-Ergebnisse!BJ57)))*2+(BH57=Ergebnisse!BH57)+(BJ57=Ergebnisse!BJ57)))),INT(RAND()*8))</f>
        <v>7</v>
      </c>
      <c r="CY57" s="17" t="str">
        <f ca="1">IF(Ergebnisse!BK57=Ergebnisse!$B$98,Ergebnisse!BK57,"")</f>
        <v>ok</v>
      </c>
      <c r="CZ57" s="55"/>
    </row>
    <row r="58" spans="1:106">
      <c r="A58" s="2">
        <f>IF(Ergebnisse!A58="","",Ergebnisse!A58)</f>
        <v>62</v>
      </c>
      <c r="B58" s="6">
        <f>IF(Ergebnisse!B58="","",Ergebnisse!B58)</f>
        <v>46199.625</v>
      </c>
      <c r="C58" s="6" t="str">
        <f>IF(Ergebnisse!C58="","",Ergebnisse!C58)</f>
        <v>Toronto</v>
      </c>
      <c r="D58" s="56" t="str">
        <f>IF(Ergebnisse!D58="","",Ergebnisse!D58)</f>
        <v>Senegal</v>
      </c>
      <c r="E58" s="40"/>
      <c r="F58" s="56" t="str">
        <f>IF(Ergebnisse!F58="","",Ergebnisse!F58)</f>
        <v>Irak</v>
      </c>
      <c r="G58" s="55"/>
      <c r="H58" s="107">
        <f ca="1">IF(Ergebnisse!H58="","",Ergebnisse!H58)</f>
        <v>1</v>
      </c>
      <c r="I58" s="11" t="s">
        <v>25</v>
      </c>
      <c r="J58" s="107">
        <f ca="1">IF(Ergebnisse!J58="","",Ergebnisse!J58)</f>
        <v>0</v>
      </c>
      <c r="M58" s="238" t="str">
        <f ca="1">IF(Ergebnisse!M58="","",Ergebnisse!M58)</f>
        <v>Senegal</v>
      </c>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17">
        <f ca="1">IF($CX$97="",IF(OR(Ergebnisse!H58="",Ergebnisse!J58=""),0,IF(AND(H58=Ergebnisse!H58,J58=Ergebnisse!J58),7,MIN(7,(H58-J58=Ergebnisse!H58-Ergebnisse!J58)*4+(AND(H58-J58&lt;&gt;Ergebnisse!H58-Ergebnisse!J58,SIGN(H58-J58)=SIGN(Ergebnisse!H58-Ergebnisse!J58)))*2+(H58=Ergebnisse!H58)+(J58=Ergebnisse!J58)))),INT(RAND()*8))</f>
        <v>7</v>
      </c>
      <c r="AY58" s="17" t="str">
        <f ca="1">IF(Ergebnisse!K58=Ergebnisse!$B$98,Ergebnisse!K58,"")</f>
        <v>ok</v>
      </c>
      <c r="AZ58" s="2"/>
      <c r="BA58" s="2">
        <f>IF(Ergebnisse!BA58="","",Ergebnisse!BA58)</f>
        <v>67</v>
      </c>
      <c r="BB58" s="6">
        <f>IF(Ergebnisse!BB58="","",Ergebnisse!BB58)</f>
        <v>46200.708333333336</v>
      </c>
      <c r="BC58" s="6" t="str">
        <f>IF(Ergebnisse!BC58="","",Ergebnisse!BC58)</f>
        <v>New York</v>
      </c>
      <c r="BD58" s="56" t="str">
        <f>IF(Ergebnisse!BD58="","",Ergebnisse!BD58)</f>
        <v>Kroatien</v>
      </c>
      <c r="BE58" s="40"/>
      <c r="BF58" s="56" t="str">
        <f>IF(Ergebnisse!BF58="","",Ergebnisse!BF58)</f>
        <v>Ghana</v>
      </c>
      <c r="BG58" s="55"/>
      <c r="BH58" s="107">
        <f ca="1">IF(Ergebnisse!BH58="","",Ergebnisse!BH58)</f>
        <v>3</v>
      </c>
      <c r="BI58" s="11" t="s">
        <v>25</v>
      </c>
      <c r="BJ58" s="107">
        <f ca="1">IF(Ergebnisse!BJ58="","",Ergebnisse!BJ58)</f>
        <v>3</v>
      </c>
      <c r="BM58" s="237" t="str">
        <f ca="1">IF(Ergebnisse!BM58="","",Ergebnisse!BM58)</f>
        <v>Panama</v>
      </c>
      <c r="BY58" s="2"/>
      <c r="CX58" s="17">
        <f ca="1">IF($CX$97="",IF(OR(Ergebnisse!BH58="",Ergebnisse!BJ58=""),0,IF(AND(BH58=Ergebnisse!BH58,BJ58=Ergebnisse!BJ58),7,MIN(7,(BH58-BJ58=Ergebnisse!BH58-Ergebnisse!BJ58)*4+(AND(BH58-BJ58&lt;&gt;Ergebnisse!BH58-Ergebnisse!BJ58,SIGN(BH58-BJ58)=SIGN(Ergebnisse!BH58-Ergebnisse!BJ58)))*2+(BH58=Ergebnisse!BH58)+(BJ58=Ergebnisse!BJ58)))),INT(RAND()*8))</f>
        <v>7</v>
      </c>
      <c r="CY58" s="17" t="str">
        <f ca="1">IF(Ergebnisse!BK58=Ergebnisse!$B$98,Ergebnisse!BK58,"")</f>
        <v>ok</v>
      </c>
      <c r="CZ58" s="55"/>
    </row>
    <row r="59" spans="1:106">
      <c r="E59" s="55"/>
      <c r="F59" s="55"/>
      <c r="G59" s="55"/>
      <c r="M59" s="238" t="str">
        <f ca="1">IF(Ergebnisse!M59="","",Ergebnisse!M59)</f>
        <v>Irak</v>
      </c>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34">
        <f ca="1">IF($CX$97="",2*COUNTIF(Ergebnisse!$D$63:'Ergebnisse'!$F$78,M59),2*INT(RAND()*2))</f>
        <v>2</v>
      </c>
      <c r="AY59" s="17" t="str">
        <f ca="1">IF(COUNTIF(Ergebnisse!K53:'Ergebnisse'!K58,Ergebnisse!$B$98)=6,"ok","")</f>
        <v>ok</v>
      </c>
      <c r="AZ59" s="2"/>
      <c r="BE59" s="55"/>
      <c r="BF59" s="55"/>
      <c r="BG59" s="55"/>
      <c r="BM59" s="237" t="str">
        <f ca="1">IF(Ergebnisse!BM59="","",Ergebnisse!BM59)</f>
        <v>Kroatien</v>
      </c>
      <c r="BY59" s="2"/>
      <c r="CX59" s="236">
        <f ca="1">IF($CX$97="",2*COUNTIF(Ergebnisse!$D$63:'Ergebnisse'!$F$78,BM59),2*INT(RAND()*2))</f>
        <v>2</v>
      </c>
      <c r="CY59" s="17" t="str">
        <f ca="1">IF(COUNTIF(Ergebnisse!BK53:'Ergebnisse'!BK58,Ergebnisse!$B$98)=6,"ok","")</f>
        <v>ok</v>
      </c>
      <c r="CZ59" s="55"/>
    </row>
    <row r="60" spans="1:106">
      <c r="D60" s="55"/>
      <c r="E60" s="58"/>
      <c r="F60" s="59"/>
      <c r="G60" s="59"/>
      <c r="H60" s="55"/>
      <c r="I60" s="55"/>
      <c r="J60" s="55"/>
      <c r="AE60" s="108"/>
      <c r="AF60" s="281"/>
      <c r="AG60" s="281"/>
      <c r="AH60" s="281"/>
      <c r="AI60" s="281"/>
      <c r="AJ60" s="281"/>
      <c r="AK60" s="281"/>
      <c r="AL60" s="281"/>
      <c r="AM60" s="281"/>
      <c r="AN60" s="281"/>
      <c r="AO60" s="281"/>
      <c r="AP60" s="281"/>
      <c r="AQ60" s="281"/>
      <c r="AR60" s="281"/>
      <c r="AS60" s="281"/>
      <c r="AT60" s="281"/>
      <c r="AV60" s="281"/>
      <c r="AW60" s="2"/>
      <c r="AY60" s="17"/>
      <c r="AZ60" s="2"/>
      <c r="BD60" s="55"/>
      <c r="BE60" s="58"/>
      <c r="BF60" s="59"/>
      <c r="BG60" s="59"/>
      <c r="BH60" s="55"/>
      <c r="BI60" s="55"/>
      <c r="BJ60" s="55"/>
      <c r="BY60" s="2"/>
      <c r="CX60" s="1"/>
      <c r="CZ60" s="55"/>
    </row>
    <row r="61" spans="1:106">
      <c r="A61" s="10"/>
      <c r="B61" s="21" t="s">
        <v>260</v>
      </c>
      <c r="C61" s="21"/>
      <c r="D61" s="17"/>
      <c r="E61" s="14"/>
      <c r="F61" s="17"/>
      <c r="G61" s="17"/>
      <c r="H61" s="20"/>
      <c r="I61" s="19"/>
      <c r="J61" s="20"/>
      <c r="K61" s="181"/>
      <c r="L61" s="17"/>
      <c r="M61" s="21"/>
      <c r="N61" s="17"/>
      <c r="O61" s="17"/>
      <c r="P61" s="17"/>
      <c r="Q61" s="17"/>
      <c r="R61" s="17"/>
      <c r="S61" s="53"/>
      <c r="T61" s="53"/>
      <c r="U61" s="53"/>
      <c r="V61" s="53"/>
      <c r="W61" s="53"/>
      <c r="X61" s="53"/>
      <c r="Y61" s="56"/>
      <c r="Z61" s="53"/>
      <c r="AA61" s="53"/>
      <c r="AB61" s="53"/>
      <c r="AC61" s="53"/>
      <c r="AD61" s="176"/>
      <c r="AE61" s="19"/>
      <c r="AF61" s="53"/>
      <c r="AG61" s="53"/>
      <c r="AH61" s="53"/>
      <c r="AI61" s="59"/>
      <c r="AJ61" s="59"/>
      <c r="AK61" s="59"/>
      <c r="AL61" s="59"/>
      <c r="AM61" s="59"/>
      <c r="AN61" s="59"/>
      <c r="AO61" s="59"/>
      <c r="AP61" s="59"/>
      <c r="AQ61" s="59"/>
      <c r="AR61" s="59"/>
      <c r="AS61" s="59"/>
      <c r="AT61" s="59"/>
      <c r="AU61" s="59"/>
      <c r="AV61" s="59"/>
      <c r="AZ61" s="206"/>
      <c r="BA61" s="10"/>
      <c r="BB61" s="10"/>
      <c r="BC61" s="10"/>
      <c r="BD61" s="10"/>
      <c r="BE61" s="10"/>
      <c r="BF61" s="10"/>
      <c r="BG61" s="10"/>
      <c r="BH61" s="10"/>
      <c r="BI61" s="10"/>
      <c r="BJ61" s="10"/>
      <c r="BK61" s="10"/>
      <c r="BL61" s="10"/>
      <c r="BM61" s="10"/>
      <c r="BN61" s="10"/>
      <c r="BO61" s="10"/>
      <c r="BP61" s="10"/>
      <c r="BQ61" s="1"/>
      <c r="BR61" s="1"/>
      <c r="BS61" s="62"/>
      <c r="BT61" s="62"/>
      <c r="BU61" s="62"/>
      <c r="BV61" s="62"/>
      <c r="BW61" s="62"/>
      <c r="BX61" s="62"/>
      <c r="BY61" s="63"/>
      <c r="BZ61" s="62"/>
      <c r="CA61" s="62"/>
      <c r="CB61" s="62"/>
      <c r="CC61" s="62"/>
      <c r="CD61" s="62"/>
      <c r="CE61" s="66"/>
      <c r="CF61" s="66"/>
      <c r="CG61" s="66"/>
      <c r="CH61" s="66"/>
      <c r="CI61" s="66"/>
      <c r="CJ61" s="66"/>
      <c r="CK61" s="66"/>
      <c r="CL61" s="55"/>
      <c r="CM61" s="55"/>
      <c r="CN61" s="55"/>
      <c r="CO61" s="62"/>
      <c r="CP61" s="55"/>
      <c r="CQ61" s="55"/>
      <c r="CR61" s="55"/>
      <c r="CS61" s="55"/>
      <c r="CT61" s="55"/>
      <c r="CU61" s="55"/>
      <c r="CV61" s="55"/>
      <c r="CW61" s="55"/>
      <c r="CX61" s="1"/>
      <c r="CZ61" s="55"/>
      <c r="DA61" s="163"/>
      <c r="DB61" s="164"/>
    </row>
    <row r="62" spans="1:106">
      <c r="B62" s="3" t="s">
        <v>22</v>
      </c>
      <c r="C62" s="3" t="s">
        <v>23</v>
      </c>
      <c r="D62" s="17"/>
      <c r="E62" s="14"/>
      <c r="F62" s="17"/>
      <c r="G62" s="17"/>
      <c r="H62" s="20"/>
      <c r="I62" s="11"/>
      <c r="J62" s="20"/>
      <c r="K62" s="181"/>
      <c r="L62" s="1"/>
      <c r="M62" s="3"/>
      <c r="N62" s="1"/>
      <c r="O62" s="1"/>
      <c r="P62" s="1"/>
      <c r="Q62" s="1"/>
      <c r="R62" s="1"/>
      <c r="V62" s="62"/>
      <c r="W62" s="62"/>
      <c r="Z62" s="62"/>
      <c r="AA62" s="58"/>
      <c r="AB62" s="62"/>
      <c r="AC62" s="58"/>
      <c r="AE62" s="19"/>
      <c r="AF62" s="62"/>
      <c r="AG62" s="62"/>
      <c r="AH62" s="62"/>
      <c r="AZ62" s="206"/>
      <c r="BA62" s="206"/>
      <c r="BB62" s="206"/>
      <c r="BC62" s="206"/>
      <c r="BD62" s="206"/>
      <c r="BE62" s="206"/>
      <c r="BF62" s="206"/>
      <c r="BG62" s="206"/>
      <c r="BH62" s="206"/>
      <c r="BI62" s="206"/>
      <c r="BJ62" s="206"/>
      <c r="BK62" s="206"/>
      <c r="BL62" s="206"/>
      <c r="BM62" s="206"/>
      <c r="BN62" s="206"/>
      <c r="BO62" s="206"/>
      <c r="BP62" s="206"/>
      <c r="BQ62" s="206"/>
      <c r="BR62" s="206"/>
      <c r="BS62" s="206"/>
      <c r="BT62" s="206"/>
      <c r="BU62" s="206"/>
      <c r="BV62" s="55"/>
      <c r="BW62" s="55"/>
      <c r="BX62" s="55"/>
      <c r="BZ62" s="55"/>
      <c r="CA62" s="55"/>
      <c r="CB62" s="55"/>
      <c r="CC62" s="55"/>
      <c r="CD62" s="55"/>
      <c r="CE62" s="66"/>
      <c r="CF62" s="66"/>
      <c r="CG62" s="66"/>
      <c r="CH62" s="66"/>
      <c r="CI62" s="66"/>
      <c r="CJ62" s="66"/>
      <c r="CK62" s="66"/>
      <c r="CL62" s="55"/>
      <c r="CM62" s="55"/>
      <c r="CN62" s="55"/>
      <c r="CO62" s="55"/>
      <c r="CP62" s="55"/>
      <c r="CQ62" s="55"/>
      <c r="CR62" s="55"/>
      <c r="CS62" s="55"/>
      <c r="CT62" s="55"/>
      <c r="CU62" s="55"/>
      <c r="CV62" s="55"/>
      <c r="CW62" s="55"/>
      <c r="CZ62" s="55"/>
    </row>
    <row r="63" spans="1:106">
      <c r="A63" s="2">
        <f>IF(Ergebnisse!A63="","",Ergebnisse!A63)</f>
        <v>73</v>
      </c>
      <c r="B63" s="6">
        <f>IF(Ergebnisse!B63="","",Ergebnisse!B63)</f>
        <v>46201.5</v>
      </c>
      <c r="C63" s="6" t="str">
        <f>IF(Ergebnisse!C63="","",Ergebnisse!C63)</f>
        <v>Los Angeles</v>
      </c>
      <c r="D63" s="26" t="str">
        <f ca="1">IF(Ergebnisse!D63="","",Ergebnisse!D63)</f>
        <v>Tschechien</v>
      </c>
      <c r="E63" s="15"/>
      <c r="F63" s="37" t="str">
        <f ca="1">IF(Ergebnisse!F63="","",Ergebnisse!F63)</f>
        <v>Schweiz</v>
      </c>
      <c r="G63" s="17"/>
      <c r="H63" s="107">
        <f ca="1">IF(Ergebnisse!H63="","",Ergebnisse!H63)</f>
        <v>6</v>
      </c>
      <c r="I63" s="11" t="s">
        <v>25</v>
      </c>
      <c r="J63" s="107">
        <f ca="1">IF(Ergebnisse!J63="","",Ergebnisse!J63)</f>
        <v>7</v>
      </c>
      <c r="L63" s="1"/>
      <c r="M63" s="240" t="str">
        <f ca="1">IF(Ergebnisse!M63="","",Ergebnisse!M63)</f>
        <v>Schweiz</v>
      </c>
      <c r="N63" s="1"/>
      <c r="O63" s="1"/>
      <c r="P63" s="1"/>
      <c r="Q63" s="1"/>
      <c r="R63" s="1"/>
      <c r="V63" s="62"/>
      <c r="W63" s="62"/>
      <c r="Z63" s="62"/>
      <c r="AB63" s="62"/>
      <c r="AE63" s="2"/>
      <c r="AF63" s="206"/>
      <c r="AG63" s="206"/>
      <c r="AH63" s="206"/>
      <c r="AI63" s="206"/>
      <c r="AJ63" s="206"/>
      <c r="AK63" s="206"/>
      <c r="AL63" s="206"/>
      <c r="AM63" s="206"/>
      <c r="AN63" s="206"/>
      <c r="AO63" s="206"/>
      <c r="AP63" s="206"/>
      <c r="AX63" s="17">
        <f ca="1">IF(AY63="",0,IF($CX$97="",(D63=Ergebnisse!D63)+(F63=Ergebnisse!F63)+(SIGN(H63-J63)=SIGN(Ergebnisse!H63-Ergebnisse!J63))*7+(H63=Ergebnisse!H63)+(J63=Ergebnisse!J63),INT(RAND()*12)))</f>
        <v>11</v>
      </c>
      <c r="AY63" s="17" t="str">
        <f ca="1">IF(Ergebnisse!K63=Ergebnisse!$B$98,Ergebnisse!K63,"")</f>
        <v>ok</v>
      </c>
      <c r="AZ63" s="206"/>
      <c r="BA63" s="206"/>
      <c r="BB63" s="206"/>
      <c r="BC63" s="206"/>
      <c r="BD63" s="206"/>
      <c r="BE63" s="206"/>
      <c r="BF63" s="206"/>
      <c r="BG63" s="206"/>
      <c r="BH63" s="206"/>
      <c r="BI63" s="206"/>
      <c r="BJ63" s="206"/>
      <c r="BK63" s="206"/>
      <c r="BL63" s="206"/>
      <c r="BM63" s="206"/>
      <c r="BN63" s="206"/>
      <c r="BO63" s="206"/>
      <c r="BP63" s="206"/>
      <c r="BQ63" s="206"/>
      <c r="BR63" s="206"/>
      <c r="BS63" s="206"/>
      <c r="BT63" s="206"/>
      <c r="BU63" s="206"/>
      <c r="BV63" s="55"/>
      <c r="BW63" s="55"/>
      <c r="BX63" s="55"/>
      <c r="BZ63" s="55"/>
      <c r="CA63" s="55"/>
      <c r="CB63" s="55"/>
      <c r="CC63" s="55"/>
      <c r="CD63" s="55"/>
      <c r="CE63" s="66"/>
      <c r="CF63" s="66"/>
      <c r="CG63" s="66"/>
      <c r="CH63" s="66"/>
      <c r="CI63" s="66"/>
      <c r="CJ63" s="66"/>
      <c r="CK63" s="66"/>
      <c r="CL63" s="55"/>
      <c r="CM63" s="55"/>
      <c r="CN63" s="55"/>
      <c r="CO63" s="55"/>
      <c r="CP63" s="55"/>
      <c r="CQ63" s="55"/>
      <c r="CR63" s="55"/>
      <c r="CS63" s="55"/>
      <c r="CT63" s="55"/>
      <c r="CU63" s="55"/>
      <c r="CV63" s="55"/>
      <c r="CW63" s="55"/>
    </row>
    <row r="64" spans="1:106">
      <c r="A64" s="2">
        <f>IF(Ergebnisse!A64="","",Ergebnisse!A64)</f>
        <v>76</v>
      </c>
      <c r="B64" s="6">
        <f>IF(Ergebnisse!B64="","",Ergebnisse!B64)</f>
        <v>46202.5</v>
      </c>
      <c r="C64" s="6" t="str">
        <f>IF(Ergebnisse!C64="","",Ergebnisse!C64)</f>
        <v>Houston</v>
      </c>
      <c r="D64" s="38" t="str">
        <f ca="1">IF(Ergebnisse!D64="","",Ergebnisse!D64)</f>
        <v>Schottland</v>
      </c>
      <c r="E64" s="15"/>
      <c r="F64" s="223" t="str">
        <f ca="1">IF(Ergebnisse!F64="","",Ergebnisse!F64)</f>
        <v>Schweden</v>
      </c>
      <c r="G64" s="17"/>
      <c r="H64" s="107">
        <f ca="1">IF(Ergebnisse!H64="","",Ergebnisse!H64)</f>
        <v>3</v>
      </c>
      <c r="I64" s="11" t="s">
        <v>25</v>
      </c>
      <c r="J64" s="107">
        <f ca="1">IF(Ergebnisse!J64="","",Ergebnisse!J64)</f>
        <v>4</v>
      </c>
      <c r="L64" s="1"/>
      <c r="M64" s="240" t="str">
        <f ca="1">IF(Ergebnisse!M64="","",Ergebnisse!M64)</f>
        <v>Schweden</v>
      </c>
      <c r="N64" s="1"/>
      <c r="O64" s="1"/>
      <c r="P64" s="1"/>
      <c r="Q64" s="1"/>
      <c r="R64" s="1"/>
      <c r="V64" s="62"/>
      <c r="W64" s="62"/>
      <c r="AA64" s="201"/>
      <c r="AC64" s="58"/>
      <c r="AE64" s="2"/>
      <c r="AF64" s="206"/>
      <c r="AG64" s="206"/>
      <c r="AH64" s="206"/>
      <c r="AI64" s="206"/>
      <c r="AJ64" s="206"/>
      <c r="AK64" s="206"/>
      <c r="AL64" s="206"/>
      <c r="AM64" s="206"/>
      <c r="AN64" s="206"/>
      <c r="AO64" s="206"/>
      <c r="AP64" s="206"/>
      <c r="AX64" s="17">
        <f ca="1">IF(AY64="",0,IF($CX$97="",(D64=Ergebnisse!D64)+(F64=Ergebnisse!F64)+(SIGN(H64-J64)=SIGN(Ergebnisse!H64-Ergebnisse!J64))*7+(H64=Ergebnisse!H64)+(J64=Ergebnisse!J64),INT(RAND()*12)))</f>
        <v>11</v>
      </c>
      <c r="AY64" s="17" t="str">
        <f ca="1">IF(Ergebnisse!K64=Ergebnisse!$B$98,Ergebnisse!K64,"")</f>
        <v>ok</v>
      </c>
      <c r="AZ64" s="206"/>
      <c r="BA64" s="206"/>
      <c r="BB64" s="206"/>
      <c r="BC64" s="206"/>
      <c r="BD64" s="206"/>
      <c r="BE64" s="206"/>
      <c r="BF64" s="206"/>
      <c r="BG64" s="206"/>
      <c r="BH64" s="206"/>
      <c r="BI64" s="206"/>
      <c r="BJ64" s="206"/>
      <c r="BK64" s="206"/>
      <c r="BL64" s="206"/>
      <c r="BM64" s="206"/>
      <c r="BN64" s="206"/>
      <c r="BO64" s="206"/>
      <c r="BP64" s="206"/>
      <c r="BQ64" s="206"/>
      <c r="BR64" s="206"/>
      <c r="BS64" s="206"/>
      <c r="BT64" s="206"/>
      <c r="BU64" s="206"/>
      <c r="BV64" s="55"/>
      <c r="BW64" s="55"/>
      <c r="BX64" s="55"/>
      <c r="BZ64" s="55"/>
      <c r="CA64" s="55"/>
      <c r="CB64" s="55"/>
      <c r="CC64" s="55"/>
      <c r="CD64" s="55"/>
      <c r="CE64" s="66"/>
      <c r="CF64" s="66"/>
      <c r="CG64" s="66"/>
      <c r="CH64" s="66"/>
      <c r="CI64" s="66"/>
      <c r="CJ64" s="66"/>
      <c r="CK64" s="66"/>
      <c r="CL64" s="55"/>
      <c r="CM64" s="55"/>
      <c r="CN64" s="55"/>
      <c r="CO64" s="55"/>
      <c r="CP64" s="55"/>
      <c r="CQ64" s="55"/>
      <c r="CR64" s="55"/>
      <c r="CS64" s="55"/>
      <c r="CT64" s="55"/>
      <c r="CU64" s="55"/>
      <c r="CV64" s="55"/>
      <c r="CW64" s="55"/>
    </row>
    <row r="65" spans="1:101">
      <c r="A65" s="2">
        <f>IF(Ergebnisse!A65="","",Ergebnisse!A65)</f>
        <v>74</v>
      </c>
      <c r="B65" s="6">
        <f>IF(Ergebnisse!B65="","",Ergebnisse!B65)</f>
        <v>46202.6875</v>
      </c>
      <c r="C65" s="6" t="str">
        <f>IF(Ergebnisse!C65="","",Ergebnisse!C65)</f>
        <v>Boston</v>
      </c>
      <c r="D65" s="73" t="str">
        <f ca="1">IF(Ergebnisse!D65="","",Ergebnisse!D65)</f>
        <v>Ecuador</v>
      </c>
      <c r="E65" s="15"/>
      <c r="F65" s="34" t="str">
        <f ca="1">IF(Ergebnisse!F65="","",Ergebnisse!F65)</f>
        <v>Brasilien</v>
      </c>
      <c r="G65" s="17"/>
      <c r="H65" s="107">
        <f ca="1">IF(Ergebnisse!H65="","",Ergebnisse!H65)</f>
        <v>2</v>
      </c>
      <c r="I65" s="11" t="s">
        <v>25</v>
      </c>
      <c r="J65" s="107">
        <f ca="1">IF(Ergebnisse!J65="","",Ergebnisse!J65)</f>
        <v>1</v>
      </c>
      <c r="L65" s="1"/>
      <c r="M65" s="242" t="str">
        <f ca="1">IF(Ergebnisse!M65="","",Ergebnisse!M65)</f>
        <v>Ecuador</v>
      </c>
      <c r="N65" s="1"/>
      <c r="O65" s="1"/>
      <c r="P65" s="1"/>
      <c r="Q65" s="1"/>
      <c r="R65" s="1"/>
      <c r="V65" s="62"/>
      <c r="W65" s="62"/>
      <c r="Z65" s="62"/>
      <c r="AC65" s="58"/>
      <c r="AE65" s="2"/>
      <c r="AF65" s="206"/>
      <c r="AG65" s="206"/>
      <c r="AH65" s="206"/>
      <c r="AI65" s="206"/>
      <c r="AJ65" s="206"/>
      <c r="AK65" s="206"/>
      <c r="AL65" s="206"/>
      <c r="AM65" s="206"/>
      <c r="AN65" s="206"/>
      <c r="AO65" s="206"/>
      <c r="AP65" s="206"/>
      <c r="AX65" s="17">
        <f ca="1">IF(AY65="",0,IF($CX$97="",(D65=Ergebnisse!D65)+(F65=Ergebnisse!F65)+(SIGN(H65-J65)=SIGN(Ergebnisse!H65-Ergebnisse!J65))*7+(H65=Ergebnisse!H65)+(J65=Ergebnisse!J65),INT(RAND()*12)))</f>
        <v>11</v>
      </c>
      <c r="AY65" s="17" t="str">
        <f ca="1">IF(Ergebnisse!K65=Ergebnisse!$B$98,Ergebnisse!K65,"")</f>
        <v>ok</v>
      </c>
      <c r="AZ65" s="206"/>
      <c r="BA65" s="206"/>
      <c r="BB65" s="206"/>
      <c r="BC65" s="206"/>
      <c r="BD65" s="206"/>
      <c r="BE65" s="206"/>
      <c r="BF65" s="206"/>
      <c r="BG65" s="206"/>
      <c r="BH65" s="206"/>
      <c r="BI65" s="206"/>
      <c r="BJ65" s="206"/>
      <c r="BK65" s="206"/>
      <c r="BL65" s="206"/>
      <c r="BM65" s="206"/>
      <c r="BN65" s="206"/>
      <c r="BO65" s="206"/>
      <c r="BP65" s="206"/>
      <c r="BQ65" s="206"/>
      <c r="BR65" s="206"/>
      <c r="BS65" s="206"/>
      <c r="BT65" s="206"/>
      <c r="BU65" s="206"/>
      <c r="BV65" s="59"/>
      <c r="BW65" s="59"/>
      <c r="BX65" s="53"/>
      <c r="BY65" s="59"/>
      <c r="BZ65" s="59"/>
      <c r="CA65" s="59"/>
      <c r="CB65" s="59"/>
      <c r="CC65" s="59"/>
      <c r="CD65" s="59"/>
      <c r="CE65" s="66"/>
      <c r="CF65" s="66"/>
      <c r="CG65" s="66"/>
      <c r="CH65" s="66"/>
      <c r="CI65" s="66"/>
      <c r="CJ65" s="66"/>
      <c r="CK65" s="66"/>
      <c r="CL65" s="59"/>
      <c r="CM65" s="59"/>
      <c r="CN65" s="59"/>
      <c r="CO65" s="59"/>
      <c r="CP65" s="59"/>
      <c r="CQ65" s="59"/>
      <c r="CR65" s="59"/>
      <c r="CS65" s="59"/>
      <c r="CT65" s="59"/>
      <c r="CU65" s="59"/>
      <c r="CW65" s="55"/>
    </row>
    <row r="66" spans="1:101">
      <c r="A66" s="2">
        <f>IF(Ergebnisse!A66="","",Ergebnisse!A66)</f>
        <v>75</v>
      </c>
      <c r="B66" s="6">
        <f>IF(Ergebnisse!B66="","",Ergebnisse!B66)</f>
        <v>46202.833333333336</v>
      </c>
      <c r="C66" s="6" t="str">
        <f>IF(Ergebnisse!C66="","",Ergebnisse!C66)</f>
        <v>Monterrey</v>
      </c>
      <c r="D66" s="223" t="str">
        <f ca="1">IF(Ergebnisse!D66="","",Ergebnisse!D66)</f>
        <v>Niederlande</v>
      </c>
      <c r="E66" s="15"/>
      <c r="F66" s="38" t="str">
        <f ca="1">IF(Ergebnisse!F66="","",Ergebnisse!F66)</f>
        <v>Haiti</v>
      </c>
      <c r="G66" s="17"/>
      <c r="H66" s="107">
        <f ca="1">IF(Ergebnisse!H66="","",Ergebnisse!H66)</f>
        <v>6</v>
      </c>
      <c r="I66" s="11" t="s">
        <v>25</v>
      </c>
      <c r="J66" s="107">
        <f ca="1">IF(Ergebnisse!J66="","",Ergebnisse!J66)</f>
        <v>7</v>
      </c>
      <c r="L66" s="1"/>
      <c r="M66" s="242" t="str">
        <f ca="1">IF(Ergebnisse!M66="","",Ergebnisse!M66)</f>
        <v>Haiti</v>
      </c>
      <c r="N66" s="1"/>
      <c r="O66" s="1"/>
      <c r="P66" s="1"/>
      <c r="Q66" s="1"/>
      <c r="R66" s="1"/>
      <c r="V66" s="62"/>
      <c r="W66" s="62"/>
      <c r="Z66" s="62"/>
      <c r="AC66" s="58"/>
      <c r="AE66" s="2"/>
      <c r="AF66" s="206"/>
      <c r="AG66" s="206"/>
      <c r="AH66" s="206"/>
      <c r="AI66" s="206"/>
      <c r="AJ66" s="206"/>
      <c r="AK66" s="206"/>
      <c r="AL66" s="206"/>
      <c r="AM66" s="206"/>
      <c r="AN66" s="206"/>
      <c r="AO66" s="206"/>
      <c r="AP66" s="206"/>
      <c r="AX66" s="17">
        <f ca="1">IF(AY66="",0,IF($CX$97="",(D66=Ergebnisse!D66)+(F66=Ergebnisse!F66)+(SIGN(H66-J66)=SIGN(Ergebnisse!H66-Ergebnisse!J66))*7+(H66=Ergebnisse!H66)+(J66=Ergebnisse!J66),INT(RAND()*12)))</f>
        <v>11</v>
      </c>
      <c r="AY66" s="17" t="str">
        <f ca="1">IF(Ergebnisse!K66=Ergebnisse!$B$98,Ergebnisse!K66,"")</f>
        <v>ok</v>
      </c>
      <c r="AZ66" s="206"/>
      <c r="BA66" s="206"/>
      <c r="BB66" s="206"/>
      <c r="BC66" s="206"/>
      <c r="BD66" s="206"/>
      <c r="BE66" s="206"/>
      <c r="BF66" s="206"/>
      <c r="BG66" s="206"/>
      <c r="BH66" s="206"/>
      <c r="BI66" s="206"/>
      <c r="BJ66" s="206"/>
      <c r="BK66" s="206"/>
      <c r="BL66" s="206"/>
      <c r="BM66" s="206"/>
      <c r="BN66" s="206"/>
      <c r="BO66" s="206"/>
      <c r="BP66" s="206"/>
      <c r="BQ66" s="206"/>
      <c r="BR66" s="206"/>
      <c r="BS66" s="206"/>
      <c r="BT66" s="206"/>
      <c r="BU66" s="206"/>
      <c r="BV66" s="55"/>
      <c r="BW66" s="55"/>
      <c r="BX66" s="62"/>
      <c r="BY66" s="153"/>
      <c r="BZ66" s="55"/>
      <c r="CA66" s="55"/>
      <c r="CB66" s="55"/>
      <c r="CC66" s="55"/>
      <c r="CD66" s="174"/>
      <c r="CE66" s="66"/>
      <c r="CF66" s="66"/>
      <c r="CG66" s="66"/>
      <c r="CH66" s="66"/>
      <c r="CI66" s="66"/>
      <c r="CJ66" s="66"/>
      <c r="CK66" s="66"/>
      <c r="CL66" s="55"/>
      <c r="CM66" s="55"/>
      <c r="CN66" s="55"/>
      <c r="CO66" s="55"/>
      <c r="CP66" s="55"/>
      <c r="CQ66" s="55"/>
      <c r="CR66" s="55"/>
      <c r="CS66" s="55"/>
      <c r="CT66" s="55"/>
      <c r="CU66" s="55"/>
      <c r="CW66" s="55"/>
    </row>
    <row r="67" spans="1:101">
      <c r="A67" s="2">
        <f>IF(Ergebnisse!A67="","",Ergebnisse!A67)</f>
        <v>78</v>
      </c>
      <c r="B67" s="6">
        <f>IF(Ergebnisse!B67="","",Ergebnisse!B67)</f>
        <v>46203.5</v>
      </c>
      <c r="C67" s="6" t="str">
        <f>IF(Ergebnisse!C67="","",Ergebnisse!C67)</f>
        <v>Dallas</v>
      </c>
      <c r="D67" s="73" t="str">
        <f ca="1">IF(Ergebnisse!D67="","",Ergebnisse!D67)</f>
        <v>Elfenbeinküste</v>
      </c>
      <c r="E67" s="15"/>
      <c r="F67" s="238" t="str">
        <f ca="1">IF(Ergebnisse!F67="","",Ergebnisse!F67)</f>
        <v>Senegal</v>
      </c>
      <c r="G67" s="17"/>
      <c r="H67" s="107">
        <f ca="1">IF(Ergebnisse!H67="","",Ergebnisse!H67)</f>
        <v>1</v>
      </c>
      <c r="I67" s="11" t="s">
        <v>25</v>
      </c>
      <c r="J67" s="107">
        <f ca="1">IF(Ergebnisse!J67="","",Ergebnisse!J67)</f>
        <v>0</v>
      </c>
      <c r="L67" s="1"/>
      <c r="M67" s="249" t="str">
        <f ca="1">IF(Ergebnisse!M67="","",Ergebnisse!M67)</f>
        <v>Elfenbeinküste</v>
      </c>
      <c r="N67" s="1"/>
      <c r="O67" s="1"/>
      <c r="P67" s="1"/>
      <c r="Q67" s="1"/>
      <c r="R67" s="1"/>
      <c r="V67" s="62"/>
      <c r="W67" s="62"/>
      <c r="Z67" s="62"/>
      <c r="AC67" s="58"/>
      <c r="AE67" s="2"/>
      <c r="AF67" s="206"/>
      <c r="AG67" s="206"/>
      <c r="AH67" s="206"/>
      <c r="AI67" s="206"/>
      <c r="AJ67" s="206"/>
      <c r="AK67" s="206"/>
      <c r="AL67" s="206"/>
      <c r="AM67" s="206"/>
      <c r="AN67" s="206"/>
      <c r="AO67" s="206"/>
      <c r="AP67" s="206"/>
      <c r="AX67" s="17">
        <f ca="1">IF(AY67="",0,IF($CX$97="",(D67=Ergebnisse!D67)+(F67=Ergebnisse!F67)+(SIGN(H67-J67)=SIGN(Ergebnisse!H67-Ergebnisse!J67))*7+(H67=Ergebnisse!H67)+(J67=Ergebnisse!J67),INT(RAND()*12)))</f>
        <v>11</v>
      </c>
      <c r="AY67" s="17" t="str">
        <f ca="1">IF(Ergebnisse!K67=Ergebnisse!$B$98,Ergebnisse!K67,"")</f>
        <v>ok</v>
      </c>
      <c r="AZ67" s="206"/>
      <c r="BA67" s="206"/>
      <c r="BB67" s="206"/>
      <c r="BC67" s="206"/>
      <c r="BD67" s="206"/>
      <c r="BE67" s="206"/>
      <c r="BF67" s="206"/>
      <c r="BG67" s="206"/>
      <c r="BH67" s="206"/>
      <c r="BI67" s="206"/>
      <c r="BJ67" s="206"/>
      <c r="BK67" s="206"/>
      <c r="BL67" s="206"/>
      <c r="BM67" s="206"/>
      <c r="BN67" s="206"/>
      <c r="BO67" s="206"/>
      <c r="BP67" s="206"/>
      <c r="BQ67" s="206"/>
      <c r="BR67" s="206"/>
      <c r="BS67" s="206"/>
      <c r="BT67" s="206"/>
      <c r="BU67" s="206"/>
      <c r="BV67" s="55"/>
      <c r="BW67" s="55"/>
      <c r="BX67" s="62"/>
      <c r="BY67" s="153"/>
      <c r="BZ67" s="55"/>
      <c r="CA67" s="55"/>
      <c r="CB67" s="55"/>
      <c r="CC67" s="55"/>
      <c r="CD67" s="174"/>
      <c r="CE67" s="66"/>
      <c r="CF67" s="66"/>
      <c r="CG67" s="66"/>
      <c r="CH67" s="66"/>
      <c r="CI67" s="66"/>
      <c r="CJ67" s="66"/>
      <c r="CK67" s="66"/>
      <c r="CL67" s="55"/>
      <c r="CM67" s="55"/>
      <c r="CN67" s="55"/>
      <c r="CO67" s="55"/>
      <c r="CP67" s="55"/>
      <c r="CQ67" s="55"/>
      <c r="CR67" s="55"/>
      <c r="CS67" s="55"/>
      <c r="CT67" s="55"/>
      <c r="CU67" s="55"/>
      <c r="CW67" s="55"/>
    </row>
    <row r="68" spans="1:101">
      <c r="A68" s="2">
        <f>IF(Ergebnisse!A68="","",Ergebnisse!A68)</f>
        <v>77</v>
      </c>
      <c r="B68" s="6">
        <f>IF(Ergebnisse!B68="","",Ergebnisse!B68)</f>
        <v>46203.708333333336</v>
      </c>
      <c r="C68" s="6" t="str">
        <f>IF(Ergebnisse!C68="","",Ergebnisse!C68)</f>
        <v>New York</v>
      </c>
      <c r="D68" s="238" t="str">
        <f ca="1">IF(Ergebnisse!D68="","",Ergebnisse!D68)</f>
        <v>Frankreich</v>
      </c>
      <c r="E68" s="15"/>
      <c r="F68" s="34" t="str">
        <f ca="1">IF(Ergebnisse!F68="","",Ergebnisse!F68)</f>
        <v>Tunesien</v>
      </c>
      <c r="G68" s="17"/>
      <c r="H68" s="107">
        <f ca="1">IF(Ergebnisse!H68="","",Ergebnisse!H68)</f>
        <v>2</v>
      </c>
      <c r="I68" s="11" t="s">
        <v>25</v>
      </c>
      <c r="J68" s="107">
        <f ca="1">IF(Ergebnisse!J68="","",Ergebnisse!J68)</f>
        <v>1</v>
      </c>
      <c r="L68" s="1"/>
      <c r="M68" s="249" t="str">
        <f ca="1">IF(Ergebnisse!M68="","",Ergebnisse!M68)</f>
        <v>Frankreich</v>
      </c>
      <c r="N68" s="1"/>
      <c r="O68" s="1"/>
      <c r="P68" s="1"/>
      <c r="Q68" s="1"/>
      <c r="R68" s="1"/>
      <c r="V68" s="62"/>
      <c r="W68" s="62"/>
      <c r="Z68" s="62"/>
      <c r="AC68" s="58"/>
      <c r="AE68" s="2"/>
      <c r="AF68" s="206"/>
      <c r="AG68" s="206"/>
      <c r="AH68" s="206"/>
      <c r="AI68" s="206"/>
      <c r="AJ68" s="206"/>
      <c r="AK68" s="206"/>
      <c r="AL68" s="206"/>
      <c r="AM68" s="206"/>
      <c r="AN68" s="206"/>
      <c r="AO68" s="206"/>
      <c r="AP68" s="206"/>
      <c r="AX68" s="17">
        <f ca="1">IF(AY68="",0,IF($CX$97="",(D68=Ergebnisse!D68)+(F68=Ergebnisse!F68)+(SIGN(H68-J68)=SIGN(Ergebnisse!H68-Ergebnisse!J68))*7+(H68=Ergebnisse!H68)+(J68=Ergebnisse!J68),INT(RAND()*12)))</f>
        <v>11</v>
      </c>
      <c r="AY68" s="17" t="str">
        <f ca="1">IF(Ergebnisse!K68=Ergebnisse!$B$98,Ergebnisse!K68,"")</f>
        <v>ok</v>
      </c>
      <c r="AZ68" s="206"/>
      <c r="BA68" s="206"/>
      <c r="BB68" s="206"/>
      <c r="BC68" s="206"/>
      <c r="BD68" s="206"/>
      <c r="BE68" s="206"/>
      <c r="BF68" s="206"/>
      <c r="BG68" s="206"/>
      <c r="BH68" s="206"/>
      <c r="BI68" s="206"/>
      <c r="BJ68" s="206"/>
      <c r="BK68" s="206"/>
      <c r="BL68" s="206"/>
      <c r="BM68" s="206"/>
      <c r="BN68" s="206"/>
      <c r="BO68" s="206"/>
      <c r="BP68" s="206"/>
      <c r="BQ68" s="206"/>
      <c r="BR68" s="206"/>
      <c r="BS68" s="206"/>
      <c r="BT68" s="206"/>
      <c r="BU68" s="206"/>
      <c r="BV68" s="55"/>
      <c r="BW68" s="55"/>
      <c r="BX68" s="62"/>
      <c r="BY68" s="153"/>
      <c r="BZ68" s="55"/>
      <c r="CA68" s="55"/>
      <c r="CB68" s="55"/>
      <c r="CC68" s="55"/>
      <c r="CD68" s="174"/>
      <c r="CE68" s="66"/>
      <c r="CF68" s="66"/>
      <c r="CG68" s="66"/>
      <c r="CH68" s="66"/>
      <c r="CI68" s="66"/>
      <c r="CJ68" s="66"/>
      <c r="CK68" s="66"/>
      <c r="CL68" s="55"/>
      <c r="CM68" s="55"/>
      <c r="CN68" s="55"/>
      <c r="CO68" s="55"/>
      <c r="CP68" s="55"/>
      <c r="CQ68" s="55"/>
      <c r="CR68" s="55"/>
      <c r="CS68" s="55"/>
      <c r="CT68" s="55"/>
      <c r="CU68" s="55"/>
      <c r="CW68" s="55"/>
    </row>
    <row r="69" spans="1:101">
      <c r="A69" s="2">
        <f>IF(Ergebnisse!A69="","",Ergebnisse!A69)</f>
        <v>79</v>
      </c>
      <c r="B69" s="6">
        <f>IF(Ergebnisse!B69="","",Ergebnisse!B69)</f>
        <v>46203.833333333336</v>
      </c>
      <c r="C69" s="6" t="str">
        <f>IF(Ergebnisse!C69="","",Ergebnisse!C69)</f>
        <v>Mexico City</v>
      </c>
      <c r="D69" s="251" t="str">
        <f ca="1">IF(Ergebnisse!D69="","",Ergebnisse!D69)</f>
        <v>Südafrika</v>
      </c>
      <c r="E69" s="15"/>
      <c r="F69" s="34" t="str">
        <f ca="1">IF(Ergebnisse!F69="","",Ergebnisse!F69)</f>
        <v>Curaçao</v>
      </c>
      <c r="G69" s="17"/>
      <c r="H69" s="107">
        <f ca="1">IF(Ergebnisse!H69="","",Ergebnisse!H69)</f>
        <v>3</v>
      </c>
      <c r="I69" s="11" t="s">
        <v>25</v>
      </c>
      <c r="J69" s="107">
        <f ca="1">IF(Ergebnisse!J69="","",Ergebnisse!J69)</f>
        <v>2</v>
      </c>
      <c r="L69" s="1"/>
      <c r="M69" s="252" t="str">
        <f ca="1">IF(Ergebnisse!M69="","",Ergebnisse!M69)</f>
        <v>Südafrika</v>
      </c>
      <c r="N69" s="1"/>
      <c r="O69" s="1"/>
      <c r="P69" s="1"/>
      <c r="Q69" s="1"/>
      <c r="R69" s="1"/>
      <c r="V69" s="62"/>
      <c r="W69" s="62"/>
      <c r="Z69" s="62"/>
      <c r="AC69" s="58"/>
      <c r="AE69" s="2"/>
      <c r="AF69" s="206"/>
      <c r="AG69" s="206"/>
      <c r="AH69" s="206"/>
      <c r="AI69" s="206"/>
      <c r="AJ69" s="206"/>
      <c r="AK69" s="206"/>
      <c r="AL69" s="206"/>
      <c r="AM69" s="206"/>
      <c r="AN69" s="206"/>
      <c r="AO69" s="206"/>
      <c r="AP69" s="206"/>
      <c r="AX69" s="17">
        <f ca="1">IF(AY69="",0,IF($CX$97="",(D69=Ergebnisse!D69)+(F69=Ergebnisse!F69)+(SIGN(H69-J69)=SIGN(Ergebnisse!H69-Ergebnisse!J69))*7+(H69=Ergebnisse!H69)+(J69=Ergebnisse!J69),INT(RAND()*12)))</f>
        <v>11</v>
      </c>
      <c r="AY69" s="17" t="str">
        <f ca="1">IF(Ergebnisse!K69=Ergebnisse!$B$98,Ergebnisse!K69,"")</f>
        <v>ok</v>
      </c>
      <c r="AZ69" s="206"/>
      <c r="BA69" s="206"/>
      <c r="BB69" s="206"/>
      <c r="BC69" s="206"/>
      <c r="BD69" s="206"/>
      <c r="BE69" s="206"/>
      <c r="BF69" s="206"/>
      <c r="BG69" s="206"/>
      <c r="BH69" s="206"/>
      <c r="BI69" s="206"/>
      <c r="BJ69" s="206"/>
      <c r="BK69" s="206"/>
      <c r="BL69" s="206"/>
      <c r="BM69" s="206"/>
      <c r="BN69" s="206"/>
      <c r="BO69" s="206"/>
      <c r="BP69" s="206"/>
      <c r="BQ69" s="206"/>
      <c r="BR69" s="206"/>
      <c r="BS69" s="206"/>
      <c r="BT69" s="206"/>
      <c r="BU69" s="206"/>
      <c r="BV69" s="55"/>
      <c r="BW69" s="55"/>
      <c r="BX69" s="62"/>
      <c r="BY69" s="153"/>
      <c r="BZ69" s="55"/>
      <c r="CA69" s="55"/>
      <c r="CB69" s="55"/>
      <c r="CC69" s="55"/>
      <c r="CD69" s="174"/>
      <c r="CE69" s="66"/>
      <c r="CF69" s="66"/>
      <c r="CG69" s="66"/>
      <c r="CH69" s="66"/>
      <c r="CI69" s="66"/>
      <c r="CJ69" s="66"/>
      <c r="CK69" s="66"/>
      <c r="CL69" s="55"/>
      <c r="CM69" s="55"/>
      <c r="CN69" s="55"/>
      <c r="CO69" s="55"/>
      <c r="CP69" s="55"/>
      <c r="CQ69" s="55"/>
      <c r="CR69" s="55"/>
      <c r="CS69" s="55"/>
      <c r="CT69" s="55"/>
      <c r="CU69" s="55"/>
      <c r="CW69" s="55"/>
    </row>
    <row r="70" spans="1:101">
      <c r="A70" s="2">
        <f>IF(Ergebnisse!A70="","",Ergebnisse!A70)</f>
        <v>80</v>
      </c>
      <c r="B70" s="6">
        <f>IF(Ergebnisse!B70="","",Ergebnisse!B70)</f>
        <v>46204.5</v>
      </c>
      <c r="C70" s="6" t="str">
        <f>IF(Ergebnisse!C70="","",Ergebnisse!C70)</f>
        <v>Atlanta</v>
      </c>
      <c r="D70" s="237" t="str">
        <f ca="1">IF(Ergebnisse!D70="","",Ergebnisse!D70)</f>
        <v>Ghana</v>
      </c>
      <c r="E70" s="15"/>
      <c r="F70" s="34" t="str">
        <f ca="1">IF(Ergebnisse!F70="","",Ergebnisse!F70)</f>
        <v>DR Kongo</v>
      </c>
      <c r="G70" s="17"/>
      <c r="H70" s="107">
        <f ca="1">IF(Ergebnisse!H70="","",Ergebnisse!H70)</f>
        <v>0</v>
      </c>
      <c r="I70" s="11" t="s">
        <v>25</v>
      </c>
      <c r="J70" s="107">
        <f ca="1">IF(Ergebnisse!J70="","",Ergebnisse!J70)</f>
        <v>1</v>
      </c>
      <c r="L70" s="1"/>
      <c r="M70" s="252" t="str">
        <f ca="1">IF(Ergebnisse!M70="","",Ergebnisse!M70)</f>
        <v>DR Kongo</v>
      </c>
      <c r="N70" s="1"/>
      <c r="O70" s="1"/>
      <c r="P70" s="1"/>
      <c r="Q70" s="1"/>
      <c r="R70" s="1"/>
      <c r="V70" s="62"/>
      <c r="W70" s="62"/>
      <c r="Z70" s="62"/>
      <c r="AC70" s="58"/>
      <c r="AE70" s="2"/>
      <c r="AF70" s="206"/>
      <c r="AG70" s="206"/>
      <c r="AH70" s="206"/>
      <c r="AI70" s="206"/>
      <c r="AJ70" s="206"/>
      <c r="AK70" s="206"/>
      <c r="AL70" s="206"/>
      <c r="AM70" s="206"/>
      <c r="AN70" s="206"/>
      <c r="AO70" s="206"/>
      <c r="AP70" s="206"/>
      <c r="AX70" s="17">
        <f ca="1">IF(AY70="",0,IF($CX$97="",(D70=Ergebnisse!D70)+(F70=Ergebnisse!F70)+(SIGN(H70-J70)=SIGN(Ergebnisse!H70-Ergebnisse!J70))*7+(H70=Ergebnisse!H70)+(J70=Ergebnisse!J70),INT(RAND()*12)))</f>
        <v>11</v>
      </c>
      <c r="AY70" s="17" t="str">
        <f ca="1">IF(Ergebnisse!K70=Ergebnisse!$B$98,Ergebnisse!K70,"")</f>
        <v>ok</v>
      </c>
      <c r="AZ70" s="206"/>
      <c r="BA70" s="206"/>
      <c r="BB70" s="206"/>
      <c r="BC70" s="206"/>
      <c r="BD70" s="206"/>
      <c r="BE70" s="206"/>
      <c r="BF70" s="206"/>
      <c r="BG70" s="206"/>
      <c r="BH70" s="206"/>
      <c r="BI70" s="206"/>
      <c r="BJ70" s="206"/>
      <c r="BK70" s="206"/>
      <c r="BL70" s="206"/>
      <c r="BM70" s="206"/>
      <c r="BN70" s="206"/>
      <c r="BO70" s="206"/>
      <c r="BP70" s="206"/>
      <c r="BQ70" s="206"/>
      <c r="BR70" s="206"/>
      <c r="BS70" s="206"/>
      <c r="BT70" s="206"/>
      <c r="BU70" s="206"/>
      <c r="BV70" s="55"/>
      <c r="BW70" s="55"/>
      <c r="BX70" s="62"/>
      <c r="BY70" s="153"/>
      <c r="BZ70" s="55"/>
      <c r="CA70" s="55"/>
      <c r="CB70" s="55"/>
      <c r="CC70" s="55"/>
      <c r="CD70" s="174"/>
      <c r="CE70" s="66"/>
      <c r="CF70" s="66"/>
      <c r="CG70" s="66"/>
      <c r="CH70" s="66"/>
      <c r="CI70" s="66"/>
      <c r="CJ70" s="66"/>
      <c r="CK70" s="66"/>
      <c r="CL70" s="55"/>
      <c r="CM70" s="55"/>
      <c r="CN70" s="55"/>
      <c r="CO70" s="55"/>
      <c r="CP70" s="55"/>
      <c r="CQ70" s="55"/>
      <c r="CR70" s="55"/>
      <c r="CS70" s="55"/>
      <c r="CT70" s="55"/>
      <c r="CU70" s="55"/>
      <c r="CW70" s="55"/>
    </row>
    <row r="71" spans="1:101">
      <c r="A71" s="2">
        <f>IF(Ergebnisse!A71="","",Ergebnisse!A71)</f>
        <v>82</v>
      </c>
      <c r="B71" s="6">
        <f>IF(Ergebnisse!B71="","",Ergebnisse!B71)</f>
        <v>46204.541666666664</v>
      </c>
      <c r="C71" s="6" t="str">
        <f>IF(Ergebnisse!C71="","",Ergebnisse!C71)</f>
        <v>Seattle</v>
      </c>
      <c r="D71" s="228" t="str">
        <f ca="1">IF(Ergebnisse!D71="","",Ergebnisse!D71)</f>
        <v>Neuseeland</v>
      </c>
      <c r="E71" s="15"/>
      <c r="F71" s="34" t="str">
        <f ca="1">IF(Ergebnisse!F71="","",Ergebnisse!F71)</f>
        <v>Südkorea</v>
      </c>
      <c r="G71" s="17"/>
      <c r="H71" s="107">
        <f ca="1">IF(Ergebnisse!H71="","",Ergebnisse!H71)</f>
        <v>3</v>
      </c>
      <c r="I71" s="11" t="s">
        <v>25</v>
      </c>
      <c r="J71" s="107">
        <f ca="1">IF(Ergebnisse!J71="","",Ergebnisse!J71)</f>
        <v>2</v>
      </c>
      <c r="L71" s="1"/>
      <c r="M71" s="240" t="str">
        <f ca="1">IF(Ergebnisse!M71="","",Ergebnisse!M71)</f>
        <v>Neuseeland</v>
      </c>
      <c r="N71" s="1"/>
      <c r="O71" s="1"/>
      <c r="P71" s="1"/>
      <c r="Q71" s="1"/>
      <c r="R71" s="1"/>
      <c r="S71" s="4"/>
      <c r="T71" s="4"/>
      <c r="U71" s="4"/>
      <c r="V71" s="4"/>
      <c r="W71" s="4"/>
      <c r="X71" s="4"/>
      <c r="Z71" s="62"/>
      <c r="AC71" s="58"/>
      <c r="AE71" s="2"/>
      <c r="AF71" s="206"/>
      <c r="AG71" s="206"/>
      <c r="AH71" s="206"/>
      <c r="AI71" s="206"/>
      <c r="AJ71" s="206"/>
      <c r="AK71" s="206"/>
      <c r="AL71" s="206"/>
      <c r="AM71" s="206"/>
      <c r="AN71" s="206"/>
      <c r="AO71" s="206"/>
      <c r="AP71" s="206"/>
      <c r="AX71" s="17">
        <f ca="1">IF(AY71="",0,IF($CX$97="",(D71=Ergebnisse!D71)+(F71=Ergebnisse!F71)+(SIGN(H71-J71)=SIGN(Ergebnisse!H71-Ergebnisse!J71))*7+(H71=Ergebnisse!H71)+(J71=Ergebnisse!J71),INT(RAND()*12)))</f>
        <v>11</v>
      </c>
      <c r="AY71" s="17" t="str">
        <f ca="1">IF(Ergebnisse!K71=Ergebnisse!$B$98,Ergebnisse!K71,"")</f>
        <v>ok</v>
      </c>
      <c r="AZ71" s="206"/>
      <c r="BA71" s="206"/>
      <c r="BB71" s="206"/>
      <c r="BC71" s="206"/>
      <c r="BD71" s="206"/>
      <c r="BE71" s="206"/>
      <c r="BF71" s="206"/>
      <c r="BG71" s="206"/>
      <c r="BH71" s="206"/>
      <c r="BI71" s="206"/>
      <c r="BJ71" s="206"/>
      <c r="BK71" s="206"/>
      <c r="BL71" s="206"/>
      <c r="BM71" s="206"/>
      <c r="BN71" s="206"/>
      <c r="BO71" s="206"/>
      <c r="BP71" s="206"/>
      <c r="BQ71" s="206"/>
      <c r="BR71" s="206"/>
      <c r="BS71" s="206"/>
      <c r="BT71" s="206"/>
      <c r="BU71" s="206"/>
      <c r="BV71" s="55"/>
      <c r="BW71" s="55"/>
      <c r="BX71" s="62"/>
      <c r="BY71" s="153"/>
      <c r="BZ71" s="55"/>
      <c r="CA71" s="55"/>
      <c r="CB71" s="55"/>
      <c r="CC71" s="55"/>
      <c r="CD71" s="174"/>
      <c r="CE71" s="66"/>
      <c r="CF71" s="66"/>
      <c r="CG71" s="66"/>
      <c r="CH71" s="66"/>
      <c r="CI71" s="66"/>
      <c r="CJ71" s="66"/>
      <c r="CK71" s="66"/>
      <c r="CL71" s="55"/>
      <c r="CM71" s="55"/>
      <c r="CN71" s="55"/>
      <c r="CO71" s="55"/>
      <c r="CP71" s="55"/>
      <c r="CQ71" s="55"/>
      <c r="CR71" s="55"/>
      <c r="CS71" s="55"/>
      <c r="CT71" s="55"/>
      <c r="CU71" s="55"/>
      <c r="CW71" s="55"/>
    </row>
    <row r="72" spans="1:101">
      <c r="A72" s="2">
        <f>IF(Ergebnisse!A72="","",Ergebnisse!A72)</f>
        <v>81</v>
      </c>
      <c r="B72" s="6">
        <f>IF(Ergebnisse!B72="","",Ergebnisse!B72)</f>
        <v>46204.708333333336</v>
      </c>
      <c r="C72" s="6" t="str">
        <f>IF(Ergebnisse!C72="","",Ergebnisse!C72)</f>
        <v>San Francisco</v>
      </c>
      <c r="D72" s="177" t="str">
        <f ca="1">IF(Ergebnisse!D72="","",Ergebnisse!D72)</f>
        <v>Türkei</v>
      </c>
      <c r="E72" s="15"/>
      <c r="F72" s="34" t="str">
        <f ca="1">IF(Ergebnisse!F72="","",Ergebnisse!F72)</f>
        <v>Irak</v>
      </c>
      <c r="G72" s="17"/>
      <c r="H72" s="107">
        <f ca="1">IF(Ergebnisse!H72="","",Ergebnisse!H72)</f>
        <v>2</v>
      </c>
      <c r="I72" s="11" t="s">
        <v>25</v>
      </c>
      <c r="J72" s="107">
        <f ca="1">IF(Ergebnisse!J72="","",Ergebnisse!J72)</f>
        <v>1</v>
      </c>
      <c r="L72" s="1"/>
      <c r="M72" s="240" t="str">
        <f ca="1">IF(Ergebnisse!M72="","",Ergebnisse!M72)</f>
        <v>Türkei</v>
      </c>
      <c r="N72" s="1"/>
      <c r="O72" s="1"/>
      <c r="P72" s="1"/>
      <c r="Q72" s="1"/>
      <c r="R72" s="1"/>
      <c r="S72" s="4"/>
      <c r="T72" s="4"/>
      <c r="U72" s="4"/>
      <c r="V72" s="4"/>
      <c r="W72" s="4"/>
      <c r="X72" s="4"/>
      <c r="AC72" s="58"/>
      <c r="AE72" s="2"/>
      <c r="AF72" s="206"/>
      <c r="AG72" s="206"/>
      <c r="AH72" s="206"/>
      <c r="AI72" s="206"/>
      <c r="AJ72" s="206"/>
      <c r="AK72" s="206"/>
      <c r="AL72" s="206"/>
      <c r="AM72" s="206"/>
      <c r="AN72" s="206"/>
      <c r="AO72" s="206"/>
      <c r="AP72" s="206"/>
      <c r="AX72" s="17">
        <f ca="1">IF(AY72="",0,IF($CX$97="",(D72=Ergebnisse!D72)+(F72=Ergebnisse!F72)+(SIGN(H72-J72)=SIGN(Ergebnisse!H72-Ergebnisse!J72))*7+(H72=Ergebnisse!H72)+(J72=Ergebnisse!J72),INT(RAND()*12)))</f>
        <v>11</v>
      </c>
      <c r="AY72" s="17" t="str">
        <f ca="1">IF(Ergebnisse!K72=Ergebnisse!$B$98,Ergebnisse!K72,"")</f>
        <v>ok</v>
      </c>
      <c r="AZ72" s="206"/>
      <c r="BA72" s="206"/>
      <c r="BB72" s="206"/>
      <c r="BC72" s="206"/>
      <c r="BD72" s="206"/>
      <c r="BE72" s="206"/>
      <c r="BF72" s="206"/>
      <c r="BG72" s="206"/>
      <c r="BH72" s="206"/>
      <c r="BI72" s="206"/>
      <c r="BJ72" s="206"/>
      <c r="BK72" s="206"/>
      <c r="BL72" s="206"/>
      <c r="BM72" s="206"/>
      <c r="BN72" s="206"/>
      <c r="BO72" s="206"/>
      <c r="BP72" s="206"/>
      <c r="BQ72" s="206"/>
      <c r="BR72" s="206"/>
      <c r="BS72" s="206"/>
      <c r="BT72" s="206"/>
      <c r="BU72" s="206"/>
      <c r="BV72" s="55"/>
      <c r="BW72" s="55"/>
      <c r="BX72" s="62"/>
      <c r="BY72" s="253"/>
      <c r="BZ72" s="55"/>
      <c r="CA72" s="55"/>
      <c r="CB72" s="55"/>
      <c r="CC72" s="55"/>
      <c r="CD72" s="174"/>
      <c r="CE72" s="66"/>
      <c r="CF72" s="66"/>
      <c r="CG72" s="66"/>
      <c r="CH72" s="66"/>
      <c r="CI72" s="66"/>
      <c r="CJ72" s="66"/>
      <c r="CK72" s="66"/>
      <c r="CL72" s="55"/>
      <c r="CM72" s="55"/>
      <c r="CN72" s="55"/>
      <c r="CO72" s="55"/>
      <c r="CP72" s="55"/>
      <c r="CQ72" s="55"/>
      <c r="CR72" s="55"/>
      <c r="CS72" s="55"/>
      <c r="CT72" s="55"/>
      <c r="CU72" s="55"/>
      <c r="CW72" s="55"/>
    </row>
    <row r="73" spans="1:101">
      <c r="A73" s="2">
        <f>IF(Ergebnisse!A73="","",Ergebnisse!A73)</f>
        <v>84</v>
      </c>
      <c r="B73" s="6">
        <f>IF(Ergebnisse!B73="","",Ergebnisse!B73)</f>
        <v>46205.5</v>
      </c>
      <c r="C73" s="6" t="str">
        <f>IF(Ergebnisse!C73="","",Ergebnisse!C73)</f>
        <v>Los Angeles</v>
      </c>
      <c r="D73" s="233" t="str">
        <f ca="1">IF(Ergebnisse!D73="","",Ergebnisse!D73)</f>
        <v>Uruguay</v>
      </c>
      <c r="E73" s="15"/>
      <c r="F73" s="227" t="str">
        <f ca="1">IF(Ergebnisse!F73="","",Ergebnisse!F73)</f>
        <v>Algerien</v>
      </c>
      <c r="G73" s="17"/>
      <c r="H73" s="107">
        <f ca="1">IF(Ergebnisse!H73="","",Ergebnisse!H73)</f>
        <v>0</v>
      </c>
      <c r="I73" s="11" t="s">
        <v>25</v>
      </c>
      <c r="J73" s="107">
        <f ca="1">IF(Ergebnisse!J73="","",Ergebnisse!J73)</f>
        <v>1</v>
      </c>
      <c r="L73" s="1"/>
      <c r="M73" s="242" t="str">
        <f ca="1">IF(Ergebnisse!M73="","",Ergebnisse!M73)</f>
        <v>Algerien</v>
      </c>
      <c r="N73" s="1"/>
      <c r="O73" s="1"/>
      <c r="P73" s="1"/>
      <c r="Q73" s="1"/>
      <c r="R73" s="1"/>
      <c r="S73" s="4"/>
      <c r="T73" s="4"/>
      <c r="U73" s="4"/>
      <c r="V73" s="4"/>
      <c r="W73" s="4"/>
      <c r="X73" s="4"/>
      <c r="Z73" s="62"/>
      <c r="AC73" s="58"/>
      <c r="AE73" s="2"/>
      <c r="AF73" s="206"/>
      <c r="AG73" s="206"/>
      <c r="AH73" s="206"/>
      <c r="AI73" s="206"/>
      <c r="AJ73" s="206"/>
      <c r="AK73" s="206"/>
      <c r="AL73" s="206"/>
      <c r="AM73" s="206"/>
      <c r="AN73" s="206"/>
      <c r="AO73" s="206"/>
      <c r="AP73" s="206"/>
      <c r="AX73" s="17">
        <f ca="1">IF(AY73="",0,IF($CX$97="",(D73=Ergebnisse!D73)+(F73=Ergebnisse!F73)+(SIGN(H73-J73)=SIGN(Ergebnisse!H73-Ergebnisse!J73))*7+(H73=Ergebnisse!H73)+(J73=Ergebnisse!J73),INT(RAND()*12)))</f>
        <v>11</v>
      </c>
      <c r="AY73" s="17" t="str">
        <f ca="1">IF(Ergebnisse!K73=Ergebnisse!$B$98,Ergebnisse!K73,"")</f>
        <v>ok</v>
      </c>
      <c r="AZ73" s="206"/>
      <c r="BA73" s="206"/>
      <c r="BB73" s="206"/>
      <c r="BC73" s="206"/>
      <c r="BD73" s="206"/>
      <c r="BE73" s="206"/>
      <c r="BF73" s="206"/>
      <c r="BG73" s="206"/>
      <c r="BH73" s="206"/>
      <c r="BI73" s="206"/>
      <c r="BJ73" s="206"/>
      <c r="BK73" s="206"/>
      <c r="BL73" s="206"/>
      <c r="BM73" s="206"/>
      <c r="BN73" s="206"/>
      <c r="BO73" s="206"/>
      <c r="BP73" s="206"/>
      <c r="BQ73" s="206"/>
      <c r="BR73" s="206"/>
      <c r="BS73" s="206"/>
      <c r="BT73" s="206"/>
      <c r="BU73" s="206"/>
      <c r="BV73" s="55"/>
      <c r="BW73" s="55"/>
      <c r="BX73" s="62"/>
      <c r="BY73" s="153"/>
      <c r="BZ73" s="55"/>
      <c r="CA73" s="55"/>
      <c r="CB73" s="55"/>
      <c r="CC73" s="55"/>
      <c r="CD73" s="174"/>
      <c r="CE73" s="66"/>
      <c r="CF73" s="66"/>
      <c r="CG73" s="66"/>
      <c r="CH73" s="66"/>
      <c r="CI73" s="66"/>
      <c r="CJ73" s="66"/>
      <c r="CK73" s="66"/>
      <c r="CL73" s="55"/>
      <c r="CM73" s="55"/>
      <c r="CN73" s="55"/>
      <c r="CO73" s="55"/>
      <c r="CP73" s="55"/>
      <c r="CQ73" s="55"/>
      <c r="CR73" s="55"/>
      <c r="CS73" s="55"/>
      <c r="CT73" s="55"/>
      <c r="CU73" s="55"/>
      <c r="CW73" s="55"/>
    </row>
    <row r="74" spans="1:101">
      <c r="A74" s="2">
        <f>IF(Ergebnisse!A74="","",Ergebnisse!A74)</f>
        <v>83</v>
      </c>
      <c r="B74" s="6">
        <f>IF(Ergebnisse!B74="","",Ergebnisse!B74)</f>
        <v>46205.791666666664</v>
      </c>
      <c r="C74" s="6" t="str">
        <f>IF(Ergebnisse!C74="","",Ergebnisse!C74)</f>
        <v>Toronto</v>
      </c>
      <c r="D74" s="232" t="str">
        <f ca="1">IF(Ergebnisse!D74="","",Ergebnisse!D74)</f>
        <v>Usbekistan</v>
      </c>
      <c r="E74" s="15"/>
      <c r="F74" s="237" t="str">
        <f ca="1">IF(Ergebnisse!F74="","",Ergebnisse!F74)</f>
        <v>Panama</v>
      </c>
      <c r="G74" s="17"/>
      <c r="H74" s="107">
        <f ca="1">IF(Ergebnisse!H74="","",Ergebnisse!H74)</f>
        <v>2</v>
      </c>
      <c r="I74" s="11" t="s">
        <v>25</v>
      </c>
      <c r="J74" s="107">
        <f ca="1">IF(Ergebnisse!J74="","",Ergebnisse!J74)</f>
        <v>3</v>
      </c>
      <c r="L74" s="1"/>
      <c r="M74" s="242" t="str">
        <f ca="1">IF(Ergebnisse!M74="","",Ergebnisse!M74)</f>
        <v>Panama</v>
      </c>
      <c r="N74" s="1"/>
      <c r="O74" s="1"/>
      <c r="P74" s="1"/>
      <c r="Q74" s="1"/>
      <c r="R74" s="1"/>
      <c r="S74" s="4"/>
      <c r="T74" s="4"/>
      <c r="U74" s="4"/>
      <c r="V74" s="4"/>
      <c r="W74" s="4"/>
      <c r="X74" s="4"/>
      <c r="Z74" s="62"/>
      <c r="AC74" s="58"/>
      <c r="AE74" s="2"/>
      <c r="AF74" s="206"/>
      <c r="AG74" s="206"/>
      <c r="AH74" s="206"/>
      <c r="AI74" s="206"/>
      <c r="AJ74" s="206"/>
      <c r="AK74" s="206"/>
      <c r="AL74" s="206"/>
      <c r="AM74" s="206"/>
      <c r="AN74" s="206"/>
      <c r="AO74" s="206"/>
      <c r="AP74" s="206"/>
      <c r="AX74" s="17">
        <f ca="1">IF(AY74="",0,IF($CX$97="",(D74=Ergebnisse!D74)+(F74=Ergebnisse!F74)+(SIGN(H74-J74)=SIGN(Ergebnisse!H74-Ergebnisse!J74))*7+(H74=Ergebnisse!H74)+(J74=Ergebnisse!J74),INT(RAND()*12)))</f>
        <v>11</v>
      </c>
      <c r="AY74" s="17" t="str">
        <f ca="1">IF(Ergebnisse!K74=Ergebnisse!$B$98,Ergebnisse!K74,"")</f>
        <v>ok</v>
      </c>
      <c r="AZ74" s="206"/>
      <c r="BA74" s="206"/>
      <c r="BB74" s="206"/>
      <c r="BC74" s="206"/>
      <c r="BD74" s="206"/>
      <c r="BE74" s="206"/>
      <c r="BF74" s="206"/>
      <c r="BG74" s="206"/>
      <c r="BH74" s="206"/>
      <c r="BI74" s="206"/>
      <c r="BJ74" s="206"/>
      <c r="BK74" s="206"/>
      <c r="BL74" s="206"/>
      <c r="BM74" s="206"/>
      <c r="BN74" s="206"/>
      <c r="BO74" s="206"/>
      <c r="BP74" s="206"/>
      <c r="BQ74" s="206"/>
      <c r="BR74" s="206"/>
      <c r="BS74" s="206"/>
      <c r="BT74" s="206"/>
      <c r="BU74" s="206"/>
      <c r="BV74" s="55"/>
      <c r="BW74" s="55"/>
      <c r="BX74" s="62"/>
      <c r="BY74" s="153"/>
      <c r="BZ74" s="55"/>
      <c r="CA74" s="55"/>
      <c r="CB74" s="55"/>
      <c r="CC74" s="55"/>
      <c r="CD74" s="174"/>
      <c r="CE74" s="66"/>
      <c r="CF74" s="66"/>
      <c r="CG74" s="66"/>
      <c r="CH74" s="66"/>
      <c r="CI74" s="66"/>
      <c r="CJ74" s="66"/>
      <c r="CK74" s="66"/>
      <c r="CL74" s="55"/>
      <c r="CM74" s="55"/>
      <c r="CN74" s="55"/>
      <c r="CO74" s="55"/>
      <c r="CP74" s="55"/>
      <c r="CQ74" s="55"/>
      <c r="CR74" s="55"/>
      <c r="CS74" s="55"/>
      <c r="CT74" s="55"/>
      <c r="CU74" s="55"/>
      <c r="CW74" s="55"/>
    </row>
    <row r="75" spans="1:101">
      <c r="A75" s="2">
        <f>IF(Ergebnisse!A75="","",Ergebnisse!A75)</f>
        <v>85</v>
      </c>
      <c r="B75" s="6">
        <f>IF(Ergebnisse!B75="","",Ergebnisse!B75)</f>
        <v>46205.833333333336</v>
      </c>
      <c r="C75" s="6" t="str">
        <f>IF(Ergebnisse!C75="","",Ergebnisse!C75)</f>
        <v>Vancouver</v>
      </c>
      <c r="D75" s="37" t="str">
        <f ca="1">IF(Ergebnisse!D75="","",Ergebnisse!D75)</f>
        <v>Kanada</v>
      </c>
      <c r="E75" s="15"/>
      <c r="F75" s="34" t="str">
        <f ca="1">IF(Ergebnisse!F75="","",Ergebnisse!F75)</f>
        <v>Belgien</v>
      </c>
      <c r="G75" s="17"/>
      <c r="H75" s="107">
        <f ca="1">IF(Ergebnisse!H75="","",Ergebnisse!H75)</f>
        <v>0</v>
      </c>
      <c r="I75" s="11" t="s">
        <v>25</v>
      </c>
      <c r="J75" s="107">
        <f ca="1">IF(Ergebnisse!J75="","",Ergebnisse!J75)</f>
        <v>1</v>
      </c>
      <c r="L75" s="1"/>
      <c r="M75" s="249" t="str">
        <f ca="1">IF(Ergebnisse!M75="","",Ergebnisse!M75)</f>
        <v>Belgien</v>
      </c>
      <c r="N75" s="1"/>
      <c r="O75" s="1"/>
      <c r="P75" s="1"/>
      <c r="Q75" s="1"/>
      <c r="R75" s="1"/>
      <c r="S75" s="4"/>
      <c r="T75" s="4"/>
      <c r="U75" s="4"/>
      <c r="V75" s="4"/>
      <c r="W75" s="4"/>
      <c r="X75" s="4"/>
      <c r="Z75" s="62"/>
      <c r="AC75" s="58"/>
      <c r="AE75" s="2"/>
      <c r="AF75" s="206"/>
      <c r="AG75" s="206"/>
      <c r="AH75" s="206"/>
      <c r="AI75" s="206"/>
      <c r="AJ75" s="206"/>
      <c r="AK75" s="206"/>
      <c r="AL75" s="206"/>
      <c r="AM75" s="206"/>
      <c r="AN75" s="206"/>
      <c r="AO75" s="206"/>
      <c r="AP75" s="206"/>
      <c r="AX75" s="17">
        <f ca="1">IF(AY75="",0,IF($CX$97="",(D75=Ergebnisse!D75)+(F75=Ergebnisse!F75)+(SIGN(H75-J75)=SIGN(Ergebnisse!H75-Ergebnisse!J75))*7+(H75=Ergebnisse!H75)+(J75=Ergebnisse!J75),INT(RAND()*12)))</f>
        <v>11</v>
      </c>
      <c r="AY75" s="17" t="str">
        <f ca="1">IF(Ergebnisse!K75=Ergebnisse!$B$98,Ergebnisse!K75,"")</f>
        <v>ok</v>
      </c>
      <c r="AZ75" s="206"/>
      <c r="BA75" s="206"/>
      <c r="BB75" s="206"/>
      <c r="BC75" s="206"/>
      <c r="BD75" s="206"/>
      <c r="BE75" s="206"/>
      <c r="BF75" s="206"/>
      <c r="BG75" s="206"/>
      <c r="BH75" s="206"/>
      <c r="BI75" s="206"/>
      <c r="BJ75" s="206"/>
      <c r="BK75" s="206"/>
      <c r="BL75" s="206"/>
      <c r="BM75" s="206"/>
      <c r="BN75" s="206"/>
      <c r="BO75" s="206"/>
      <c r="BP75" s="206"/>
      <c r="BQ75" s="206"/>
      <c r="BR75" s="206"/>
      <c r="BS75" s="206"/>
      <c r="BT75" s="206"/>
      <c r="BU75" s="206"/>
      <c r="BV75" s="55"/>
      <c r="BW75" s="55"/>
      <c r="BX75" s="62"/>
      <c r="BY75" s="153"/>
      <c r="BZ75" s="55"/>
      <c r="CA75" s="55"/>
      <c r="CB75" s="55"/>
      <c r="CC75" s="55"/>
      <c r="CD75" s="174"/>
      <c r="CE75" s="66"/>
      <c r="CF75" s="66"/>
      <c r="CG75" s="66"/>
      <c r="CH75" s="66"/>
      <c r="CI75" s="66"/>
      <c r="CJ75" s="66"/>
      <c r="CK75" s="66"/>
      <c r="CL75" s="55"/>
      <c r="CM75" s="55"/>
      <c r="CN75" s="55"/>
      <c r="CO75" s="55"/>
      <c r="CP75" s="55"/>
      <c r="CQ75" s="55"/>
      <c r="CR75" s="55"/>
      <c r="CS75" s="55"/>
      <c r="CT75" s="55"/>
      <c r="CU75" s="55"/>
      <c r="CW75" s="55"/>
    </row>
    <row r="76" spans="1:101">
      <c r="A76" s="2">
        <f>IF(Ergebnisse!A76="","",Ergebnisse!A76)</f>
        <v>88</v>
      </c>
      <c r="B76" s="6">
        <f>IF(Ergebnisse!B76="","",Ergebnisse!B76)</f>
        <v>46206.541666666672</v>
      </c>
      <c r="C76" s="6" t="str">
        <f>IF(Ergebnisse!C76="","",Ergebnisse!C76)</f>
        <v>Dallas</v>
      </c>
      <c r="D76" s="177" t="str">
        <f ca="1">IF(Ergebnisse!D76="","",Ergebnisse!D76)</f>
        <v>Australien</v>
      </c>
      <c r="E76" s="15"/>
      <c r="F76" s="228" t="str">
        <f ca="1">IF(Ergebnisse!F76="","",Ergebnisse!F76)</f>
        <v>IR Iran</v>
      </c>
      <c r="G76" s="17"/>
      <c r="H76" s="107">
        <f ca="1">IF(Ergebnisse!H76="","",Ergebnisse!H76)</f>
        <v>2</v>
      </c>
      <c r="I76" s="11" t="s">
        <v>25</v>
      </c>
      <c r="J76" s="107">
        <f ca="1">IF(Ergebnisse!J76="","",Ergebnisse!J76)</f>
        <v>1</v>
      </c>
      <c r="L76" s="1"/>
      <c r="M76" s="249" t="str">
        <f ca="1">IF(Ergebnisse!M76="","",Ergebnisse!M76)</f>
        <v>Australien</v>
      </c>
      <c r="N76" s="1"/>
      <c r="O76" s="1"/>
      <c r="P76" s="1"/>
      <c r="Q76" s="1"/>
      <c r="R76" s="1"/>
      <c r="S76" s="4"/>
      <c r="T76" s="4"/>
      <c r="U76" s="4"/>
      <c r="V76" s="4"/>
      <c r="W76" s="4"/>
      <c r="X76" s="4"/>
      <c r="Z76" s="62"/>
      <c r="AC76" s="58"/>
      <c r="AE76" s="2"/>
      <c r="AF76" s="206"/>
      <c r="AG76" s="206"/>
      <c r="AH76" s="206"/>
      <c r="AI76" s="206"/>
      <c r="AJ76" s="206"/>
      <c r="AK76" s="206"/>
      <c r="AL76" s="206"/>
      <c r="AM76" s="206"/>
      <c r="AN76" s="206"/>
      <c r="AO76" s="206"/>
      <c r="AP76" s="206"/>
      <c r="AX76" s="17">
        <f ca="1">IF(AY76="",0,IF($CX$97="",(D76=Ergebnisse!D76)+(F76=Ergebnisse!F76)+(SIGN(H76-J76)=SIGN(Ergebnisse!H76-Ergebnisse!J76))*7+(H76=Ergebnisse!H76)+(J76=Ergebnisse!J76),INT(RAND()*12)))</f>
        <v>11</v>
      </c>
      <c r="AY76" s="17" t="str">
        <f ca="1">IF(Ergebnisse!K76=Ergebnisse!$B$98,Ergebnisse!K76,"")</f>
        <v>ok</v>
      </c>
      <c r="AZ76" s="206"/>
      <c r="BA76" s="206"/>
      <c r="BB76" s="206"/>
      <c r="BC76" s="206"/>
      <c r="BD76" s="206"/>
      <c r="BE76" s="206"/>
      <c r="BF76" s="206"/>
      <c r="BG76" s="206"/>
      <c r="BH76" s="206"/>
      <c r="BI76" s="206"/>
      <c r="BJ76" s="206"/>
      <c r="BK76" s="206"/>
      <c r="BL76" s="206"/>
      <c r="BM76" s="206"/>
      <c r="BN76" s="206"/>
      <c r="BO76" s="206"/>
      <c r="BP76" s="206"/>
      <c r="BQ76" s="206"/>
      <c r="BR76" s="206"/>
      <c r="BS76" s="206"/>
      <c r="BT76" s="206"/>
      <c r="BU76" s="206"/>
      <c r="BV76" s="55"/>
      <c r="BW76" s="55"/>
      <c r="BX76" s="62"/>
      <c r="BY76" s="153"/>
      <c r="BZ76" s="55"/>
      <c r="CA76" s="55"/>
      <c r="CB76" s="55"/>
      <c r="CC76" s="55"/>
      <c r="CD76" s="174"/>
      <c r="CE76" s="66"/>
      <c r="CF76" s="66"/>
      <c r="CG76" s="66"/>
      <c r="CH76" s="66"/>
      <c r="CI76" s="66"/>
      <c r="CJ76" s="66"/>
      <c r="CK76" s="66"/>
      <c r="CL76" s="55"/>
      <c r="CM76" s="55"/>
      <c r="CN76" s="55"/>
      <c r="CO76" s="55"/>
      <c r="CP76" s="55"/>
      <c r="CQ76" s="55"/>
      <c r="CR76" s="55"/>
      <c r="CS76" s="55"/>
      <c r="CT76" s="55"/>
      <c r="CU76" s="55"/>
      <c r="CW76" s="55"/>
    </row>
    <row r="77" spans="1:101">
      <c r="A77" s="2">
        <f>IF(Ergebnisse!A77="","",Ergebnisse!A77)</f>
        <v>86</v>
      </c>
      <c r="B77" s="6">
        <f>IF(Ergebnisse!B77="","",Ergebnisse!B77)</f>
        <v>46206.75</v>
      </c>
      <c r="C77" s="6" t="str">
        <f>IF(Ergebnisse!C77="","",Ergebnisse!C77)</f>
        <v>Miami</v>
      </c>
      <c r="D77" s="227" t="str">
        <f ca="1">IF(Ergebnisse!D77="","",Ergebnisse!D77)</f>
        <v>Argentinien</v>
      </c>
      <c r="E77" s="15"/>
      <c r="F77" s="233" t="str">
        <f ca="1">IF(Ergebnisse!F77="","",Ergebnisse!F77)</f>
        <v>Spanien</v>
      </c>
      <c r="G77" s="17"/>
      <c r="H77" s="107">
        <f ca="1">IF(Ergebnisse!H77="","",Ergebnisse!H77)</f>
        <v>3</v>
      </c>
      <c r="I77" s="11" t="s">
        <v>25</v>
      </c>
      <c r="J77" s="107">
        <f ca="1">IF(Ergebnisse!J77="","",Ergebnisse!J77)</f>
        <v>2</v>
      </c>
      <c r="L77" s="1"/>
      <c r="M77" s="252" t="str">
        <f ca="1">IF(Ergebnisse!M77="","",Ergebnisse!M77)</f>
        <v>Argentinien</v>
      </c>
      <c r="N77" s="1"/>
      <c r="O77" s="1"/>
      <c r="P77" s="1"/>
      <c r="Q77" s="1"/>
      <c r="R77" s="1"/>
      <c r="S77" s="4"/>
      <c r="T77" s="4"/>
      <c r="U77" s="4"/>
      <c r="V77" s="4"/>
      <c r="W77" s="4"/>
      <c r="X77" s="4"/>
      <c r="Z77" s="62"/>
      <c r="AC77" s="58"/>
      <c r="AE77" s="2"/>
      <c r="AF77" s="206"/>
      <c r="AG77" s="206"/>
      <c r="AH77" s="206"/>
      <c r="AI77" s="206"/>
      <c r="AJ77" s="206"/>
      <c r="AK77" s="206"/>
      <c r="AL77" s="206"/>
      <c r="AM77" s="206"/>
      <c r="AN77" s="206"/>
      <c r="AO77" s="206"/>
      <c r="AP77" s="206"/>
      <c r="AX77" s="17">
        <f ca="1">IF(AY77="",0,IF($CX$97="",(D77=Ergebnisse!D77)+(F77=Ergebnisse!F77)+(SIGN(H77-J77)=SIGN(Ergebnisse!H77-Ergebnisse!J77))*7+(H77=Ergebnisse!H77)+(J77=Ergebnisse!J77),INT(RAND()*12)))</f>
        <v>11</v>
      </c>
      <c r="AY77" s="17" t="str">
        <f ca="1">IF(Ergebnisse!K77=Ergebnisse!$B$98,Ergebnisse!K77,"")</f>
        <v>ok</v>
      </c>
      <c r="AZ77" s="206"/>
      <c r="BA77" s="206"/>
      <c r="BB77" s="206"/>
      <c r="BC77" s="206"/>
      <c r="BD77" s="206"/>
      <c r="BE77" s="206"/>
      <c r="BF77" s="206"/>
      <c r="BG77" s="206"/>
      <c r="BH77" s="206"/>
      <c r="BI77" s="206"/>
      <c r="BJ77" s="206"/>
      <c r="BK77" s="206"/>
      <c r="BL77" s="206"/>
      <c r="BM77" s="206"/>
      <c r="BN77" s="206"/>
      <c r="BO77" s="206"/>
      <c r="BP77" s="206"/>
      <c r="BQ77" s="206"/>
      <c r="BR77" s="206"/>
      <c r="BS77" s="206"/>
      <c r="BT77" s="206"/>
      <c r="BU77" s="206"/>
      <c r="BV77" s="55"/>
      <c r="BW77" s="55"/>
      <c r="BX77" s="62"/>
      <c r="BY77" s="153"/>
      <c r="BZ77" s="55"/>
      <c r="CA77" s="55"/>
      <c r="CB77" s="55"/>
      <c r="CC77" s="55"/>
      <c r="CD77" s="174"/>
      <c r="CE77" s="66"/>
      <c r="CF77" s="66"/>
      <c r="CG77" s="66"/>
      <c r="CH77" s="66"/>
      <c r="CI77" s="66"/>
      <c r="CJ77" s="66"/>
      <c r="CK77" s="66"/>
      <c r="CL77" s="55"/>
      <c r="CM77" s="55"/>
      <c r="CN77" s="55"/>
      <c r="CO77" s="55"/>
      <c r="CP77" s="55"/>
      <c r="CQ77" s="55"/>
      <c r="CR77" s="55"/>
      <c r="CS77" s="55"/>
      <c r="CT77" s="55"/>
      <c r="CU77" s="55"/>
      <c r="CW77" s="55"/>
    </row>
    <row r="78" spans="1:101">
      <c r="A78" s="2">
        <f>IF(Ergebnisse!A78="","",Ergebnisse!A78)</f>
        <v>87</v>
      </c>
      <c r="B78" s="6">
        <f>IF(Ergebnisse!B78="","",Ergebnisse!B78)</f>
        <v>46206.854166666672</v>
      </c>
      <c r="C78" s="6" t="str">
        <f>IF(Ergebnisse!C78="","",Ergebnisse!C78)</f>
        <v>Kansas City</v>
      </c>
      <c r="D78" s="232" t="str">
        <f ca="1">IF(Ergebnisse!D78="","",Ergebnisse!D78)</f>
        <v>Portugal</v>
      </c>
      <c r="E78" s="15"/>
      <c r="F78" s="34" t="str">
        <f ca="1">IF(Ergebnisse!F78="","",Ergebnisse!F78)</f>
        <v>Kroatien</v>
      </c>
      <c r="G78" s="17"/>
      <c r="H78" s="107">
        <f ca="1">IF(Ergebnisse!H78="","",Ergebnisse!H78)</f>
        <v>1</v>
      </c>
      <c r="I78" s="11" t="s">
        <v>25</v>
      </c>
      <c r="J78" s="107">
        <f ca="1">IF(Ergebnisse!J78="","",Ergebnisse!J78)</f>
        <v>2</v>
      </c>
      <c r="L78" s="1"/>
      <c r="M78" s="252" t="str">
        <f ca="1">IF(Ergebnisse!M78="","",Ergebnisse!M78)</f>
        <v>Kroatien</v>
      </c>
      <c r="N78" s="1"/>
      <c r="O78" s="1"/>
      <c r="P78" s="1"/>
      <c r="Q78" s="1"/>
      <c r="R78" s="1"/>
      <c r="S78" s="4"/>
      <c r="T78" s="4"/>
      <c r="U78" s="4"/>
      <c r="V78" s="4"/>
      <c r="W78" s="4"/>
      <c r="X78" s="4"/>
      <c r="Z78" s="62"/>
      <c r="AC78" s="58"/>
      <c r="AE78" s="2"/>
      <c r="AF78" s="206"/>
      <c r="AG78" s="206"/>
      <c r="AH78" s="206"/>
      <c r="AI78" s="206"/>
      <c r="AJ78" s="206"/>
      <c r="AK78" s="206"/>
      <c r="AL78" s="206"/>
      <c r="AM78" s="206"/>
      <c r="AN78" s="206"/>
      <c r="AO78" s="206"/>
      <c r="AP78" s="206"/>
      <c r="AX78" s="17">
        <f ca="1">IF(AY78="",0,IF($CX$97="",(D78=Ergebnisse!D78)+(F78=Ergebnisse!F78)+(SIGN(H78-J78)=SIGN(Ergebnisse!H78-Ergebnisse!J78))*7+(H78=Ergebnisse!H78)+(J78=Ergebnisse!J78),INT(RAND()*12)))</f>
        <v>11</v>
      </c>
      <c r="AY78" s="17" t="str">
        <f ca="1">IF(Ergebnisse!K78=Ergebnisse!$B$98,Ergebnisse!K78,"")</f>
        <v>ok</v>
      </c>
      <c r="AZ78" s="206"/>
      <c r="BA78" s="206"/>
      <c r="BB78" s="206"/>
      <c r="BC78" s="206"/>
      <c r="BD78" s="206"/>
      <c r="BE78" s="206"/>
      <c r="BF78" s="206"/>
      <c r="BG78" s="206"/>
      <c r="BH78" s="206"/>
      <c r="BI78" s="206"/>
      <c r="BJ78" s="206"/>
      <c r="BK78" s="206"/>
      <c r="BL78" s="206"/>
      <c r="BM78" s="206"/>
      <c r="BN78" s="206"/>
      <c r="BO78" s="206"/>
      <c r="BP78" s="206"/>
      <c r="BQ78" s="206"/>
      <c r="BR78" s="206"/>
      <c r="BS78" s="206"/>
      <c r="BT78" s="206"/>
      <c r="BU78" s="206"/>
      <c r="BV78" s="55"/>
      <c r="BW78" s="55"/>
      <c r="BX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c r="CW78" s="55"/>
    </row>
    <row r="79" spans="1:101">
      <c r="B79" s="6"/>
      <c r="C79" s="6"/>
      <c r="D79" s="4"/>
      <c r="E79" s="15"/>
      <c r="F79" s="4"/>
      <c r="G79" s="4"/>
      <c r="H79" s="4"/>
      <c r="I79" s="4"/>
      <c r="J79" s="4"/>
      <c r="K79" s="4"/>
      <c r="L79" s="4"/>
      <c r="M79" s="4"/>
      <c r="N79" s="4"/>
      <c r="O79" s="4"/>
      <c r="P79" s="4"/>
      <c r="Q79" s="4"/>
      <c r="R79" s="4"/>
      <c r="S79" s="4"/>
      <c r="T79" s="4"/>
      <c r="U79" s="4"/>
      <c r="V79" s="4"/>
      <c r="W79" s="4"/>
      <c r="X79" s="4"/>
      <c r="Y79" s="4"/>
      <c r="Z79" s="4"/>
      <c r="AA79" s="4"/>
      <c r="AB79" s="4"/>
      <c r="AC79" s="58"/>
      <c r="AF79" s="206"/>
      <c r="AG79" s="206"/>
      <c r="AH79" s="206"/>
      <c r="AI79" s="206"/>
      <c r="AJ79" s="206"/>
      <c r="AK79" s="206"/>
      <c r="AL79" s="206"/>
      <c r="AM79" s="206"/>
      <c r="AN79" s="206"/>
      <c r="AO79" s="206"/>
      <c r="AP79" s="206"/>
      <c r="AZ79" s="206"/>
      <c r="BB79" s="58"/>
      <c r="BH79" s="2"/>
      <c r="BI79" s="2"/>
      <c r="BJ79" s="1"/>
      <c r="BK79" s="2"/>
      <c r="BM79" s="2"/>
      <c r="BS79" s="55"/>
      <c r="BT79" s="55"/>
      <c r="BU79" s="55"/>
      <c r="BV79" s="55"/>
      <c r="BW79" s="55"/>
      <c r="BX79" s="55"/>
      <c r="BZ79" s="55"/>
      <c r="CA79" s="55"/>
      <c r="CB79" s="55"/>
      <c r="CC79" s="55"/>
      <c r="CD79" s="55"/>
      <c r="CE79" s="55"/>
      <c r="CF79" s="55"/>
      <c r="CG79" s="55"/>
      <c r="CH79" s="55"/>
      <c r="CI79" s="55"/>
      <c r="CJ79" s="55"/>
      <c r="CK79" s="55"/>
      <c r="CL79" s="55"/>
      <c r="CM79" s="55"/>
      <c r="CN79" s="55"/>
      <c r="CO79" s="55"/>
      <c r="CP79" s="55"/>
      <c r="CQ79" s="55"/>
      <c r="CR79" s="55"/>
      <c r="CS79" s="55"/>
      <c r="CT79" s="55"/>
      <c r="CU79" s="55"/>
      <c r="CV79" s="55"/>
      <c r="CW79" s="55"/>
    </row>
    <row r="80" spans="1:101">
      <c r="B80" s="17" t="s">
        <v>43</v>
      </c>
      <c r="C80" s="21"/>
      <c r="D80" s="17"/>
      <c r="E80" s="15"/>
      <c r="F80" s="17"/>
      <c r="G80" s="17"/>
      <c r="H80" s="20"/>
      <c r="I80" s="19"/>
      <c r="J80" s="20"/>
      <c r="K80" s="181"/>
      <c r="L80" s="17"/>
      <c r="M80" s="21"/>
      <c r="N80" s="17"/>
      <c r="O80" s="17"/>
      <c r="P80" s="17"/>
      <c r="Q80" s="17"/>
      <c r="R80" s="17"/>
      <c r="S80" s="62"/>
      <c r="T80" s="62"/>
      <c r="U80" s="62"/>
      <c r="V80" s="62"/>
      <c r="W80" s="62"/>
      <c r="Y80" s="206"/>
      <c r="Z80" s="206"/>
      <c r="AA80" s="206"/>
      <c r="AB80" s="206"/>
      <c r="AC80" s="206"/>
      <c r="AE80" s="108"/>
      <c r="AF80" s="206"/>
      <c r="AG80" s="206"/>
      <c r="AH80" s="206"/>
      <c r="AI80" s="206"/>
      <c r="AJ80" s="206"/>
      <c r="AK80" s="206"/>
      <c r="AL80" s="206"/>
      <c r="AM80" s="206"/>
      <c r="AN80" s="206"/>
      <c r="AO80" s="206"/>
      <c r="AP80" s="206"/>
      <c r="AZ80" s="206"/>
      <c r="BB80" s="255" t="s">
        <v>44</v>
      </c>
      <c r="BH80" s="2"/>
      <c r="BI80" s="2"/>
      <c r="BJ80" s="1"/>
      <c r="BK80" s="2"/>
      <c r="BM80" s="2"/>
      <c r="BS80" s="55"/>
      <c r="BT80" s="55"/>
      <c r="BU80" s="55"/>
      <c r="BV80" s="55"/>
      <c r="BW80" s="55"/>
      <c r="BX80" s="55"/>
      <c r="BZ80" s="55"/>
      <c r="CA80" s="55"/>
      <c r="CB80" s="55"/>
      <c r="CC80" s="55"/>
      <c r="CD80" s="58"/>
      <c r="CE80" s="55"/>
      <c r="CF80" s="55"/>
      <c r="CG80" s="55"/>
      <c r="CH80" s="55"/>
      <c r="CI80" s="55"/>
      <c r="CJ80" s="55"/>
      <c r="CK80" s="55"/>
      <c r="CL80" s="55"/>
      <c r="CM80" s="55"/>
      <c r="CN80" s="55"/>
      <c r="CO80" s="55"/>
      <c r="CP80" s="55"/>
      <c r="CQ80" s="55"/>
      <c r="CR80" s="55"/>
      <c r="CS80" s="55"/>
      <c r="CT80" s="55"/>
      <c r="CU80" s="55"/>
      <c r="CV80" s="55"/>
      <c r="CW80" s="55"/>
    </row>
    <row r="81" spans="1:103">
      <c r="B81" s="3" t="s">
        <v>22</v>
      </c>
      <c r="C81" s="3" t="s">
        <v>23</v>
      </c>
      <c r="D81" s="17"/>
      <c r="E81" s="15"/>
      <c r="F81" s="17"/>
      <c r="G81" s="17"/>
      <c r="H81" s="20"/>
      <c r="I81" s="11"/>
      <c r="J81" s="20"/>
      <c r="K81" s="181"/>
      <c r="L81" s="1"/>
      <c r="M81" s="3"/>
      <c r="N81" s="1"/>
      <c r="O81" s="1"/>
      <c r="P81" s="1"/>
      <c r="Q81" s="1"/>
      <c r="S81" s="62"/>
      <c r="T81" s="62"/>
      <c r="U81" s="62"/>
      <c r="V81" s="62"/>
      <c r="W81" s="62"/>
      <c r="Y81" s="206"/>
      <c r="Z81" s="206"/>
      <c r="AA81" s="206"/>
      <c r="AB81" s="206"/>
      <c r="AC81" s="206"/>
      <c r="AF81" s="206"/>
      <c r="AG81" s="206"/>
      <c r="AH81" s="206"/>
      <c r="AI81" s="206"/>
      <c r="AJ81" s="206"/>
      <c r="AK81" s="206"/>
      <c r="AL81" s="206"/>
      <c r="AM81" s="206"/>
      <c r="AN81" s="206"/>
      <c r="AO81" s="206"/>
      <c r="AP81" s="206"/>
      <c r="AX81" s="17"/>
      <c r="AY81" s="17"/>
      <c r="AZ81" s="206"/>
      <c r="BB81" s="3" t="s">
        <v>22</v>
      </c>
      <c r="BC81" s="3" t="s">
        <v>23</v>
      </c>
      <c r="BD81" s="14"/>
      <c r="BE81" s="14"/>
      <c r="BF81" s="14"/>
      <c r="BG81" s="17"/>
      <c r="BH81" s="20"/>
      <c r="BI81" s="11"/>
      <c r="BJ81" s="67"/>
      <c r="BK81" s="181"/>
      <c r="BL81" s="1"/>
      <c r="BM81" s="3"/>
      <c r="BP81" s="1"/>
      <c r="BQ81" s="1"/>
      <c r="BR81" s="1"/>
      <c r="BS81" s="62"/>
      <c r="BT81" s="62"/>
      <c r="BU81" s="62"/>
      <c r="BV81" s="62"/>
      <c r="BW81" s="62"/>
      <c r="BX81" s="62"/>
      <c r="BY81" s="206"/>
      <c r="BZ81" s="206"/>
      <c r="CA81" s="206"/>
      <c r="CB81" s="206"/>
      <c r="CC81" s="206"/>
      <c r="CD81" s="206"/>
      <c r="CE81" s="206"/>
      <c r="CF81" s="206"/>
      <c r="CG81" s="206"/>
      <c r="CH81" s="206"/>
      <c r="CI81" s="206"/>
      <c r="CJ81" s="206"/>
      <c r="CK81" s="206"/>
      <c r="CL81" s="206"/>
      <c r="CM81" s="206"/>
      <c r="CN81" s="206"/>
      <c r="CO81" s="206"/>
      <c r="CP81" s="55"/>
      <c r="CQ81" s="55"/>
      <c r="CR81" s="55"/>
      <c r="CS81" s="55"/>
      <c r="CT81" s="55"/>
      <c r="CU81" s="55"/>
      <c r="CV81" s="55"/>
      <c r="CW81" s="55"/>
    </row>
    <row r="82" spans="1:103">
      <c r="A82" s="2">
        <f>IF(Ergebnisse!A82="","",Ergebnisse!A82)</f>
        <v>89</v>
      </c>
      <c r="B82" s="6">
        <f>IF(Ergebnisse!B82="","",Ergebnisse!B82)</f>
        <v>46207.708333333336</v>
      </c>
      <c r="C82" s="6" t="str">
        <f>IF(Ergebnisse!C82="","",Ergebnisse!C82)</f>
        <v>Philadelphia</v>
      </c>
      <c r="D82" s="258" t="str">
        <f ca="1">IF(Ergebnisse!D82="","",Ergebnisse!D82)</f>
        <v>Ecuador</v>
      </c>
      <c r="E82" s="15"/>
      <c r="F82" s="258" t="str">
        <f ca="1">IF(Ergebnisse!F82="","",Ergebnisse!F82)</f>
        <v>Frankreich</v>
      </c>
      <c r="G82" s="3"/>
      <c r="H82" s="107">
        <f ca="1">IF(Ergebnisse!H82="","",Ergebnisse!H82)</f>
        <v>6</v>
      </c>
      <c r="I82" s="11" t="s">
        <v>25</v>
      </c>
      <c r="J82" s="107">
        <f ca="1">IF(Ergebnisse!J82="","",Ergebnisse!J82)</f>
        <v>7</v>
      </c>
      <c r="L82" s="1"/>
      <c r="M82" s="260" t="str">
        <f ca="1">IF(Ergebnisse!M82="","",Ergebnisse!M82)</f>
        <v>Frankreich</v>
      </c>
      <c r="N82" s="1"/>
      <c r="O82" s="1"/>
      <c r="P82" s="14"/>
      <c r="Q82" s="3"/>
      <c r="R82" s="3"/>
      <c r="S82" s="62"/>
      <c r="T82" s="62"/>
      <c r="U82" s="62"/>
      <c r="V82" s="62"/>
      <c r="W82" s="62"/>
      <c r="Y82" s="206"/>
      <c r="Z82" s="206"/>
      <c r="AA82" s="206"/>
      <c r="AB82" s="206"/>
      <c r="AC82" s="206"/>
      <c r="AI82" s="206"/>
      <c r="AJ82" s="206"/>
      <c r="AK82" s="206"/>
      <c r="AL82" s="206"/>
      <c r="AM82" s="206"/>
      <c r="AN82" s="206"/>
      <c r="AO82" s="206"/>
      <c r="AP82" s="206"/>
      <c r="AX82" s="17">
        <f ca="1">IF(AY82="",0,IF($CX$97="",2*(D82=Ergebnisse!D82)+2*(F82=Ergebnisse!F82)+(SIGN(H82-J82)=SIGN(Ergebnisse!H82-Ergebnisse!J82))*7+(H82=Ergebnisse!H82)+(J82=Ergebnisse!J82),INT(RAND()*14)))</f>
        <v>13</v>
      </c>
      <c r="AY82" s="17" t="str">
        <f ca="1">IF(Ergebnisse!K82=Ergebnisse!$B$98,Ergebnisse!K82,"")</f>
        <v>ok</v>
      </c>
      <c r="AZ82" s="206"/>
      <c r="BA82" s="2">
        <f>IF(Ergebnisse!BA82="","",Ergebnisse!BA82)</f>
        <v>97</v>
      </c>
      <c r="BB82" s="6">
        <f>IF(Ergebnisse!BB82="","",Ergebnisse!BB82)</f>
        <v>46212.666666666664</v>
      </c>
      <c r="BC82" s="6" t="str">
        <f>IF(Ergebnisse!BC82="","",Ergebnisse!BC82)</f>
        <v>Boston</v>
      </c>
      <c r="BD82" s="41" t="str">
        <f ca="1">IF(Ergebnisse!BD82="","",Ergebnisse!BD82)</f>
        <v>Frankreich</v>
      </c>
      <c r="BE82" s="15"/>
      <c r="BF82" s="41" t="str">
        <f ca="1">IF(Ergebnisse!BF82="","",Ergebnisse!BF82)</f>
        <v>Haiti</v>
      </c>
      <c r="BG82" s="14"/>
      <c r="BH82" s="107">
        <f ca="1">IF(Ergebnisse!BH82="","",Ergebnisse!BH82)</f>
        <v>3</v>
      </c>
      <c r="BI82" s="11" t="s">
        <v>25</v>
      </c>
      <c r="BJ82" s="107">
        <f ca="1">IF(Ergebnisse!BJ82="","",Ergebnisse!BJ82)</f>
        <v>2</v>
      </c>
      <c r="BL82" s="1"/>
      <c r="BM82" s="42" t="str">
        <f ca="1">IF(Ergebnisse!BM82="","",Ergebnisse!BM82)</f>
        <v>Frankreich</v>
      </c>
      <c r="BN82" s="1"/>
      <c r="BO82" s="1"/>
      <c r="BQ82" s="1"/>
      <c r="BR82" s="1"/>
      <c r="BS82" s="62"/>
      <c r="BT82" s="62"/>
      <c r="BU82" s="62"/>
      <c r="BV82" s="62"/>
      <c r="BW82" s="62"/>
      <c r="BX82" s="62"/>
      <c r="BY82" s="206"/>
      <c r="BZ82" s="206"/>
      <c r="CA82" s="206"/>
      <c r="CB82" s="206"/>
      <c r="CC82" s="206"/>
      <c r="CD82" s="206"/>
      <c r="CE82" s="206"/>
      <c r="CF82" s="206"/>
      <c r="CG82" s="206"/>
      <c r="CH82" s="206"/>
      <c r="CI82" s="206"/>
      <c r="CJ82" s="206"/>
      <c r="CK82" s="206"/>
      <c r="CL82" s="206"/>
      <c r="CM82" s="206"/>
      <c r="CN82" s="206"/>
      <c r="CO82" s="206"/>
      <c r="CP82" s="55"/>
      <c r="CQ82" s="55"/>
      <c r="CR82" s="55"/>
      <c r="CS82" s="55"/>
      <c r="CT82" s="55"/>
      <c r="CU82" s="55"/>
      <c r="CV82" s="55"/>
      <c r="CW82" s="55"/>
      <c r="CX82" s="17">
        <f ca="1">IF(CY82="",0,IF($CX$97="",IF(BD82=Ergebnisse!BD82,3,IF(COUNTIF(Ergebnisse!$BD$82:$BF$85,BD82)&gt;0,1,0))+IF(BF82=Ergebnisse!BF82,3,IF(COUNTIF(Ergebnisse!$BD$82:$BF$85,BF82)&gt;0,1,0))+(SIGN(BH82-BJ82)=SIGN(Ergebnisse!BH82-Ergebnisse!BJ82))*7+(BH82=Ergebnisse!BH82)+(BJ82=Ergebnisse!BJ82),INT(RAND()*16)))</f>
        <v>15</v>
      </c>
      <c r="CY82" s="17" t="str">
        <f ca="1">IF(Ergebnisse!BK82=Ergebnisse!$B$98,Ergebnisse!BK82,"")</f>
        <v>ok</v>
      </c>
    </row>
    <row r="83" spans="1:103">
      <c r="A83" s="2">
        <f>IF(Ergebnisse!A83="","",Ergebnisse!A83)</f>
        <v>90</v>
      </c>
      <c r="B83" s="6">
        <f>IF(Ergebnisse!B83="","",Ergebnisse!B83)</f>
        <v>46207.5</v>
      </c>
      <c r="C83" s="6" t="str">
        <f>IF(Ergebnisse!C83="","",Ergebnisse!C83)</f>
        <v>Houston</v>
      </c>
      <c r="D83" s="258" t="str">
        <f ca="1">IF(Ergebnisse!D83="","",Ergebnisse!D83)</f>
        <v>Schweiz</v>
      </c>
      <c r="E83" s="15"/>
      <c r="F83" s="258" t="str">
        <f ca="1">IF(Ergebnisse!F83="","",Ergebnisse!F83)</f>
        <v>Haiti</v>
      </c>
      <c r="G83" s="3"/>
      <c r="H83" s="107">
        <f ca="1">IF(Ergebnisse!H83="","",Ergebnisse!H83)</f>
        <v>0</v>
      </c>
      <c r="I83" s="11" t="s">
        <v>25</v>
      </c>
      <c r="J83" s="107">
        <f ca="1">IF(Ergebnisse!J83="","",Ergebnisse!J83)</f>
        <v>1</v>
      </c>
      <c r="L83" s="1"/>
      <c r="M83" s="260" t="str">
        <f ca="1">IF(Ergebnisse!M83="","",Ergebnisse!M83)</f>
        <v>Haiti</v>
      </c>
      <c r="N83" s="1"/>
      <c r="O83" s="1"/>
      <c r="P83" s="14"/>
      <c r="Q83" s="3"/>
      <c r="R83" s="3"/>
      <c r="S83" s="62"/>
      <c r="T83" s="62"/>
      <c r="U83" s="62"/>
      <c r="V83" s="62"/>
      <c r="W83" s="62"/>
      <c r="Y83" s="206"/>
      <c r="Z83" s="206"/>
      <c r="AA83" s="206"/>
      <c r="AB83" s="206"/>
      <c r="AC83" s="206"/>
      <c r="AI83" s="206"/>
      <c r="AJ83" s="206"/>
      <c r="AK83" s="206"/>
      <c r="AL83" s="206"/>
      <c r="AM83" s="206"/>
      <c r="AN83" s="206"/>
      <c r="AO83" s="206"/>
      <c r="AP83" s="206"/>
      <c r="AX83" s="17">
        <f ca="1">IF(AY83="",0,IF($CX$97="",2*(D83=Ergebnisse!D83)+2*(F83=Ergebnisse!F83)+(SIGN(H83-J83)=SIGN(Ergebnisse!H83-Ergebnisse!J83))*7+(H83=Ergebnisse!H83)+(J83=Ergebnisse!J83),INT(RAND()*14)))</f>
        <v>13</v>
      </c>
      <c r="AY83" s="17" t="str">
        <f ca="1">IF(Ergebnisse!K83=Ergebnisse!$B$98,Ergebnisse!K83,"")</f>
        <v>ok</v>
      </c>
      <c r="AZ83" s="206"/>
      <c r="BA83" s="2">
        <f>IF(Ergebnisse!BA83="","",Ergebnisse!BA83)</f>
        <v>98</v>
      </c>
      <c r="BB83" s="6">
        <f>IF(Ergebnisse!BB83="","",Ergebnisse!BB83)</f>
        <v>46213.5</v>
      </c>
      <c r="BC83" s="6" t="str">
        <f>IF(Ergebnisse!BC83="","",Ergebnisse!BC83)</f>
        <v>Los Angeles</v>
      </c>
      <c r="BD83" s="70" t="str">
        <f ca="1">IF(Ergebnisse!BD83="","",Ergebnisse!BD83)</f>
        <v>Panama</v>
      </c>
      <c r="BE83" s="40"/>
      <c r="BF83" s="70" t="str">
        <f ca="1">IF(Ergebnisse!BF83="","",Ergebnisse!BF83)</f>
        <v>Neuseeland</v>
      </c>
      <c r="BG83" s="14"/>
      <c r="BH83" s="107">
        <f ca="1">IF(Ergebnisse!BH83="","",Ergebnisse!BH83)</f>
        <v>3</v>
      </c>
      <c r="BI83" s="11" t="s">
        <v>25</v>
      </c>
      <c r="BJ83" s="107">
        <f ca="1">IF(Ergebnisse!BJ83="","",Ergebnisse!BJ83)</f>
        <v>2</v>
      </c>
      <c r="BL83" s="1"/>
      <c r="BM83" s="69" t="str">
        <f ca="1">IF(Ergebnisse!BM83="","",Ergebnisse!BM83)</f>
        <v>Panama</v>
      </c>
      <c r="BN83" s="1"/>
      <c r="BO83" s="1"/>
      <c r="BQ83" s="1"/>
      <c r="BR83" s="1"/>
      <c r="BS83" s="62"/>
      <c r="BT83" s="62"/>
      <c r="BU83" s="62"/>
      <c r="BV83" s="62"/>
      <c r="BW83" s="62"/>
      <c r="BX83" s="62"/>
      <c r="BY83" s="206"/>
      <c r="BZ83" s="206"/>
      <c r="CA83" s="206"/>
      <c r="CB83" s="206"/>
      <c r="CC83" s="206"/>
      <c r="CD83" s="206"/>
      <c r="CE83" s="206"/>
      <c r="CF83" s="206"/>
      <c r="CG83" s="206"/>
      <c r="CH83" s="206"/>
      <c r="CI83" s="206"/>
      <c r="CJ83" s="206"/>
      <c r="CK83" s="206"/>
      <c r="CL83" s="206"/>
      <c r="CM83" s="206"/>
      <c r="CN83" s="206"/>
      <c r="CO83" s="206"/>
      <c r="CP83" s="55"/>
      <c r="CQ83" s="55"/>
      <c r="CR83" s="55"/>
      <c r="CS83" s="55"/>
      <c r="CT83" s="55"/>
      <c r="CU83" s="55"/>
      <c r="CV83" s="55"/>
      <c r="CW83" s="55"/>
      <c r="CX83" s="17">
        <f ca="1">IF(CY83="",0,IF($CX$97="",IF(BD83=Ergebnisse!BD83,3,IF(COUNTIF(Ergebnisse!$BD$82:$BF$85,BD83)&gt;0,1,0))+IF(BF83=Ergebnisse!BF83,3,IF(COUNTIF(Ergebnisse!$BD$82:$BF$85,BF83)&gt;0,1,0))+(SIGN(BH83-BJ83)=SIGN(Ergebnisse!BH83-Ergebnisse!BJ83))*7+(BH83=Ergebnisse!BH83)+(BJ83=Ergebnisse!BJ83),INT(RAND()*16)))</f>
        <v>15</v>
      </c>
      <c r="CY83" s="17" t="str">
        <f ca="1">IF(Ergebnisse!BK83=Ergebnisse!$B$98,Ergebnisse!BK83,"")</f>
        <v>ok</v>
      </c>
    </row>
    <row r="84" spans="1:103">
      <c r="A84" s="2">
        <f>IF(Ergebnisse!A84="","",Ergebnisse!A84)</f>
        <v>91</v>
      </c>
      <c r="B84" s="6">
        <f>IF(Ergebnisse!B84="","",Ergebnisse!B84)</f>
        <v>46208.666666666664</v>
      </c>
      <c r="C84" s="6" t="str">
        <f>IF(Ergebnisse!C84="","",Ergebnisse!C84)</f>
        <v>New York</v>
      </c>
      <c r="D84" s="261" t="str">
        <f ca="1">IF(Ergebnisse!D84="","",Ergebnisse!D84)</f>
        <v>Schweden</v>
      </c>
      <c r="E84" s="15"/>
      <c r="F84" s="261" t="str">
        <f ca="1">IF(Ergebnisse!F84="","",Ergebnisse!F84)</f>
        <v>Elfenbeinküste</v>
      </c>
      <c r="G84" s="3"/>
      <c r="H84" s="107">
        <f ca="1">IF(Ergebnisse!H84="","",Ergebnisse!H84)</f>
        <v>6</v>
      </c>
      <c r="I84" s="11" t="s">
        <v>25</v>
      </c>
      <c r="J84" s="107">
        <f ca="1">IF(Ergebnisse!J84="","",Ergebnisse!J84)</f>
        <v>7</v>
      </c>
      <c r="L84" s="1"/>
      <c r="M84" s="263" t="str">
        <f ca="1">IF(Ergebnisse!M84="","",Ergebnisse!M84)</f>
        <v>Elfenbeinküste</v>
      </c>
      <c r="N84" s="1"/>
      <c r="O84" s="1"/>
      <c r="P84" s="14"/>
      <c r="Q84" s="3"/>
      <c r="R84" s="3"/>
      <c r="S84" s="62"/>
      <c r="T84" s="62"/>
      <c r="U84" s="62"/>
      <c r="V84" s="62"/>
      <c r="W84" s="62"/>
      <c r="Y84" s="206"/>
      <c r="Z84" s="206"/>
      <c r="AA84" s="206"/>
      <c r="AB84" s="206"/>
      <c r="AC84" s="206"/>
      <c r="AI84" s="206"/>
      <c r="AJ84" s="206"/>
      <c r="AK84" s="206"/>
      <c r="AL84" s="206"/>
      <c r="AM84" s="206"/>
      <c r="AN84" s="206"/>
      <c r="AO84" s="206"/>
      <c r="AP84" s="206"/>
      <c r="AX84" s="17">
        <f ca="1">IF(AY84="",0,IF($CX$97="",2*(D84=Ergebnisse!D84)+2*(F84=Ergebnisse!F84)+(SIGN(H84-J84)=SIGN(Ergebnisse!H84-Ergebnisse!J84))*7+(H84=Ergebnisse!H84)+(J84=Ergebnisse!J84),INT(RAND()*14)))</f>
        <v>13</v>
      </c>
      <c r="AY84" s="17" t="str">
        <f ca="1">IF(Ergebnisse!K84=Ergebnisse!$B$98,Ergebnisse!K84,"")</f>
        <v>ok</v>
      </c>
      <c r="AZ84" s="206"/>
      <c r="BA84" s="2">
        <f>IF(Ergebnisse!BA84="","",Ergebnisse!BA84)</f>
        <v>99</v>
      </c>
      <c r="BB84" s="6">
        <f>IF(Ergebnisse!BB84="","",Ergebnisse!BB84)</f>
        <v>46214.708333333336</v>
      </c>
      <c r="BC84" s="6" t="str">
        <f>IF(Ergebnisse!BC84="","",Ergebnisse!BC84)</f>
        <v>Miami</v>
      </c>
      <c r="BD84" s="45" t="str">
        <f ca="1">IF(Ergebnisse!BD84="","",Ergebnisse!BD84)</f>
        <v>Elfenbeinküste</v>
      </c>
      <c r="BE84" s="40"/>
      <c r="BF84" s="45" t="str">
        <f ca="1">IF(Ergebnisse!BF84="","",Ergebnisse!BF84)</f>
        <v>Südafrika</v>
      </c>
      <c r="BG84" s="14"/>
      <c r="BH84" s="107">
        <f ca="1">IF(Ergebnisse!BH84="","",Ergebnisse!BH84)</f>
        <v>4</v>
      </c>
      <c r="BI84" s="11" t="s">
        <v>25</v>
      </c>
      <c r="BJ84" s="107">
        <f ca="1">IF(Ergebnisse!BJ84="","",Ergebnisse!BJ84)</f>
        <v>5</v>
      </c>
      <c r="BL84" s="1"/>
      <c r="BM84" s="46" t="str">
        <f ca="1">IF(Ergebnisse!BM84="","",Ergebnisse!BM84)</f>
        <v>Südafrika</v>
      </c>
      <c r="BN84" s="1"/>
      <c r="BO84" s="1"/>
      <c r="BP84" s="1"/>
      <c r="BQ84" s="1"/>
      <c r="BR84" s="1"/>
      <c r="BS84" s="62"/>
      <c r="BT84" s="62"/>
      <c r="BU84" s="62"/>
      <c r="BV84" s="62"/>
      <c r="BW84" s="62"/>
      <c r="BX84" s="62"/>
      <c r="BY84" s="206"/>
      <c r="BZ84" s="206"/>
      <c r="CA84" s="206"/>
      <c r="CB84" s="206"/>
      <c r="CC84" s="206"/>
      <c r="CD84" s="206"/>
      <c r="CE84" s="206"/>
      <c r="CF84" s="206"/>
      <c r="CG84" s="206"/>
      <c r="CH84" s="206"/>
      <c r="CI84" s="206"/>
      <c r="CJ84" s="206"/>
      <c r="CK84" s="206"/>
      <c r="CL84" s="206"/>
      <c r="CM84" s="206"/>
      <c r="CN84" s="206"/>
      <c r="CO84" s="206"/>
      <c r="CP84" s="55"/>
      <c r="CQ84" s="55"/>
      <c r="CR84" s="55"/>
      <c r="CS84" s="55"/>
      <c r="CT84" s="55"/>
      <c r="CU84" s="55"/>
      <c r="CV84" s="55"/>
      <c r="CW84" s="55"/>
      <c r="CX84" s="17">
        <f ca="1">IF(CY84="",0,IF($CX$97="",IF(BD84=Ergebnisse!BD84,3,IF(COUNTIF(Ergebnisse!$BD$82:$BF$85,BD84)&gt;0,1,0))+IF(BF84=Ergebnisse!BF84,3,IF(COUNTIF(Ergebnisse!$BD$82:$BF$85,BF84)&gt;0,1,0))+(SIGN(BH84-BJ84)=SIGN(Ergebnisse!BH84-Ergebnisse!BJ84))*7+(BH84=Ergebnisse!BH84)+(BJ84=Ergebnisse!BJ84),INT(RAND()*16)))</f>
        <v>15</v>
      </c>
      <c r="CY84" s="17" t="str">
        <f ca="1">IF(Ergebnisse!BK84=Ergebnisse!$B$98,Ergebnisse!BK84,"")</f>
        <v>ok</v>
      </c>
    </row>
    <row r="85" spans="1:103">
      <c r="A85" s="2">
        <f>IF(Ergebnisse!A85="","",Ergebnisse!A85)</f>
        <v>92</v>
      </c>
      <c r="B85" s="6">
        <f>IF(Ergebnisse!B85="","",Ergebnisse!B85)</f>
        <v>46208.791666666672</v>
      </c>
      <c r="C85" s="6" t="str">
        <f>IF(Ergebnisse!C85="","",Ergebnisse!C85)</f>
        <v>Mexico City</v>
      </c>
      <c r="D85" s="261" t="str">
        <f ca="1">IF(Ergebnisse!D85="","",Ergebnisse!D85)</f>
        <v>Südafrika</v>
      </c>
      <c r="E85" s="15"/>
      <c r="F85" s="261" t="str">
        <f ca="1">IF(Ergebnisse!F85="","",Ergebnisse!F85)</f>
        <v>DR Kongo</v>
      </c>
      <c r="G85" s="3"/>
      <c r="H85" s="107">
        <f ca="1">IF(Ergebnisse!H85="","",Ergebnisse!H85)</f>
        <v>5</v>
      </c>
      <c r="I85" s="11" t="s">
        <v>25</v>
      </c>
      <c r="J85" s="107">
        <f ca="1">IF(Ergebnisse!J85="","",Ergebnisse!J85)</f>
        <v>4</v>
      </c>
      <c r="L85" s="1"/>
      <c r="M85" s="263" t="str">
        <f ca="1">IF(Ergebnisse!M85="","",Ergebnisse!M85)</f>
        <v>Südafrika</v>
      </c>
      <c r="N85" s="1"/>
      <c r="O85" s="1"/>
      <c r="P85" s="14"/>
      <c r="Q85" s="3"/>
      <c r="R85" s="3"/>
      <c r="S85" s="62"/>
      <c r="T85" s="62"/>
      <c r="U85" s="62"/>
      <c r="V85" s="62"/>
      <c r="W85" s="62"/>
      <c r="Y85" s="206"/>
      <c r="Z85" s="206"/>
      <c r="AA85" s="206"/>
      <c r="AB85" s="206"/>
      <c r="AC85" s="206"/>
      <c r="AI85" s="206"/>
      <c r="AJ85" s="206"/>
      <c r="AK85" s="206"/>
      <c r="AL85" s="206"/>
      <c r="AM85" s="206"/>
      <c r="AN85" s="206"/>
      <c r="AO85" s="206"/>
      <c r="AP85" s="206"/>
      <c r="AX85" s="17">
        <f ca="1">IF(AY85="",0,IF($CX$97="",2*(D85=Ergebnisse!D85)+2*(F85=Ergebnisse!F85)+(SIGN(H85-J85)=SIGN(Ergebnisse!H85-Ergebnisse!J85))*7+(H85=Ergebnisse!H85)+(J85=Ergebnisse!J85),INT(RAND()*14)))</f>
        <v>13</v>
      </c>
      <c r="AY85" s="17" t="str">
        <f ca="1">IF(Ergebnisse!K85=Ergebnisse!$B$98,Ergebnisse!K85,"")</f>
        <v>ok</v>
      </c>
      <c r="AZ85" s="206"/>
      <c r="BA85" s="2">
        <f>IF(Ergebnisse!BA85="","",Ergebnisse!BA85)</f>
        <v>100</v>
      </c>
      <c r="BB85" s="6">
        <f>IF(Ergebnisse!BB85="","",Ergebnisse!BB85)</f>
        <v>46214.833333333336</v>
      </c>
      <c r="BC85" s="6" t="str">
        <f>IF(Ergebnisse!BC85="","",Ergebnisse!BC85)</f>
        <v>Kansas City</v>
      </c>
      <c r="BD85" s="43" t="str">
        <f ca="1">IF(Ergebnisse!BD85="","",Ergebnisse!BD85)</f>
        <v>Australien</v>
      </c>
      <c r="BE85" s="15"/>
      <c r="BF85" s="43" t="str">
        <f ca="1">IF(Ergebnisse!BF85="","",Ergebnisse!BF85)</f>
        <v>Belgien</v>
      </c>
      <c r="BG85" s="14"/>
      <c r="BH85" s="107">
        <f ca="1">IF(Ergebnisse!BH85="","",Ergebnisse!BH85)</f>
        <v>3</v>
      </c>
      <c r="BI85" s="11" t="s">
        <v>25</v>
      </c>
      <c r="BJ85" s="107">
        <f ca="1">IF(Ergebnisse!BJ85="","",Ergebnisse!BJ85)</f>
        <v>4</v>
      </c>
      <c r="BL85" s="1"/>
      <c r="BM85" s="44" t="str">
        <f ca="1">IF(Ergebnisse!BM85="","",Ergebnisse!BM85)</f>
        <v>Belgien</v>
      </c>
      <c r="BN85" s="1"/>
      <c r="BO85" s="1"/>
      <c r="BP85" s="1"/>
      <c r="BQ85" s="1"/>
      <c r="BR85" s="1"/>
      <c r="BS85" s="62"/>
      <c r="BT85" s="62"/>
      <c r="BU85" s="62"/>
      <c r="BV85" s="62"/>
      <c r="BW85" s="62"/>
      <c r="BX85" s="62"/>
      <c r="BY85" s="206"/>
      <c r="BZ85" s="206"/>
      <c r="CA85" s="206"/>
      <c r="CB85" s="206"/>
      <c r="CC85" s="206"/>
      <c r="CD85" s="206"/>
      <c r="CE85" s="206"/>
      <c r="CF85" s="206"/>
      <c r="CG85" s="206"/>
      <c r="CH85" s="206"/>
      <c r="CI85" s="206"/>
      <c r="CJ85" s="206"/>
      <c r="CK85" s="206"/>
      <c r="CL85" s="206"/>
      <c r="CM85" s="206"/>
      <c r="CN85" s="206"/>
      <c r="CO85" s="206"/>
      <c r="CP85" s="55"/>
      <c r="CQ85" s="55"/>
      <c r="CR85" s="55"/>
      <c r="CS85" s="55"/>
      <c r="CT85" s="55"/>
      <c r="CU85" s="55"/>
      <c r="CV85" s="55"/>
      <c r="CW85" s="55"/>
      <c r="CX85" s="17">
        <f ca="1">IF(CY85="",0,IF($CX$97="",IF(BD85=Ergebnisse!BD85,3,IF(COUNTIF(Ergebnisse!$BD$82:$BF$85,BD85)&gt;0,1,0))+IF(BF85=Ergebnisse!BF85,3,IF(COUNTIF(Ergebnisse!$BD$82:$BF$85,BF85)&gt;0,1,0))+(SIGN(BH85-BJ85)=SIGN(Ergebnisse!BH85-Ergebnisse!BJ85))*7+(BH85=Ergebnisse!BH85)+(BJ85=Ergebnisse!BJ85),INT(RAND()*16)))</f>
        <v>15</v>
      </c>
      <c r="CY85" s="17" t="str">
        <f ca="1">IF(Ergebnisse!BK85=Ergebnisse!$B$98,Ergebnisse!BK85,"")</f>
        <v>ok</v>
      </c>
    </row>
    <row r="86" spans="1:103">
      <c r="A86" s="2">
        <f>IF(Ergebnisse!A86="","",Ergebnisse!A86)</f>
        <v>93</v>
      </c>
      <c r="B86" s="6">
        <f>IF(Ergebnisse!B86="","",Ergebnisse!B86)</f>
        <v>46209.583333333336</v>
      </c>
      <c r="C86" s="6" t="str">
        <f>IF(Ergebnisse!C86="","",Ergebnisse!C86)</f>
        <v>Dallas</v>
      </c>
      <c r="D86" s="256" t="str">
        <f ca="1">IF(Ergebnisse!D86="","",Ergebnisse!D86)</f>
        <v>Panama</v>
      </c>
      <c r="E86" s="15"/>
      <c r="F86" s="256" t="str">
        <f ca="1">IF(Ergebnisse!F86="","",Ergebnisse!F86)</f>
        <v>Algerien</v>
      </c>
      <c r="G86" s="3"/>
      <c r="H86" s="107">
        <f ca="1">IF(Ergebnisse!H86="","",Ergebnisse!H86)</f>
        <v>4</v>
      </c>
      <c r="I86" s="11" t="s">
        <v>25</v>
      </c>
      <c r="J86" s="107">
        <f ca="1">IF(Ergebnisse!J86="","",Ergebnisse!J86)</f>
        <v>3</v>
      </c>
      <c r="L86" s="1"/>
      <c r="M86" s="257" t="str">
        <f ca="1">IF(Ergebnisse!M86="","",Ergebnisse!M86)</f>
        <v>Panama</v>
      </c>
      <c r="N86" s="1"/>
      <c r="O86" s="1"/>
      <c r="P86" s="14"/>
      <c r="Q86" s="3"/>
      <c r="R86" s="3"/>
      <c r="S86" s="62"/>
      <c r="T86" s="62"/>
      <c r="U86" s="62"/>
      <c r="V86" s="62"/>
      <c r="W86" s="62"/>
      <c r="Y86" s="206"/>
      <c r="Z86" s="206"/>
      <c r="AA86" s="206"/>
      <c r="AB86" s="206"/>
      <c r="AC86" s="206"/>
      <c r="AI86" s="206"/>
      <c r="AJ86" s="206"/>
      <c r="AK86" s="206"/>
      <c r="AL86" s="206"/>
      <c r="AM86" s="206"/>
      <c r="AN86" s="206"/>
      <c r="AO86" s="206"/>
      <c r="AP86" s="206"/>
      <c r="AX86" s="17">
        <f ca="1">IF(AY86="",0,IF($CX$97="",2*(D86=Ergebnisse!D86)+2*(F86=Ergebnisse!F86)+(SIGN(H86-J86)=SIGN(Ergebnisse!H86-Ergebnisse!J86))*7+(H86=Ergebnisse!H86)+(J86=Ergebnisse!J86),INT(RAND()*14)))</f>
        <v>13</v>
      </c>
      <c r="AY86" s="17" t="str">
        <f ca="1">IF(Ergebnisse!K86=Ergebnisse!$B$98,Ergebnisse!K86,"")</f>
        <v>ok</v>
      </c>
      <c r="AZ86" s="206"/>
      <c r="BB86" s="6"/>
      <c r="BC86" s="6"/>
      <c r="BD86" s="6"/>
      <c r="BE86" s="6"/>
      <c r="BF86" s="6"/>
      <c r="BG86" s="6"/>
      <c r="BH86" s="6"/>
      <c r="BI86" s="6"/>
      <c r="BJ86" s="6"/>
      <c r="BK86" s="6"/>
      <c r="BL86" s="6"/>
      <c r="BM86" s="6"/>
      <c r="BN86" s="6"/>
      <c r="BO86" s="1"/>
      <c r="BP86" s="1"/>
      <c r="BQ86" s="1"/>
      <c r="BR86" s="1"/>
      <c r="BS86" s="62"/>
      <c r="BT86" s="62"/>
      <c r="BU86" s="62"/>
      <c r="BV86" s="62"/>
      <c r="BW86" s="62"/>
      <c r="BX86" s="62"/>
      <c r="BY86" s="206"/>
      <c r="BZ86" s="206"/>
      <c r="CA86" s="206"/>
      <c r="CB86" s="206"/>
      <c r="CC86" s="206"/>
      <c r="CD86" s="206"/>
      <c r="CE86" s="206"/>
      <c r="CF86" s="206"/>
      <c r="CG86" s="206"/>
      <c r="CH86" s="206"/>
      <c r="CI86" s="206"/>
      <c r="CJ86" s="206"/>
      <c r="CK86" s="206"/>
      <c r="CL86" s="206"/>
      <c r="CM86" s="206"/>
      <c r="CN86" s="206"/>
      <c r="CO86" s="206"/>
      <c r="CP86" s="55"/>
      <c r="CQ86" s="55"/>
      <c r="CR86" s="55"/>
      <c r="CS86" s="55"/>
      <c r="CT86" s="55"/>
      <c r="CU86" s="55"/>
      <c r="CV86" s="55"/>
      <c r="CW86" s="55"/>
      <c r="CX86" s="1"/>
    </row>
    <row r="87" spans="1:103">
      <c r="A87" s="2">
        <f>IF(Ergebnisse!A87="","",Ergebnisse!A87)</f>
        <v>94</v>
      </c>
      <c r="B87" s="6">
        <f>IF(Ergebnisse!B87="","",Ergebnisse!B87)</f>
        <v>46209.708333333336</v>
      </c>
      <c r="C87" s="6" t="str">
        <f>IF(Ergebnisse!C87="","",Ergebnisse!C87)</f>
        <v>Seattle</v>
      </c>
      <c r="D87" s="256" t="str">
        <f ca="1">IF(Ergebnisse!D87="","",Ergebnisse!D87)</f>
        <v>Türkei</v>
      </c>
      <c r="E87" s="15"/>
      <c r="F87" s="256" t="str">
        <f ca="1">IF(Ergebnisse!F87="","",Ergebnisse!F87)</f>
        <v>Neuseeland</v>
      </c>
      <c r="G87" s="3"/>
      <c r="H87" s="107">
        <f ca="1">IF(Ergebnisse!H87="","",Ergebnisse!H87)</f>
        <v>3</v>
      </c>
      <c r="I87" s="11" t="s">
        <v>25</v>
      </c>
      <c r="J87" s="107">
        <f ca="1">IF(Ergebnisse!J87="","",Ergebnisse!J87)</f>
        <v>4</v>
      </c>
      <c r="L87" s="1"/>
      <c r="M87" s="257" t="str">
        <f ca="1">IF(Ergebnisse!M87="","",Ergebnisse!M87)</f>
        <v>Neuseeland</v>
      </c>
      <c r="N87" s="1"/>
      <c r="O87" s="1"/>
      <c r="P87" s="14"/>
      <c r="Q87" s="3"/>
      <c r="R87" s="3"/>
      <c r="S87" s="62"/>
      <c r="T87" s="62"/>
      <c r="U87" s="62"/>
      <c r="V87" s="62"/>
      <c r="W87" s="62"/>
      <c r="Y87" s="206"/>
      <c r="Z87" s="206"/>
      <c r="AA87" s="206"/>
      <c r="AB87" s="206"/>
      <c r="AC87" s="206"/>
      <c r="AI87" s="206"/>
      <c r="AJ87" s="206"/>
      <c r="AK87" s="206"/>
      <c r="AL87" s="206"/>
      <c r="AM87" s="206"/>
      <c r="AN87" s="206"/>
      <c r="AO87" s="206"/>
      <c r="AP87" s="206"/>
      <c r="AX87" s="17">
        <f ca="1">IF(AY87="",0,IF($CX$97="",2*(D87=Ergebnisse!D87)+2*(F87=Ergebnisse!F87)+(SIGN(H87-J87)=SIGN(Ergebnisse!H87-Ergebnisse!J87))*7+(H87=Ergebnisse!H87)+(J87=Ergebnisse!J87),INT(RAND()*14)))</f>
        <v>13</v>
      </c>
      <c r="AY87" s="17" t="str">
        <f ca="1">IF(Ergebnisse!K87=Ergebnisse!$B$98,Ergebnisse!K87,"")</f>
        <v>ok</v>
      </c>
      <c r="AZ87" s="206"/>
      <c r="BB87" s="47" t="s">
        <v>55</v>
      </c>
      <c r="BC87" s="21"/>
      <c r="BD87" s="14"/>
      <c r="BE87" s="14"/>
      <c r="BF87" s="14"/>
      <c r="BG87" s="17"/>
      <c r="BH87" s="20"/>
      <c r="BI87" s="19"/>
      <c r="BJ87" s="20"/>
      <c r="BK87" s="181"/>
      <c r="BL87" s="17"/>
      <c r="BM87" s="21"/>
      <c r="BN87" s="17"/>
      <c r="BO87" s="17"/>
      <c r="BP87" s="17"/>
      <c r="BQ87" s="1"/>
      <c r="BR87" s="1"/>
      <c r="BS87" s="62"/>
      <c r="BT87" s="62"/>
      <c r="BU87" s="62"/>
      <c r="BV87" s="62"/>
      <c r="BW87" s="62"/>
      <c r="BX87" s="62"/>
      <c r="BY87" s="206"/>
      <c r="BZ87" s="206"/>
      <c r="CA87" s="206"/>
      <c r="CB87" s="206"/>
      <c r="CC87" s="206"/>
      <c r="CD87" s="206"/>
      <c r="CE87" s="206"/>
      <c r="CF87" s="206"/>
      <c r="CG87" s="206"/>
      <c r="CH87" s="206"/>
      <c r="CI87" s="206"/>
      <c r="CJ87" s="206"/>
      <c r="CK87" s="206"/>
      <c r="CL87" s="206"/>
      <c r="CM87" s="206"/>
      <c r="CN87" s="206"/>
      <c r="CO87" s="206"/>
      <c r="CP87" s="55"/>
      <c r="CQ87" s="55"/>
      <c r="CR87" s="55"/>
      <c r="CS87" s="55"/>
      <c r="CT87" s="55"/>
      <c r="CU87" s="55"/>
      <c r="CV87" s="55"/>
      <c r="CW87" s="55"/>
      <c r="CY87" s="17"/>
    </row>
    <row r="88" spans="1:103">
      <c r="A88" s="2">
        <f>IF(Ergebnisse!A88="","",Ergebnisse!A88)</f>
        <v>95</v>
      </c>
      <c r="B88" s="6">
        <f>IF(Ergebnisse!B88="","",Ergebnisse!B88)</f>
        <v>46210.5</v>
      </c>
      <c r="C88" s="6" t="str">
        <f>IF(Ergebnisse!C88="","",Ergebnisse!C88)</f>
        <v>Atlanta</v>
      </c>
      <c r="D88" s="259" t="str">
        <f ca="1">IF(Ergebnisse!D88="","",Ergebnisse!D88)</f>
        <v>Argentinien</v>
      </c>
      <c r="E88" s="15"/>
      <c r="F88" s="259" t="str">
        <f ca="1">IF(Ergebnisse!F88="","",Ergebnisse!F88)</f>
        <v>Australien</v>
      </c>
      <c r="G88" s="3"/>
      <c r="H88" s="107">
        <f ca="1">IF(Ergebnisse!H88="","",Ergebnisse!H88)</f>
        <v>4</v>
      </c>
      <c r="I88" s="11" t="s">
        <v>25</v>
      </c>
      <c r="J88" s="107">
        <f ca="1">IF(Ergebnisse!J88="","",Ergebnisse!J88)</f>
        <v>5</v>
      </c>
      <c r="L88" s="1"/>
      <c r="M88" s="262" t="str">
        <f ca="1">IF(Ergebnisse!M88="","",Ergebnisse!M88)</f>
        <v>Australien</v>
      </c>
      <c r="N88" s="1"/>
      <c r="O88" s="1"/>
      <c r="P88" s="14"/>
      <c r="Q88" s="3"/>
      <c r="R88" s="3"/>
      <c r="S88" s="62"/>
      <c r="T88" s="62"/>
      <c r="U88" s="62"/>
      <c r="V88" s="62"/>
      <c r="W88" s="62"/>
      <c r="Y88" s="206"/>
      <c r="Z88" s="206"/>
      <c r="AA88" s="206"/>
      <c r="AB88" s="206"/>
      <c r="AC88" s="206"/>
      <c r="AI88" s="206"/>
      <c r="AJ88" s="206"/>
      <c r="AK88" s="206"/>
      <c r="AL88" s="206"/>
      <c r="AM88" s="206"/>
      <c r="AN88" s="206"/>
      <c r="AO88" s="206"/>
      <c r="AP88" s="206"/>
      <c r="AX88" s="17">
        <f ca="1">IF(AY88="",0,IF($CX$97="",2*(D88=Ergebnisse!D88)+2*(F88=Ergebnisse!F88)+(SIGN(H88-J88)=SIGN(Ergebnisse!H88-Ergebnisse!J88))*7+(H88=Ergebnisse!H88)+(J88=Ergebnisse!J88),INT(RAND()*14)))</f>
        <v>13</v>
      </c>
      <c r="AY88" s="17" t="str">
        <f ca="1">IF(Ergebnisse!K88=Ergebnisse!$B$98,Ergebnisse!K88,"")</f>
        <v>ok</v>
      </c>
      <c r="AZ88" s="206"/>
      <c r="BB88" s="3" t="s">
        <v>22</v>
      </c>
      <c r="BC88" s="3" t="s">
        <v>23</v>
      </c>
      <c r="BD88" s="14"/>
      <c r="BE88" s="14"/>
      <c r="BF88" s="14"/>
      <c r="BG88" s="17"/>
      <c r="BH88" s="20"/>
      <c r="BI88" s="11"/>
      <c r="BJ88" s="20"/>
      <c r="BK88" s="181"/>
      <c r="BL88" s="1"/>
      <c r="BM88" s="3"/>
      <c r="BN88" s="1"/>
      <c r="BO88" s="1"/>
      <c r="BP88" s="1"/>
      <c r="BQ88" s="1"/>
      <c r="BR88" s="1"/>
      <c r="BS88" s="62"/>
      <c r="BT88" s="62"/>
      <c r="BU88" s="62"/>
      <c r="BV88" s="62"/>
      <c r="BW88" s="62"/>
      <c r="BX88" s="62"/>
      <c r="BY88" s="206"/>
      <c r="BZ88" s="206"/>
      <c r="CA88" s="206"/>
      <c r="CB88" s="206"/>
      <c r="CC88" s="206"/>
      <c r="CD88" s="206"/>
      <c r="CE88" s="206"/>
      <c r="CF88" s="206"/>
      <c r="CG88" s="206"/>
      <c r="CH88" s="206"/>
      <c r="CI88" s="206"/>
      <c r="CJ88" s="206"/>
      <c r="CK88" s="206"/>
      <c r="CL88" s="206"/>
      <c r="CM88" s="206"/>
      <c r="CN88" s="206"/>
      <c r="CO88" s="206"/>
      <c r="CP88" s="55"/>
      <c r="CQ88" s="55"/>
      <c r="CR88" s="55"/>
      <c r="CS88" s="55"/>
      <c r="CT88" s="55"/>
      <c r="CU88" s="55"/>
      <c r="CV88" s="55"/>
      <c r="CW88" s="55"/>
      <c r="CY88" s="17"/>
    </row>
    <row r="89" spans="1:103">
      <c r="A89" s="2">
        <f>IF(Ergebnisse!A89="","",Ergebnisse!A89)</f>
        <v>96</v>
      </c>
      <c r="B89" s="6">
        <f>IF(Ergebnisse!B89="","",Ergebnisse!B89)</f>
        <v>46210.541666666664</v>
      </c>
      <c r="C89" s="6" t="str">
        <f>IF(Ergebnisse!C89="","",Ergebnisse!C89)</f>
        <v>Vancouver</v>
      </c>
      <c r="D89" s="259" t="str">
        <f ca="1">IF(Ergebnisse!D89="","",Ergebnisse!D89)</f>
        <v>Belgien</v>
      </c>
      <c r="E89" s="15"/>
      <c r="F89" s="259" t="str">
        <f ca="1">IF(Ergebnisse!F89="","",Ergebnisse!F89)</f>
        <v>Kroatien</v>
      </c>
      <c r="G89" s="3"/>
      <c r="H89" s="107">
        <f ca="1">IF(Ergebnisse!H89="","",Ergebnisse!H89)</f>
        <v>4</v>
      </c>
      <c r="I89" s="11" t="s">
        <v>25</v>
      </c>
      <c r="J89" s="107">
        <f ca="1">IF(Ergebnisse!J89="","",Ergebnisse!J89)</f>
        <v>3</v>
      </c>
      <c r="L89" s="1"/>
      <c r="M89" s="262" t="str">
        <f ca="1">IF(Ergebnisse!M89="","",Ergebnisse!M89)</f>
        <v>Belgien</v>
      </c>
      <c r="N89" s="1"/>
      <c r="O89" s="1"/>
      <c r="P89" s="14"/>
      <c r="Q89" s="3"/>
      <c r="R89" s="3"/>
      <c r="S89" s="62"/>
      <c r="T89" s="62"/>
      <c r="U89" s="62"/>
      <c r="V89" s="62"/>
      <c r="W89" s="62"/>
      <c r="Y89" s="206"/>
      <c r="Z89" s="206"/>
      <c r="AA89" s="206"/>
      <c r="AB89" s="206"/>
      <c r="AC89" s="206"/>
      <c r="AI89" s="206"/>
      <c r="AJ89" s="206"/>
      <c r="AK89" s="206"/>
      <c r="AL89" s="206"/>
      <c r="AM89" s="206"/>
      <c r="AN89" s="206"/>
      <c r="AO89" s="206"/>
      <c r="AP89" s="206"/>
      <c r="AX89" s="17">
        <f ca="1">IF(AY89="",0,IF($CX$97="",2*(D89=Ergebnisse!D89)+2*(F89=Ergebnisse!F89)+(SIGN(H89-J89)=SIGN(Ergebnisse!H89-Ergebnisse!J89))*7+(H89=Ergebnisse!H89)+(J89=Ergebnisse!J89),INT(RAND()*14)))</f>
        <v>13</v>
      </c>
      <c r="AY89" s="17" t="str">
        <f ca="1">IF(Ergebnisse!K89=Ergebnisse!$B$98,Ergebnisse!K89,"")</f>
        <v>ok</v>
      </c>
      <c r="AZ89" s="206"/>
      <c r="BA89" s="2">
        <f>IF(Ergebnisse!BA89="","",Ergebnisse!BA89)</f>
        <v>101</v>
      </c>
      <c r="BB89" s="6">
        <f>IF(Ergebnisse!BB89="","",Ergebnisse!BB89)</f>
        <v>46217.583333333336</v>
      </c>
      <c r="BC89" s="6" t="str">
        <f>IF(Ergebnisse!BC89="","",Ergebnisse!BC89)</f>
        <v>Dallas</v>
      </c>
      <c r="BD89" s="18" t="str">
        <f ca="1">IF(Ergebnisse!BD89="","",Ergebnisse!BD89)</f>
        <v>Frankreich</v>
      </c>
      <c r="BE89" s="15"/>
      <c r="BF89" s="71" t="str">
        <f ca="1">IF(Ergebnisse!BF89="","",Ergebnisse!BF89)</f>
        <v>Panama</v>
      </c>
      <c r="BG89" s="17"/>
      <c r="BH89" s="107">
        <f ca="1">IF(Ergebnisse!BH89="","",Ergebnisse!BH89)</f>
        <v>4</v>
      </c>
      <c r="BI89" s="11" t="s">
        <v>25</v>
      </c>
      <c r="BJ89" s="107">
        <f ca="1">IF(Ergebnisse!BJ89="","",Ergebnisse!BJ89)</f>
        <v>3</v>
      </c>
      <c r="BL89" s="1"/>
      <c r="BM89" s="68" t="str">
        <f ca="1">IF(Ergebnisse!BM89="","",Ergebnisse!BM89)</f>
        <v>Frankreich</v>
      </c>
      <c r="BN89" s="1"/>
      <c r="BO89" s="1"/>
      <c r="BP89" s="1"/>
      <c r="BQ89" s="1"/>
      <c r="BR89" s="1"/>
      <c r="BS89" s="62"/>
      <c r="BT89" s="62"/>
      <c r="BU89" s="62"/>
      <c r="BV89" s="62"/>
      <c r="BW89" s="62"/>
      <c r="BX89" s="62"/>
      <c r="BY89" s="206"/>
      <c r="BZ89" s="206"/>
      <c r="CA89" s="206"/>
      <c r="CB89" s="206"/>
      <c r="CC89" s="206"/>
      <c r="CD89" s="206"/>
      <c r="CE89" s="206"/>
      <c r="CF89" s="206"/>
      <c r="CG89" s="206"/>
      <c r="CH89" s="206"/>
      <c r="CI89" s="206"/>
      <c r="CJ89" s="206"/>
      <c r="CK89" s="206"/>
      <c r="CL89" s="206"/>
      <c r="CM89" s="206"/>
      <c r="CN89" s="206"/>
      <c r="CO89" s="206"/>
      <c r="CP89" s="55"/>
      <c r="CQ89" s="55"/>
      <c r="CR89" s="55"/>
      <c r="CS89" s="55"/>
      <c r="CT89" s="55"/>
      <c r="CU89" s="55"/>
      <c r="CV89" s="55"/>
      <c r="CW89" s="55"/>
      <c r="CX89" s="17">
        <f ca="1">IF(CY89="",0,IF($CX$97="",IF(BD89=Ergebnisse!BD89,4,IF(COUNTIF(Ergebnisse!$BD$89:$BF$90,BD89)&gt;0,2,0))+IF(BF89=Ergebnisse!BF89,4,IF(COUNTIF(Ergebnisse!$BD$89:$BF$90,BF89)&gt;0,2,0))+(SIGN(BH89-BJ89)=SIGN(Ergebnisse!BH89-Ergebnisse!BJ89))*7+(BH89=Ergebnisse!BH89)+(BJ89=Ergebnisse!BJ89),INT(RAND()*18)))</f>
        <v>17</v>
      </c>
      <c r="CY89" s="17" t="str">
        <f ca="1">IF(Ergebnisse!BK89=Ergebnisse!$B$98,Ergebnisse!BK89,"")</f>
        <v>ok</v>
      </c>
    </row>
    <row r="90" spans="1:103">
      <c r="E90" s="15"/>
      <c r="H90" s="2"/>
      <c r="I90" s="2"/>
      <c r="J90" s="2"/>
      <c r="K90" s="2"/>
      <c r="M90" s="2"/>
      <c r="S90" s="62"/>
      <c r="T90" s="62"/>
      <c r="U90" s="62"/>
      <c r="V90" s="62"/>
      <c r="W90" s="62"/>
      <c r="Y90" s="206"/>
      <c r="Z90" s="206"/>
      <c r="AA90" s="206"/>
      <c r="AB90" s="206"/>
      <c r="AC90" s="206"/>
      <c r="AI90" s="206"/>
      <c r="AJ90" s="206"/>
      <c r="AK90" s="206"/>
      <c r="AL90" s="206"/>
      <c r="AM90" s="206"/>
      <c r="AN90" s="206"/>
      <c r="AO90" s="206"/>
      <c r="AP90" s="206"/>
      <c r="AZ90" s="206"/>
      <c r="BA90" s="2">
        <f>IF(Ergebnisse!BA90="","",Ergebnisse!BA90)</f>
        <v>102</v>
      </c>
      <c r="BB90" s="6">
        <f>IF(Ergebnisse!BB90="","",Ergebnisse!BB90)</f>
        <v>46218.625</v>
      </c>
      <c r="BC90" s="6" t="str">
        <f>IF(Ergebnisse!BC90="","",Ergebnisse!BC90)</f>
        <v>Atlanta</v>
      </c>
      <c r="BD90" s="49" t="str">
        <f ca="1">IF(Ergebnisse!BD90="","",Ergebnisse!BD90)</f>
        <v>Südafrika</v>
      </c>
      <c r="BE90" s="15"/>
      <c r="BF90" s="48" t="str">
        <f ca="1">IF(Ergebnisse!BF90="","",Ergebnisse!BF90)</f>
        <v>Belgien</v>
      </c>
      <c r="BG90" s="17"/>
      <c r="BH90" s="107">
        <f ca="1">IF(Ergebnisse!BH90="","",Ergebnisse!BH90)</f>
        <v>2</v>
      </c>
      <c r="BI90" s="11" t="s">
        <v>25</v>
      </c>
      <c r="BJ90" s="107">
        <f ca="1">IF(Ergebnisse!BJ90="","",Ergebnisse!BJ90)</f>
        <v>1</v>
      </c>
      <c r="BL90" s="1"/>
      <c r="BM90" s="68" t="str">
        <f ca="1">IF(Ergebnisse!BM90="","",Ergebnisse!BM90)</f>
        <v>Südafrika</v>
      </c>
      <c r="BN90" s="1"/>
      <c r="BO90" s="1"/>
      <c r="BP90" s="1"/>
      <c r="BQ90" s="1"/>
      <c r="BR90" s="1"/>
      <c r="BS90" s="62"/>
      <c r="BT90" s="62"/>
      <c r="BU90" s="62"/>
      <c r="BV90" s="62"/>
      <c r="BW90" s="62"/>
      <c r="BX90" s="62"/>
      <c r="BY90" s="206"/>
      <c r="BZ90" s="206"/>
      <c r="CA90" s="206"/>
      <c r="CB90" s="206"/>
      <c r="CC90" s="206"/>
      <c r="CD90" s="206"/>
      <c r="CE90" s="206"/>
      <c r="CF90" s="206"/>
      <c r="CG90" s="206"/>
      <c r="CH90" s="206"/>
      <c r="CI90" s="206"/>
      <c r="CJ90" s="206"/>
      <c r="CK90" s="206"/>
      <c r="CL90" s="206"/>
      <c r="CM90" s="206"/>
      <c r="CN90" s="206"/>
      <c r="CO90" s="206"/>
      <c r="CP90" s="55"/>
      <c r="CQ90" s="55"/>
      <c r="CR90" s="55"/>
      <c r="CS90" s="55"/>
      <c r="CT90" s="55"/>
      <c r="CU90" s="55"/>
      <c r="CV90" s="55"/>
      <c r="CW90" s="55"/>
      <c r="CX90" s="17">
        <f ca="1">IF(CY90="",0,IF($CX$97="",IF(BD90=Ergebnisse!BD90,4,IF(COUNTIF(Ergebnisse!$BD$89:$BF$90,BD90)&gt;0,2,0))+IF(BF90=Ergebnisse!BF90,4,IF(COUNTIF(Ergebnisse!$BD$89:$BF$90,BF90)&gt;0,2,0))+(SIGN(BH90-BJ90)=SIGN(Ergebnisse!BH90-Ergebnisse!BJ90))*7+(BH90=Ergebnisse!BH90)+(BJ90=Ergebnisse!BJ90),INT(RAND()*18)))</f>
        <v>17</v>
      </c>
      <c r="CY90" s="17" t="str">
        <f ca="1">IF(Ergebnisse!BK90=Ergebnisse!$B$98,Ergebnisse!BK90,"")</f>
        <v>ok</v>
      </c>
    </row>
    <row r="91" spans="1:103">
      <c r="H91" s="2"/>
      <c r="I91" s="2"/>
      <c r="J91" s="2"/>
      <c r="K91" s="2"/>
      <c r="M91" s="2"/>
      <c r="S91" s="2"/>
      <c r="T91" s="2"/>
      <c r="U91" s="2"/>
      <c r="V91" s="2"/>
      <c r="W91" s="2"/>
      <c r="X91" s="2"/>
      <c r="Y91" s="2"/>
      <c r="Z91" s="2"/>
      <c r="AA91" s="2"/>
      <c r="AB91" s="2"/>
      <c r="AC91" s="2"/>
      <c r="AI91" s="2"/>
      <c r="AJ91" s="2"/>
      <c r="AK91" s="2"/>
      <c r="AL91" s="2"/>
      <c r="AM91" s="2"/>
      <c r="AN91" s="2"/>
      <c r="AO91" s="2"/>
      <c r="AP91" s="2"/>
      <c r="AQ91" s="2"/>
      <c r="AR91" s="2"/>
      <c r="AS91" s="2"/>
      <c r="AT91" s="2"/>
      <c r="AU91" s="2"/>
      <c r="AV91" s="2"/>
      <c r="AY91" s="17"/>
      <c r="AZ91" s="206"/>
      <c r="BB91" s="1"/>
      <c r="BC91" s="3"/>
      <c r="BD91" s="14"/>
      <c r="BE91" s="14"/>
      <c r="BF91" s="14"/>
      <c r="BG91" s="17"/>
      <c r="BH91" s="20"/>
      <c r="BI91" s="11"/>
      <c r="BJ91" s="20"/>
      <c r="BK91" s="181"/>
      <c r="BL91" s="1"/>
      <c r="BM91" s="50" t="str">
        <f ca="1">IF(Ergebnisse!BM91="","",Ergebnisse!BM91)</f>
        <v>Panama</v>
      </c>
      <c r="BN91" s="1"/>
      <c r="BO91" s="1"/>
      <c r="BP91" s="1"/>
      <c r="BQ91" s="1"/>
      <c r="BR91" s="1"/>
      <c r="BS91" s="62"/>
      <c r="BT91" s="62"/>
      <c r="BU91" s="62"/>
      <c r="BV91" s="62"/>
      <c r="BW91" s="62"/>
      <c r="BX91" s="62"/>
      <c r="BY91" s="206"/>
      <c r="BZ91" s="206"/>
      <c r="CA91" s="206"/>
      <c r="CB91" s="206"/>
      <c r="CC91" s="206"/>
      <c r="CD91" s="206"/>
      <c r="CE91" s="206"/>
      <c r="CF91" s="206"/>
      <c r="CG91" s="206"/>
      <c r="CH91" s="206"/>
      <c r="CI91" s="206"/>
      <c r="CJ91" s="206"/>
      <c r="CK91" s="206"/>
      <c r="CL91" s="206"/>
      <c r="CM91" s="206"/>
      <c r="CN91" s="206"/>
      <c r="CO91" s="206"/>
      <c r="CP91" s="55"/>
      <c r="CQ91" s="55"/>
      <c r="CR91" s="55"/>
      <c r="CS91" s="55"/>
      <c r="CT91" s="55"/>
      <c r="CU91" s="55"/>
      <c r="CV91" s="55"/>
      <c r="CW91" s="55"/>
      <c r="CX91" s="1"/>
    </row>
    <row r="92" spans="1:103">
      <c r="B92" s="51" t="s">
        <v>62</v>
      </c>
      <c r="C92" s="3"/>
      <c r="D92" s="10"/>
      <c r="E92" s="16"/>
      <c r="F92" s="10"/>
      <c r="G92" s="10"/>
      <c r="H92" s="23"/>
      <c r="J92" s="23"/>
      <c r="K92" s="181"/>
      <c r="M92" s="2"/>
      <c r="P92" s="1"/>
      <c r="AY92" s="17" t="str">
        <f>IF(Ergebnisse!K59=Ergebnisse!$B$98,Ergebnisse!K59,"")</f>
        <v/>
      </c>
      <c r="AZ92" s="206"/>
      <c r="BB92" s="51" t="s">
        <v>64</v>
      </c>
      <c r="BC92" s="3"/>
      <c r="BD92" s="10"/>
      <c r="BE92" s="16"/>
      <c r="BF92" s="10"/>
      <c r="BG92" s="10"/>
      <c r="BH92" s="23"/>
      <c r="BJ92" s="23"/>
      <c r="BK92" s="181"/>
      <c r="BM92" s="50" t="str">
        <f ca="1">IF(Ergebnisse!BM92="","",Ergebnisse!BM92)</f>
        <v>Belgien</v>
      </c>
      <c r="BP92" s="1"/>
      <c r="BS92" s="55"/>
      <c r="BT92" s="55"/>
      <c r="BU92" s="55"/>
      <c r="BV92" s="55"/>
      <c r="BW92" s="55"/>
      <c r="BX92" s="55"/>
      <c r="BY92" s="206"/>
      <c r="BZ92" s="206"/>
      <c r="CA92" s="206"/>
      <c r="CB92" s="206"/>
      <c r="CC92" s="206"/>
      <c r="CD92" s="206"/>
      <c r="CE92" s="206"/>
      <c r="CF92" s="206"/>
      <c r="CG92" s="206"/>
      <c r="CH92" s="206"/>
      <c r="CI92" s="206"/>
      <c r="CJ92" s="206"/>
      <c r="CK92" s="206"/>
      <c r="CL92" s="206"/>
      <c r="CM92" s="206"/>
      <c r="CN92" s="206"/>
      <c r="CO92" s="206"/>
      <c r="CP92" s="55"/>
      <c r="CQ92" s="55"/>
      <c r="CR92" s="55"/>
      <c r="CS92" s="55"/>
      <c r="CT92" s="55"/>
      <c r="CU92" s="55"/>
      <c r="CV92" s="55"/>
      <c r="CW92" s="55"/>
      <c r="CY92" s="17"/>
    </row>
    <row r="93" spans="1:103">
      <c r="B93" s="3" t="s">
        <v>22</v>
      </c>
      <c r="C93" s="3" t="s">
        <v>23</v>
      </c>
      <c r="D93" s="10"/>
      <c r="E93" s="16"/>
      <c r="F93" s="10"/>
      <c r="G93" s="10"/>
      <c r="H93" s="64"/>
      <c r="J93" s="64"/>
      <c r="K93" s="181"/>
      <c r="M93" s="2" t="s">
        <v>63</v>
      </c>
      <c r="P93" s="1"/>
      <c r="Q93" s="1"/>
      <c r="R93" s="1"/>
      <c r="S93" s="62"/>
      <c r="T93" s="62"/>
      <c r="U93" s="62"/>
      <c r="V93" s="62"/>
      <c r="W93" s="62"/>
      <c r="AO93" s="62"/>
      <c r="AX93" s="17">
        <f ca="1">IF(M94=Ergebnisse!M94,24,0)</f>
        <v>24</v>
      </c>
      <c r="AY93" s="17" t="str">
        <f ca="1">IF(Ergebnisse!K94=Ergebnisse!$B$98,Ergebnisse!K94,"")</f>
        <v>ok</v>
      </c>
      <c r="AZ93" s="206"/>
      <c r="BB93" s="3" t="s">
        <v>22</v>
      </c>
      <c r="BC93" s="3" t="s">
        <v>23</v>
      </c>
      <c r="BD93" s="10"/>
      <c r="BE93" s="16"/>
      <c r="BF93" s="10"/>
      <c r="BG93" s="10"/>
      <c r="BH93" s="23"/>
      <c r="BJ93" s="64"/>
      <c r="BK93" s="181"/>
      <c r="BM93" s="2"/>
      <c r="BP93" s="1"/>
      <c r="BQ93" s="1"/>
      <c r="BR93" s="1"/>
      <c r="BS93" s="62"/>
      <c r="BT93" s="62"/>
      <c r="BU93" s="62"/>
      <c r="BV93" s="62"/>
      <c r="BW93" s="62"/>
      <c r="BX93" s="55"/>
      <c r="BZ93" s="55"/>
      <c r="CA93" s="55"/>
      <c r="CB93" s="55"/>
      <c r="CC93" s="55"/>
      <c r="CD93" s="206"/>
      <c r="CE93" s="206"/>
      <c r="CF93" s="204"/>
      <c r="CG93" s="62"/>
      <c r="CH93" s="62"/>
      <c r="CI93" s="55"/>
      <c r="CJ93" s="55"/>
      <c r="CK93" s="55"/>
      <c r="CL93" s="55"/>
      <c r="CM93" s="55"/>
      <c r="CN93" s="55"/>
      <c r="CO93" s="62"/>
      <c r="CP93" s="55"/>
      <c r="CQ93" s="55"/>
      <c r="CR93" s="55"/>
      <c r="CS93" s="55"/>
      <c r="CT93" s="55"/>
      <c r="CU93" s="55"/>
      <c r="CV93" s="55"/>
      <c r="CW93" s="55"/>
      <c r="CY93" s="17"/>
    </row>
    <row r="94" spans="1:103">
      <c r="A94" s="2">
        <f>IF(Ergebnisse!A94="","",Ergebnisse!A94)</f>
        <v>104</v>
      </c>
      <c r="B94" s="6">
        <f>IF(Ergebnisse!B94="","",Ergebnisse!B94)</f>
        <v>46222.625</v>
      </c>
      <c r="C94" s="6" t="str">
        <f>IF(Ergebnisse!C94="","",Ergebnisse!C94)</f>
        <v>New York</v>
      </c>
      <c r="D94" s="33" t="str">
        <f ca="1">IF(Ergebnisse!D94="","",Ergebnisse!D94)</f>
        <v>Frankreich</v>
      </c>
      <c r="E94" s="21"/>
      <c r="F94" s="33" t="str">
        <f ca="1">IF(Ergebnisse!F94="","",Ergebnisse!F94)</f>
        <v>Südafrika</v>
      </c>
      <c r="G94" s="17"/>
      <c r="H94" s="107">
        <f ca="1">IF(Ergebnisse!H94="","",Ergebnisse!H94)</f>
        <v>3</v>
      </c>
      <c r="I94" s="11" t="s">
        <v>25</v>
      </c>
      <c r="J94" s="107">
        <f ca="1">IF(Ergebnisse!J94="","",Ergebnisse!J94)</f>
        <v>4</v>
      </c>
      <c r="L94" s="1"/>
      <c r="M94" s="52" t="str">
        <f ca="1">IF(Ergebnisse!M94="","",Ergebnisse!M94)</f>
        <v>Südafrika</v>
      </c>
      <c r="N94" s="1"/>
      <c r="O94" s="1"/>
      <c r="Q94" s="1"/>
      <c r="R94" s="1"/>
      <c r="S94" s="62"/>
      <c r="T94" s="62"/>
      <c r="U94" s="62"/>
      <c r="V94" s="62"/>
      <c r="W94" s="62"/>
      <c r="AO94" s="62"/>
      <c r="AX94" s="17">
        <f ca="1">IF(AY94="",0,IF($CX$97="",  4*(D94=Ergebnisse!D94) + 4*(F94=Ergebnisse!F94) + (SIGN(H94-J94)=SIGN(Ergebnisse!H94-Ergebnisse!J94))*7 + (H94=Ergebnisse!H94) + (J94=Ergebnisse!J94), INT(RAND()*18)))</f>
        <v>17</v>
      </c>
      <c r="AY94" s="17" t="str">
        <f ca="1">IF(Ergebnisse!K94=Ergebnisse!$B$98,Ergebnisse!K94,"")</f>
        <v>ok</v>
      </c>
      <c r="AZ94" s="206"/>
      <c r="BA94" s="2">
        <f>IF(Ergebnisse!BA94="","",Ergebnisse!BA94)</f>
        <v>103</v>
      </c>
      <c r="BB94" s="6">
        <f>IF(Ergebnisse!BB94="","",Ergebnisse!BB94)</f>
        <v>46221.708333333336</v>
      </c>
      <c r="BC94" s="6" t="str">
        <f>IF(Ergebnisse!BC94="","",Ergebnisse!BC94)</f>
        <v>Miami</v>
      </c>
      <c r="BD94" s="22" t="str">
        <f ca="1">IF(Ergebnisse!BD94="","",Ergebnisse!BD94)</f>
        <v>Panama</v>
      </c>
      <c r="BE94" s="21"/>
      <c r="BF94" s="22" t="str">
        <f ca="1">IF(Ergebnisse!BF94="","",Ergebnisse!BF94)</f>
        <v>Belgien</v>
      </c>
      <c r="BG94" s="17"/>
      <c r="BH94" s="107">
        <f ca="1">IF(Ergebnisse!BH94="","",Ergebnisse!BH94)</f>
        <v>1</v>
      </c>
      <c r="BI94" s="11" t="s">
        <v>25</v>
      </c>
      <c r="BJ94" s="107">
        <f ca="1">IF(Ergebnisse!BJ94="","",Ergebnisse!BJ94)</f>
        <v>0</v>
      </c>
      <c r="BL94" s="1"/>
      <c r="BM94" s="3" t="str">
        <f ca="1">IF(Ergebnisse!BM94="","",Ergebnisse!BM94)</f>
        <v>Panama</v>
      </c>
      <c r="BN94" s="1"/>
      <c r="BO94" s="1"/>
      <c r="BQ94" s="1"/>
      <c r="BR94" s="1"/>
      <c r="BS94" s="62"/>
      <c r="BT94" s="62"/>
      <c r="BU94" s="62"/>
      <c r="BV94" s="62"/>
      <c r="BW94" s="62"/>
      <c r="BX94" s="55"/>
      <c r="BZ94" s="55"/>
      <c r="CA94" s="55"/>
      <c r="CB94" s="55"/>
      <c r="CC94" s="55"/>
      <c r="CD94" s="206"/>
      <c r="CE94" s="206"/>
      <c r="CF94" s="204"/>
      <c r="CG94" s="62"/>
      <c r="CH94" s="62"/>
      <c r="CI94" s="55"/>
      <c r="CJ94" s="55"/>
      <c r="CK94" s="55"/>
      <c r="CL94" s="55"/>
      <c r="CM94" s="55"/>
      <c r="CN94" s="55"/>
      <c r="CO94" s="62"/>
      <c r="CP94" s="55"/>
      <c r="CQ94" s="55"/>
      <c r="CR94" s="55"/>
      <c r="CS94" s="55"/>
      <c r="CT94" s="55"/>
      <c r="CU94" s="55"/>
      <c r="CV94" s="55"/>
      <c r="CW94" s="55"/>
      <c r="CX94" s="17">
        <f ca="1">IF(CY94="",0,IF($CX$97="",  4*(BD94=Ergebnisse!BD94) + 4*(BF94=Ergebnisse!BF94) + (SIGN(BH94-BJ94)=SIGN(Ergebnisse!BH94-Ergebnisse!BJ94))*7 + (BH94=Ergebnisse!BH94) + (BJ94=Ergebnisse!BJ94), INT(RAND()*18)))</f>
        <v>17</v>
      </c>
      <c r="CY94" s="17" t="str">
        <f ca="1">IF(Ergebnisse!BK94=Ergebnisse!$B$98,Ergebnisse!BK94,"")</f>
        <v>ok</v>
      </c>
    </row>
    <row r="95" spans="1:103">
      <c r="H95" s="2"/>
      <c r="I95" s="2"/>
      <c r="J95" s="2"/>
      <c r="K95" s="2"/>
      <c r="M95" s="2"/>
      <c r="S95" s="2"/>
      <c r="T95" s="2"/>
      <c r="U95" s="2"/>
      <c r="V95" s="2"/>
      <c r="W95" s="2"/>
      <c r="X95" s="2"/>
      <c r="Y95" s="2"/>
      <c r="Z95" s="2"/>
      <c r="AA95" s="2"/>
      <c r="AB95" s="2"/>
      <c r="AC95" s="2"/>
      <c r="AD95" s="2"/>
      <c r="AI95" s="2"/>
      <c r="AJ95" s="2"/>
      <c r="AK95" s="2"/>
      <c r="AL95" s="2"/>
      <c r="AM95" s="2"/>
      <c r="AN95" s="2"/>
      <c r="AO95" s="2"/>
      <c r="AP95" s="2"/>
      <c r="AQ95" s="2"/>
      <c r="AR95" s="2"/>
      <c r="AS95" s="2"/>
      <c r="AT95" s="2"/>
      <c r="AU95" s="2"/>
      <c r="AV95" s="2"/>
      <c r="AZ95" s="206"/>
      <c r="BD95" s="10"/>
      <c r="BE95" s="16"/>
      <c r="BF95" s="10"/>
      <c r="BG95" s="10"/>
      <c r="BH95" s="23"/>
      <c r="BJ95" s="23"/>
      <c r="BK95" s="181"/>
      <c r="BM95" s="2"/>
      <c r="BQ95" s="1"/>
      <c r="BR95" s="1"/>
      <c r="BS95" s="62"/>
      <c r="BT95" s="62"/>
      <c r="BU95" s="62"/>
      <c r="BV95" s="62"/>
      <c r="BW95" s="62"/>
      <c r="BX95" s="55"/>
      <c r="BZ95" s="55"/>
      <c r="CA95" s="55"/>
      <c r="CB95" s="55"/>
      <c r="CC95" s="55"/>
      <c r="CD95" s="206"/>
      <c r="CE95" s="206"/>
      <c r="CF95" s="204"/>
      <c r="CG95" s="62"/>
      <c r="CH95" s="62"/>
      <c r="CI95" s="55"/>
      <c r="CJ95" s="55"/>
      <c r="CK95" s="55"/>
      <c r="CL95" s="55"/>
      <c r="CM95" s="55"/>
      <c r="CN95" s="55"/>
      <c r="CO95" s="62"/>
      <c r="CP95" s="55"/>
      <c r="CQ95" s="55"/>
      <c r="CR95" s="55"/>
      <c r="CS95" s="55"/>
      <c r="CT95" s="55"/>
      <c r="CU95" s="55"/>
      <c r="CV95" s="55"/>
      <c r="CW95" s="55"/>
    </row>
    <row r="96" spans="1:103" ht="15.75">
      <c r="H96" s="2"/>
      <c r="I96" s="2"/>
      <c r="J96" s="2"/>
      <c r="K96" s="2"/>
      <c r="M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78">
        <f ca="1">SUMIF(AY1:AY94,Ergebnisse!$B$98,AX1:AX94)</f>
        <v>605</v>
      </c>
      <c r="AZ96" s="2"/>
      <c r="BA96"/>
      <c r="BB96"/>
      <c r="BC96"/>
      <c r="BD96"/>
      <c r="BE96"/>
      <c r="BF96"/>
      <c r="BG96"/>
      <c r="BH96"/>
      <c r="BI96"/>
      <c r="BJ96"/>
      <c r="BK96"/>
      <c r="BL96"/>
      <c r="BM96"/>
      <c r="BN96"/>
      <c r="BO96"/>
      <c r="BP96"/>
      <c r="BQ96"/>
      <c r="BR96"/>
      <c r="BS96"/>
      <c r="BT96"/>
      <c r="BU96"/>
      <c r="BV96"/>
      <c r="BW96"/>
      <c r="BX96"/>
      <c r="BY96"/>
      <c r="BZ96"/>
      <c r="CA96"/>
      <c r="CB96"/>
      <c r="CC96"/>
      <c r="CD96"/>
      <c r="CE96"/>
      <c r="CF96"/>
      <c r="CG96" s="206"/>
      <c r="CH96" s="206"/>
      <c r="CI96" s="206"/>
      <c r="CJ96" s="206"/>
      <c r="CK96" s="206"/>
      <c r="CL96" s="206"/>
      <c r="CM96" s="206"/>
      <c r="CN96" s="206"/>
      <c r="CO96" s="206"/>
      <c r="CX96" s="78">
        <f ca="1">SUMIF(CY1:CY94,Ergebnisse!$B$98,CX1:CX94)</f>
        <v>395</v>
      </c>
    </row>
    <row r="97" spans="4:103" ht="13.5" thickBot="1">
      <c r="H97" s="8"/>
      <c r="I97" s="8"/>
      <c r="J97" s="8"/>
      <c r="K97" s="8"/>
      <c r="M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Z97" s="2"/>
      <c r="BH97" s="8"/>
      <c r="BI97" s="8"/>
      <c r="BJ97" s="8"/>
      <c r="BK97" s="8"/>
      <c r="BM97" s="2"/>
      <c r="BY97" s="2"/>
      <c r="CY97" s="1" t="s">
        <v>85</v>
      </c>
    </row>
    <row r="98" spans="4:103" ht="17.25" thickTop="1" thickBot="1">
      <c r="D98" s="3"/>
      <c r="E98" s="3"/>
      <c r="F98" s="3"/>
      <c r="G98" s="82"/>
      <c r="H98" s="178"/>
      <c r="AD98" s="63"/>
      <c r="AX98" s="77">
        <f ca="1">AX96+CX96</f>
        <v>1000</v>
      </c>
      <c r="AY98" s="1" t="s">
        <v>86</v>
      </c>
      <c r="BH98" s="8"/>
      <c r="BI98" s="8"/>
      <c r="BJ98" s="8"/>
      <c r="BK98" s="8"/>
      <c r="CD98" s="3"/>
      <c r="CY98" s="17"/>
    </row>
    <row r="99" spans="4:103" ht="13.5" thickTop="1">
      <c r="E99" s="3"/>
      <c r="F99" s="3"/>
      <c r="AD99" s="63"/>
      <c r="BH99" s="8"/>
      <c r="BI99" s="8"/>
      <c r="BJ99" s="8"/>
      <c r="BK99" s="8"/>
      <c r="CD99" s="3"/>
    </row>
    <row r="100" spans="4:103">
      <c r="E100" s="3"/>
      <c r="F100" s="3"/>
      <c r="AD100" s="63"/>
      <c r="BH100" s="8"/>
      <c r="BI100" s="8"/>
      <c r="BJ100" s="8"/>
      <c r="BK100" s="8"/>
      <c r="CD100" s="3"/>
    </row>
    <row r="104" spans="4:103">
      <c r="AX104" s="17"/>
      <c r="AY104" s="17"/>
      <c r="CY104" s="1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AA496"/>
  <sheetViews>
    <sheetView workbookViewId="0"/>
  </sheetViews>
  <sheetFormatPr baseColWidth="10" defaultRowHeight="12.75"/>
  <cols>
    <col min="1" max="18" width="11.42578125" style="104"/>
    <col min="19" max="19" width="3.7109375" style="104" customWidth="1"/>
    <col min="20" max="16384" width="11.42578125" style="104"/>
  </cols>
  <sheetData>
    <row r="1" spans="1:27">
      <c r="A1" s="104" t="s">
        <v>450</v>
      </c>
      <c r="B1" s="104" t="s">
        <v>451</v>
      </c>
      <c r="C1" s="184" t="s">
        <v>27</v>
      </c>
      <c r="D1" s="184" t="s">
        <v>33</v>
      </c>
      <c r="E1" s="184" t="s">
        <v>41</v>
      </c>
      <c r="F1" s="184" t="s">
        <v>28</v>
      </c>
      <c r="G1" s="184" t="s">
        <v>227</v>
      </c>
      <c r="H1" s="184" t="s">
        <v>254</v>
      </c>
      <c r="I1" s="184" t="s">
        <v>242</v>
      </c>
      <c r="J1" s="184" t="s">
        <v>255</v>
      </c>
    </row>
    <row r="2" spans="1:27">
      <c r="A2" s="104">
        <v>1</v>
      </c>
      <c r="B2" s="104" t="str">
        <f>CONCATENATE(CHAR(T2),CHAR(U2),CHAR(V2),CHAR(W2),CHAR(X2),CHAR(Y2),CHAR(Z2),CHAR(AA2))</f>
        <v>EFGHIJKL</v>
      </c>
      <c r="C2" s="104" t="s">
        <v>151</v>
      </c>
      <c r="D2" s="104" t="s">
        <v>232</v>
      </c>
      <c r="E2" s="104" t="s">
        <v>258</v>
      </c>
      <c r="F2" s="104" t="s">
        <v>152</v>
      </c>
      <c r="G2" s="104" t="s">
        <v>245</v>
      </c>
      <c r="H2" s="104" t="s">
        <v>231</v>
      </c>
      <c r="I2" s="104" t="s">
        <v>259</v>
      </c>
      <c r="J2" s="104" t="s">
        <v>246</v>
      </c>
      <c r="K2" s="269">
        <f>CODE(MID(C2,2,1))</f>
        <v>69</v>
      </c>
      <c r="L2" s="269">
        <f t="shared" ref="L2:R38" si="0">CODE(MID(D2,2,1))</f>
        <v>74</v>
      </c>
      <c r="M2" s="269">
        <f t="shared" si="0"/>
        <v>73</v>
      </c>
      <c r="N2" s="269">
        <f t="shared" si="0"/>
        <v>70</v>
      </c>
      <c r="O2" s="269">
        <f t="shared" si="0"/>
        <v>72</v>
      </c>
      <c r="P2" s="269">
        <f t="shared" si="0"/>
        <v>71</v>
      </c>
      <c r="Q2" s="269">
        <f t="shared" si="0"/>
        <v>76</v>
      </c>
      <c r="R2" s="269">
        <f t="shared" si="0"/>
        <v>75</v>
      </c>
      <c r="S2" s="269"/>
      <c r="T2" s="269">
        <f>SMALL($K2:$R2,1)</f>
        <v>69</v>
      </c>
      <c r="U2" s="269">
        <f>SMALL($K2:$R2,2)</f>
        <v>70</v>
      </c>
      <c r="V2" s="269">
        <f>SMALL($K2:$R2,3)</f>
        <v>71</v>
      </c>
      <c r="W2" s="269">
        <f>SMALL($K2:$R2,4)</f>
        <v>72</v>
      </c>
      <c r="X2" s="269">
        <f>SMALL($K2:$R2,5)</f>
        <v>73</v>
      </c>
      <c r="Y2" s="269">
        <f>SMALL($K2:$R2,6)</f>
        <v>74</v>
      </c>
      <c r="Z2" s="269">
        <f>SMALL($K2:$R2,7)</f>
        <v>75</v>
      </c>
      <c r="AA2" s="269">
        <f>SMALL($K2:$R2,8)</f>
        <v>76</v>
      </c>
    </row>
    <row r="3" spans="1:27">
      <c r="A3" s="104">
        <v>2</v>
      </c>
      <c r="B3" s="104" t="str">
        <f t="shared" ref="B3:B66" si="1">CONCATENATE(CHAR(T3),CHAR(U3),CHAR(V3),CHAR(W3),CHAR(X3),CHAR(Y3),CHAR(Z3),CHAR(AA3))</f>
        <v>DFGHIJKL</v>
      </c>
      <c r="C3" s="104" t="s">
        <v>245</v>
      </c>
      <c r="D3" s="104" t="s">
        <v>231</v>
      </c>
      <c r="E3" s="104" t="s">
        <v>258</v>
      </c>
      <c r="F3" s="104" t="s">
        <v>150</v>
      </c>
      <c r="G3" s="104" t="s">
        <v>232</v>
      </c>
      <c r="H3" s="104" t="s">
        <v>152</v>
      </c>
      <c r="I3" s="104" t="s">
        <v>259</v>
      </c>
      <c r="J3" s="104" t="s">
        <v>246</v>
      </c>
      <c r="K3" s="269">
        <f t="shared" ref="K3:N66" si="2">CODE(MID(C3,2,1))</f>
        <v>72</v>
      </c>
      <c r="L3" s="269">
        <f t="shared" si="0"/>
        <v>71</v>
      </c>
      <c r="M3" s="269">
        <f t="shared" si="0"/>
        <v>73</v>
      </c>
      <c r="N3" s="269">
        <f t="shared" si="0"/>
        <v>68</v>
      </c>
      <c r="O3" s="269">
        <f t="shared" si="0"/>
        <v>74</v>
      </c>
      <c r="P3" s="269">
        <f t="shared" si="0"/>
        <v>70</v>
      </c>
      <c r="Q3" s="269">
        <f t="shared" si="0"/>
        <v>76</v>
      </c>
      <c r="R3" s="269">
        <f t="shared" si="0"/>
        <v>75</v>
      </c>
      <c r="S3" s="269"/>
      <c r="T3" s="269">
        <f t="shared" ref="T3:T66" si="3">SMALL($K3:$R3,1)</f>
        <v>68</v>
      </c>
      <c r="U3" s="269">
        <f t="shared" ref="U3:U66" si="4">SMALL($K3:$R3,2)</f>
        <v>70</v>
      </c>
      <c r="V3" s="269">
        <f t="shared" ref="V3:V66" si="5">SMALL($K3:$R3,3)</f>
        <v>71</v>
      </c>
      <c r="W3" s="269">
        <f t="shared" ref="W3:W66" si="6">SMALL($K3:$R3,4)</f>
        <v>72</v>
      </c>
      <c r="X3" s="269">
        <f t="shared" ref="X3:X66" si="7">SMALL($K3:$R3,5)</f>
        <v>73</v>
      </c>
      <c r="Y3" s="269">
        <f t="shared" ref="Y3:Y66" si="8">SMALL($K3:$R3,6)</f>
        <v>74</v>
      </c>
      <c r="Z3" s="269">
        <f t="shared" ref="Z3:Z66" si="9">SMALL($K3:$R3,7)</f>
        <v>75</v>
      </c>
      <c r="AA3" s="269">
        <f t="shared" ref="AA3:AA66" si="10">SMALL($K3:$R3,8)</f>
        <v>76</v>
      </c>
    </row>
    <row r="4" spans="1:27">
      <c r="A4" s="104">
        <v>3</v>
      </c>
      <c r="B4" s="104" t="str">
        <f t="shared" si="1"/>
        <v>DEGHIJKL</v>
      </c>
      <c r="C4" s="104" t="s">
        <v>151</v>
      </c>
      <c r="D4" s="104" t="s">
        <v>232</v>
      </c>
      <c r="E4" s="104" t="s">
        <v>258</v>
      </c>
      <c r="F4" s="104" t="s">
        <v>150</v>
      </c>
      <c r="G4" s="104" t="s">
        <v>245</v>
      </c>
      <c r="H4" s="104" t="s">
        <v>231</v>
      </c>
      <c r="I4" s="104" t="s">
        <v>259</v>
      </c>
      <c r="J4" s="104" t="s">
        <v>246</v>
      </c>
      <c r="K4" s="269">
        <f t="shared" si="2"/>
        <v>69</v>
      </c>
      <c r="L4" s="269">
        <f t="shared" si="0"/>
        <v>74</v>
      </c>
      <c r="M4" s="269">
        <f t="shared" si="0"/>
        <v>73</v>
      </c>
      <c r="N4" s="269">
        <f t="shared" si="0"/>
        <v>68</v>
      </c>
      <c r="O4" s="269">
        <f t="shared" si="0"/>
        <v>72</v>
      </c>
      <c r="P4" s="269">
        <f t="shared" si="0"/>
        <v>71</v>
      </c>
      <c r="Q4" s="269">
        <f t="shared" si="0"/>
        <v>76</v>
      </c>
      <c r="R4" s="269">
        <f t="shared" si="0"/>
        <v>75</v>
      </c>
      <c r="S4" s="269"/>
      <c r="T4" s="269">
        <f t="shared" si="3"/>
        <v>68</v>
      </c>
      <c r="U4" s="269">
        <f t="shared" si="4"/>
        <v>69</v>
      </c>
      <c r="V4" s="269">
        <f t="shared" si="5"/>
        <v>71</v>
      </c>
      <c r="W4" s="269">
        <f t="shared" si="6"/>
        <v>72</v>
      </c>
      <c r="X4" s="269">
        <f t="shared" si="7"/>
        <v>73</v>
      </c>
      <c r="Y4" s="269">
        <f t="shared" si="8"/>
        <v>74</v>
      </c>
      <c r="Z4" s="269">
        <f t="shared" si="9"/>
        <v>75</v>
      </c>
      <c r="AA4" s="269">
        <f t="shared" si="10"/>
        <v>76</v>
      </c>
    </row>
    <row r="5" spans="1:27">
      <c r="A5" s="104">
        <v>4</v>
      </c>
      <c r="B5" s="104" t="str">
        <f t="shared" si="1"/>
        <v>DEFHIJKL</v>
      </c>
      <c r="C5" s="104" t="s">
        <v>151</v>
      </c>
      <c r="D5" s="104" t="s">
        <v>232</v>
      </c>
      <c r="E5" s="104" t="s">
        <v>258</v>
      </c>
      <c r="F5" s="104" t="s">
        <v>150</v>
      </c>
      <c r="G5" s="104" t="s">
        <v>245</v>
      </c>
      <c r="H5" s="104" t="s">
        <v>152</v>
      </c>
      <c r="I5" s="104" t="s">
        <v>259</v>
      </c>
      <c r="J5" s="104" t="s">
        <v>246</v>
      </c>
      <c r="K5" s="269">
        <f t="shared" si="2"/>
        <v>69</v>
      </c>
      <c r="L5" s="269">
        <f t="shared" si="0"/>
        <v>74</v>
      </c>
      <c r="M5" s="269">
        <f t="shared" si="0"/>
        <v>73</v>
      </c>
      <c r="N5" s="269">
        <f t="shared" si="0"/>
        <v>68</v>
      </c>
      <c r="O5" s="269">
        <f t="shared" si="0"/>
        <v>72</v>
      </c>
      <c r="P5" s="269">
        <f t="shared" si="0"/>
        <v>70</v>
      </c>
      <c r="Q5" s="269">
        <f t="shared" si="0"/>
        <v>76</v>
      </c>
      <c r="R5" s="269">
        <f t="shared" si="0"/>
        <v>75</v>
      </c>
      <c r="S5" s="269"/>
      <c r="T5" s="269">
        <f t="shared" si="3"/>
        <v>68</v>
      </c>
      <c r="U5" s="269">
        <f t="shared" si="4"/>
        <v>69</v>
      </c>
      <c r="V5" s="269">
        <f t="shared" si="5"/>
        <v>70</v>
      </c>
      <c r="W5" s="269">
        <f t="shared" si="6"/>
        <v>72</v>
      </c>
      <c r="X5" s="269">
        <f t="shared" si="7"/>
        <v>73</v>
      </c>
      <c r="Y5" s="269">
        <f t="shared" si="8"/>
        <v>74</v>
      </c>
      <c r="Z5" s="269">
        <f t="shared" si="9"/>
        <v>75</v>
      </c>
      <c r="AA5" s="269">
        <f t="shared" si="10"/>
        <v>76</v>
      </c>
    </row>
    <row r="6" spans="1:27">
      <c r="A6" s="104">
        <v>5</v>
      </c>
      <c r="B6" s="104" t="str">
        <f t="shared" si="1"/>
        <v>DEFGIJKL</v>
      </c>
      <c r="C6" s="104" t="s">
        <v>151</v>
      </c>
      <c r="D6" s="104" t="s">
        <v>231</v>
      </c>
      <c r="E6" s="104" t="s">
        <v>258</v>
      </c>
      <c r="F6" s="104" t="s">
        <v>150</v>
      </c>
      <c r="G6" s="104" t="s">
        <v>232</v>
      </c>
      <c r="H6" s="104" t="s">
        <v>152</v>
      </c>
      <c r="I6" s="104" t="s">
        <v>259</v>
      </c>
      <c r="J6" s="104" t="s">
        <v>246</v>
      </c>
      <c r="K6" s="269">
        <f t="shared" si="2"/>
        <v>69</v>
      </c>
      <c r="L6" s="269">
        <f t="shared" si="0"/>
        <v>71</v>
      </c>
      <c r="M6" s="269">
        <f t="shared" si="0"/>
        <v>73</v>
      </c>
      <c r="N6" s="269">
        <f t="shared" si="0"/>
        <v>68</v>
      </c>
      <c r="O6" s="269">
        <f t="shared" si="0"/>
        <v>74</v>
      </c>
      <c r="P6" s="269">
        <f t="shared" si="0"/>
        <v>70</v>
      </c>
      <c r="Q6" s="269">
        <f t="shared" si="0"/>
        <v>76</v>
      </c>
      <c r="R6" s="269">
        <f t="shared" si="0"/>
        <v>75</v>
      </c>
      <c r="S6" s="269"/>
      <c r="T6" s="269">
        <f t="shared" si="3"/>
        <v>68</v>
      </c>
      <c r="U6" s="269">
        <f t="shared" si="4"/>
        <v>69</v>
      </c>
      <c r="V6" s="269">
        <f t="shared" si="5"/>
        <v>70</v>
      </c>
      <c r="W6" s="269">
        <f t="shared" si="6"/>
        <v>71</v>
      </c>
      <c r="X6" s="269">
        <f t="shared" si="7"/>
        <v>73</v>
      </c>
      <c r="Y6" s="269">
        <f t="shared" si="8"/>
        <v>74</v>
      </c>
      <c r="Z6" s="269">
        <f t="shared" si="9"/>
        <v>75</v>
      </c>
      <c r="AA6" s="269">
        <f t="shared" si="10"/>
        <v>76</v>
      </c>
    </row>
    <row r="7" spans="1:27">
      <c r="A7" s="104">
        <v>6</v>
      </c>
      <c r="B7" s="104" t="str">
        <f t="shared" si="1"/>
        <v>DEFGHJKL</v>
      </c>
      <c r="C7" s="104" t="s">
        <v>151</v>
      </c>
      <c r="D7" s="104" t="s">
        <v>231</v>
      </c>
      <c r="E7" s="104" t="s">
        <v>232</v>
      </c>
      <c r="F7" s="104" t="s">
        <v>150</v>
      </c>
      <c r="G7" s="104" t="s">
        <v>245</v>
      </c>
      <c r="H7" s="104" t="s">
        <v>152</v>
      </c>
      <c r="I7" s="104" t="s">
        <v>259</v>
      </c>
      <c r="J7" s="104" t="s">
        <v>246</v>
      </c>
      <c r="K7" s="269">
        <f t="shared" si="2"/>
        <v>69</v>
      </c>
      <c r="L7" s="269">
        <f t="shared" si="0"/>
        <v>71</v>
      </c>
      <c r="M7" s="269">
        <f t="shared" si="0"/>
        <v>74</v>
      </c>
      <c r="N7" s="269">
        <f t="shared" si="0"/>
        <v>68</v>
      </c>
      <c r="O7" s="269">
        <f t="shared" si="0"/>
        <v>72</v>
      </c>
      <c r="P7" s="269">
        <f t="shared" si="0"/>
        <v>70</v>
      </c>
      <c r="Q7" s="269">
        <f t="shared" si="0"/>
        <v>76</v>
      </c>
      <c r="R7" s="269">
        <f t="shared" si="0"/>
        <v>75</v>
      </c>
      <c r="S7" s="269"/>
      <c r="T7" s="269">
        <f t="shared" si="3"/>
        <v>68</v>
      </c>
      <c r="U7" s="269">
        <f t="shared" si="4"/>
        <v>69</v>
      </c>
      <c r="V7" s="269">
        <f t="shared" si="5"/>
        <v>70</v>
      </c>
      <c r="W7" s="269">
        <f t="shared" si="6"/>
        <v>71</v>
      </c>
      <c r="X7" s="269">
        <f t="shared" si="7"/>
        <v>72</v>
      </c>
      <c r="Y7" s="269">
        <f t="shared" si="8"/>
        <v>74</v>
      </c>
      <c r="Z7" s="269">
        <f t="shared" si="9"/>
        <v>75</v>
      </c>
      <c r="AA7" s="269">
        <f t="shared" si="10"/>
        <v>76</v>
      </c>
    </row>
    <row r="8" spans="1:27">
      <c r="A8" s="104">
        <v>7</v>
      </c>
      <c r="B8" s="104" t="str">
        <f t="shared" si="1"/>
        <v>DEFGHIKL</v>
      </c>
      <c r="C8" s="104" t="s">
        <v>151</v>
      </c>
      <c r="D8" s="104" t="s">
        <v>231</v>
      </c>
      <c r="E8" s="104" t="s">
        <v>258</v>
      </c>
      <c r="F8" s="104" t="s">
        <v>150</v>
      </c>
      <c r="G8" s="104" t="s">
        <v>245</v>
      </c>
      <c r="H8" s="104" t="s">
        <v>152</v>
      </c>
      <c r="I8" s="104" t="s">
        <v>259</v>
      </c>
      <c r="J8" s="104" t="s">
        <v>246</v>
      </c>
      <c r="K8" s="269">
        <f t="shared" si="2"/>
        <v>69</v>
      </c>
      <c r="L8" s="269">
        <f t="shared" si="0"/>
        <v>71</v>
      </c>
      <c r="M8" s="269">
        <f t="shared" si="0"/>
        <v>73</v>
      </c>
      <c r="N8" s="269">
        <f t="shared" si="0"/>
        <v>68</v>
      </c>
      <c r="O8" s="269">
        <f t="shared" si="0"/>
        <v>72</v>
      </c>
      <c r="P8" s="269">
        <f t="shared" si="0"/>
        <v>70</v>
      </c>
      <c r="Q8" s="269">
        <f t="shared" si="0"/>
        <v>76</v>
      </c>
      <c r="R8" s="269">
        <f t="shared" si="0"/>
        <v>75</v>
      </c>
      <c r="S8" s="269"/>
      <c r="T8" s="269">
        <f t="shared" si="3"/>
        <v>68</v>
      </c>
      <c r="U8" s="269">
        <f t="shared" si="4"/>
        <v>69</v>
      </c>
      <c r="V8" s="269">
        <f t="shared" si="5"/>
        <v>70</v>
      </c>
      <c r="W8" s="269">
        <f t="shared" si="6"/>
        <v>71</v>
      </c>
      <c r="X8" s="269">
        <f t="shared" si="7"/>
        <v>72</v>
      </c>
      <c r="Y8" s="269">
        <f t="shared" si="8"/>
        <v>73</v>
      </c>
      <c r="Z8" s="269">
        <f t="shared" si="9"/>
        <v>75</v>
      </c>
      <c r="AA8" s="269">
        <f t="shared" si="10"/>
        <v>76</v>
      </c>
    </row>
    <row r="9" spans="1:27">
      <c r="A9" s="104">
        <v>8</v>
      </c>
      <c r="B9" s="104" t="str">
        <f t="shared" si="1"/>
        <v>DEFGHIJL</v>
      </c>
      <c r="C9" s="104" t="s">
        <v>151</v>
      </c>
      <c r="D9" s="104" t="s">
        <v>231</v>
      </c>
      <c r="E9" s="104" t="s">
        <v>232</v>
      </c>
      <c r="F9" s="104" t="s">
        <v>150</v>
      </c>
      <c r="G9" s="104" t="s">
        <v>245</v>
      </c>
      <c r="H9" s="104" t="s">
        <v>152</v>
      </c>
      <c r="I9" s="104" t="s">
        <v>259</v>
      </c>
      <c r="J9" s="104" t="s">
        <v>258</v>
      </c>
      <c r="K9" s="269">
        <f t="shared" si="2"/>
        <v>69</v>
      </c>
      <c r="L9" s="269">
        <f t="shared" si="0"/>
        <v>71</v>
      </c>
      <c r="M9" s="269">
        <f t="shared" si="0"/>
        <v>74</v>
      </c>
      <c r="N9" s="269">
        <f t="shared" si="0"/>
        <v>68</v>
      </c>
      <c r="O9" s="269">
        <f t="shared" si="0"/>
        <v>72</v>
      </c>
      <c r="P9" s="269">
        <f t="shared" si="0"/>
        <v>70</v>
      </c>
      <c r="Q9" s="269">
        <f t="shared" si="0"/>
        <v>76</v>
      </c>
      <c r="R9" s="269">
        <f t="shared" si="0"/>
        <v>73</v>
      </c>
      <c r="S9" s="269"/>
      <c r="T9" s="269">
        <f t="shared" si="3"/>
        <v>68</v>
      </c>
      <c r="U9" s="269">
        <f t="shared" si="4"/>
        <v>69</v>
      </c>
      <c r="V9" s="269">
        <f t="shared" si="5"/>
        <v>70</v>
      </c>
      <c r="W9" s="269">
        <f t="shared" si="6"/>
        <v>71</v>
      </c>
      <c r="X9" s="269">
        <f t="shared" si="7"/>
        <v>72</v>
      </c>
      <c r="Y9" s="269">
        <f t="shared" si="8"/>
        <v>73</v>
      </c>
      <c r="Z9" s="269">
        <f t="shared" si="9"/>
        <v>74</v>
      </c>
      <c r="AA9" s="269">
        <f t="shared" si="10"/>
        <v>76</v>
      </c>
    </row>
    <row r="10" spans="1:27">
      <c r="A10" s="104">
        <v>9</v>
      </c>
      <c r="B10" s="104" t="str">
        <f t="shared" si="1"/>
        <v>DEFGHIJK</v>
      </c>
      <c r="C10" s="104" t="s">
        <v>151</v>
      </c>
      <c r="D10" s="104" t="s">
        <v>231</v>
      </c>
      <c r="E10" s="104" t="s">
        <v>232</v>
      </c>
      <c r="F10" s="104" t="s">
        <v>150</v>
      </c>
      <c r="G10" s="104" t="s">
        <v>245</v>
      </c>
      <c r="H10" s="104" t="s">
        <v>152</v>
      </c>
      <c r="I10" s="104" t="s">
        <v>258</v>
      </c>
      <c r="J10" s="104" t="s">
        <v>246</v>
      </c>
      <c r="K10" s="269">
        <f t="shared" si="2"/>
        <v>69</v>
      </c>
      <c r="L10" s="269">
        <f t="shared" si="0"/>
        <v>71</v>
      </c>
      <c r="M10" s="269">
        <f t="shared" si="0"/>
        <v>74</v>
      </c>
      <c r="N10" s="269">
        <f t="shared" si="0"/>
        <v>68</v>
      </c>
      <c r="O10" s="269">
        <f t="shared" si="0"/>
        <v>72</v>
      </c>
      <c r="P10" s="269">
        <f t="shared" si="0"/>
        <v>70</v>
      </c>
      <c r="Q10" s="269">
        <f t="shared" si="0"/>
        <v>73</v>
      </c>
      <c r="R10" s="269">
        <f t="shared" si="0"/>
        <v>75</v>
      </c>
      <c r="S10" s="269"/>
      <c r="T10" s="269">
        <f t="shared" si="3"/>
        <v>68</v>
      </c>
      <c r="U10" s="269">
        <f t="shared" si="4"/>
        <v>69</v>
      </c>
      <c r="V10" s="269">
        <f t="shared" si="5"/>
        <v>70</v>
      </c>
      <c r="W10" s="269">
        <f t="shared" si="6"/>
        <v>71</v>
      </c>
      <c r="X10" s="269">
        <f t="shared" si="7"/>
        <v>72</v>
      </c>
      <c r="Y10" s="269">
        <f t="shared" si="8"/>
        <v>73</v>
      </c>
      <c r="Z10" s="269">
        <f t="shared" si="9"/>
        <v>74</v>
      </c>
      <c r="AA10" s="269">
        <f t="shared" si="10"/>
        <v>75</v>
      </c>
    </row>
    <row r="11" spans="1:27">
      <c r="A11" s="104">
        <v>10</v>
      </c>
      <c r="B11" s="104" t="str">
        <f t="shared" si="1"/>
        <v>CFGHIJKL</v>
      </c>
      <c r="C11" s="104" t="s">
        <v>245</v>
      </c>
      <c r="D11" s="104" t="s">
        <v>231</v>
      </c>
      <c r="E11" s="104" t="s">
        <v>258</v>
      </c>
      <c r="F11" s="104" t="s">
        <v>145</v>
      </c>
      <c r="G11" s="104" t="s">
        <v>232</v>
      </c>
      <c r="H11" s="104" t="s">
        <v>152</v>
      </c>
      <c r="I11" s="104" t="s">
        <v>259</v>
      </c>
      <c r="J11" s="104" t="s">
        <v>246</v>
      </c>
      <c r="K11" s="269">
        <f t="shared" si="2"/>
        <v>72</v>
      </c>
      <c r="L11" s="269">
        <f t="shared" si="0"/>
        <v>71</v>
      </c>
      <c r="M11" s="269">
        <f t="shared" si="0"/>
        <v>73</v>
      </c>
      <c r="N11" s="269">
        <f t="shared" si="0"/>
        <v>67</v>
      </c>
      <c r="O11" s="269">
        <f t="shared" si="0"/>
        <v>74</v>
      </c>
      <c r="P11" s="269">
        <f t="shared" si="0"/>
        <v>70</v>
      </c>
      <c r="Q11" s="269">
        <f t="shared" si="0"/>
        <v>76</v>
      </c>
      <c r="R11" s="269">
        <f t="shared" si="0"/>
        <v>75</v>
      </c>
      <c r="S11" s="269"/>
      <c r="T11" s="269">
        <f t="shared" si="3"/>
        <v>67</v>
      </c>
      <c r="U11" s="269">
        <f t="shared" si="4"/>
        <v>70</v>
      </c>
      <c r="V11" s="269">
        <f t="shared" si="5"/>
        <v>71</v>
      </c>
      <c r="W11" s="269">
        <f t="shared" si="6"/>
        <v>72</v>
      </c>
      <c r="X11" s="269">
        <f t="shared" si="7"/>
        <v>73</v>
      </c>
      <c r="Y11" s="269">
        <f t="shared" si="8"/>
        <v>74</v>
      </c>
      <c r="Z11" s="269">
        <f t="shared" si="9"/>
        <v>75</v>
      </c>
      <c r="AA11" s="269">
        <f t="shared" si="10"/>
        <v>76</v>
      </c>
    </row>
    <row r="12" spans="1:27">
      <c r="A12" s="104">
        <v>11</v>
      </c>
      <c r="B12" s="104" t="str">
        <f t="shared" si="1"/>
        <v>CEGHIJKL</v>
      </c>
      <c r="C12" s="104" t="s">
        <v>151</v>
      </c>
      <c r="D12" s="104" t="s">
        <v>232</v>
      </c>
      <c r="E12" s="104" t="s">
        <v>258</v>
      </c>
      <c r="F12" s="104" t="s">
        <v>145</v>
      </c>
      <c r="G12" s="104" t="s">
        <v>245</v>
      </c>
      <c r="H12" s="104" t="s">
        <v>231</v>
      </c>
      <c r="I12" s="104" t="s">
        <v>259</v>
      </c>
      <c r="J12" s="104" t="s">
        <v>246</v>
      </c>
      <c r="K12" s="269">
        <f t="shared" si="2"/>
        <v>69</v>
      </c>
      <c r="L12" s="269">
        <f t="shared" si="0"/>
        <v>74</v>
      </c>
      <c r="M12" s="269">
        <f t="shared" si="0"/>
        <v>73</v>
      </c>
      <c r="N12" s="269">
        <f t="shared" si="0"/>
        <v>67</v>
      </c>
      <c r="O12" s="269">
        <f t="shared" si="0"/>
        <v>72</v>
      </c>
      <c r="P12" s="269">
        <f t="shared" si="0"/>
        <v>71</v>
      </c>
      <c r="Q12" s="269">
        <f t="shared" si="0"/>
        <v>76</v>
      </c>
      <c r="R12" s="269">
        <f t="shared" si="0"/>
        <v>75</v>
      </c>
      <c r="S12" s="269"/>
      <c r="T12" s="269">
        <f t="shared" si="3"/>
        <v>67</v>
      </c>
      <c r="U12" s="269">
        <f t="shared" si="4"/>
        <v>69</v>
      </c>
      <c r="V12" s="269">
        <f t="shared" si="5"/>
        <v>71</v>
      </c>
      <c r="W12" s="269">
        <f t="shared" si="6"/>
        <v>72</v>
      </c>
      <c r="X12" s="269">
        <f t="shared" si="7"/>
        <v>73</v>
      </c>
      <c r="Y12" s="269">
        <f t="shared" si="8"/>
        <v>74</v>
      </c>
      <c r="Z12" s="269">
        <f t="shared" si="9"/>
        <v>75</v>
      </c>
      <c r="AA12" s="269">
        <f t="shared" si="10"/>
        <v>76</v>
      </c>
    </row>
    <row r="13" spans="1:27">
      <c r="A13" s="104">
        <v>12</v>
      </c>
      <c r="B13" s="104" t="str">
        <f t="shared" si="1"/>
        <v>CEFHIJKL</v>
      </c>
      <c r="C13" s="104" t="s">
        <v>151</v>
      </c>
      <c r="D13" s="104" t="s">
        <v>232</v>
      </c>
      <c r="E13" s="104" t="s">
        <v>258</v>
      </c>
      <c r="F13" s="104" t="s">
        <v>145</v>
      </c>
      <c r="G13" s="104" t="s">
        <v>245</v>
      </c>
      <c r="H13" s="104" t="s">
        <v>152</v>
      </c>
      <c r="I13" s="104" t="s">
        <v>259</v>
      </c>
      <c r="J13" s="104" t="s">
        <v>246</v>
      </c>
      <c r="K13" s="269">
        <f t="shared" si="2"/>
        <v>69</v>
      </c>
      <c r="L13" s="269">
        <f t="shared" si="0"/>
        <v>74</v>
      </c>
      <c r="M13" s="269">
        <f t="shared" si="0"/>
        <v>73</v>
      </c>
      <c r="N13" s="269">
        <f t="shared" si="0"/>
        <v>67</v>
      </c>
      <c r="O13" s="269">
        <f t="shared" si="0"/>
        <v>72</v>
      </c>
      <c r="P13" s="269">
        <f t="shared" si="0"/>
        <v>70</v>
      </c>
      <c r="Q13" s="269">
        <f t="shared" si="0"/>
        <v>76</v>
      </c>
      <c r="R13" s="269">
        <f t="shared" si="0"/>
        <v>75</v>
      </c>
      <c r="S13" s="269"/>
      <c r="T13" s="269">
        <f t="shared" si="3"/>
        <v>67</v>
      </c>
      <c r="U13" s="269">
        <f t="shared" si="4"/>
        <v>69</v>
      </c>
      <c r="V13" s="269">
        <f t="shared" si="5"/>
        <v>70</v>
      </c>
      <c r="W13" s="269">
        <f t="shared" si="6"/>
        <v>72</v>
      </c>
      <c r="X13" s="269">
        <f t="shared" si="7"/>
        <v>73</v>
      </c>
      <c r="Y13" s="269">
        <f t="shared" si="8"/>
        <v>74</v>
      </c>
      <c r="Z13" s="269">
        <f t="shared" si="9"/>
        <v>75</v>
      </c>
      <c r="AA13" s="269">
        <f t="shared" si="10"/>
        <v>76</v>
      </c>
    </row>
    <row r="14" spans="1:27">
      <c r="A14" s="104">
        <v>13</v>
      </c>
      <c r="B14" s="104" t="str">
        <f t="shared" si="1"/>
        <v>CEFGIJKL</v>
      </c>
      <c r="C14" s="104" t="s">
        <v>151</v>
      </c>
      <c r="D14" s="104" t="s">
        <v>231</v>
      </c>
      <c r="E14" s="104" t="s">
        <v>258</v>
      </c>
      <c r="F14" s="104" t="s">
        <v>145</v>
      </c>
      <c r="G14" s="104" t="s">
        <v>232</v>
      </c>
      <c r="H14" s="104" t="s">
        <v>152</v>
      </c>
      <c r="I14" s="104" t="s">
        <v>259</v>
      </c>
      <c r="J14" s="104" t="s">
        <v>246</v>
      </c>
      <c r="K14" s="269">
        <f t="shared" si="2"/>
        <v>69</v>
      </c>
      <c r="L14" s="269">
        <f t="shared" si="0"/>
        <v>71</v>
      </c>
      <c r="M14" s="269">
        <f t="shared" si="0"/>
        <v>73</v>
      </c>
      <c r="N14" s="269">
        <f t="shared" si="0"/>
        <v>67</v>
      </c>
      <c r="O14" s="269">
        <f t="shared" si="0"/>
        <v>74</v>
      </c>
      <c r="P14" s="269">
        <f t="shared" si="0"/>
        <v>70</v>
      </c>
      <c r="Q14" s="269">
        <f t="shared" si="0"/>
        <v>76</v>
      </c>
      <c r="R14" s="269">
        <f t="shared" si="0"/>
        <v>75</v>
      </c>
      <c r="S14" s="269"/>
      <c r="T14" s="269">
        <f t="shared" si="3"/>
        <v>67</v>
      </c>
      <c r="U14" s="269">
        <f t="shared" si="4"/>
        <v>69</v>
      </c>
      <c r="V14" s="269">
        <f t="shared" si="5"/>
        <v>70</v>
      </c>
      <c r="W14" s="269">
        <f t="shared" si="6"/>
        <v>71</v>
      </c>
      <c r="X14" s="269">
        <f t="shared" si="7"/>
        <v>73</v>
      </c>
      <c r="Y14" s="269">
        <f t="shared" si="8"/>
        <v>74</v>
      </c>
      <c r="Z14" s="269">
        <f t="shared" si="9"/>
        <v>75</v>
      </c>
      <c r="AA14" s="269">
        <f t="shared" si="10"/>
        <v>76</v>
      </c>
    </row>
    <row r="15" spans="1:27">
      <c r="A15" s="104">
        <v>14</v>
      </c>
      <c r="B15" s="104" t="str">
        <f t="shared" si="1"/>
        <v>CEFGHJKL</v>
      </c>
      <c r="C15" s="104" t="s">
        <v>151</v>
      </c>
      <c r="D15" s="104" t="s">
        <v>231</v>
      </c>
      <c r="E15" s="104" t="s">
        <v>232</v>
      </c>
      <c r="F15" s="104" t="s">
        <v>145</v>
      </c>
      <c r="G15" s="104" t="s">
        <v>245</v>
      </c>
      <c r="H15" s="104" t="s">
        <v>152</v>
      </c>
      <c r="I15" s="104" t="s">
        <v>259</v>
      </c>
      <c r="J15" s="104" t="s">
        <v>246</v>
      </c>
      <c r="K15" s="269">
        <f t="shared" si="2"/>
        <v>69</v>
      </c>
      <c r="L15" s="269">
        <f t="shared" si="0"/>
        <v>71</v>
      </c>
      <c r="M15" s="269">
        <f t="shared" si="0"/>
        <v>74</v>
      </c>
      <c r="N15" s="269">
        <f t="shared" si="0"/>
        <v>67</v>
      </c>
      <c r="O15" s="269">
        <f t="shared" si="0"/>
        <v>72</v>
      </c>
      <c r="P15" s="269">
        <f t="shared" si="0"/>
        <v>70</v>
      </c>
      <c r="Q15" s="269">
        <f t="shared" si="0"/>
        <v>76</v>
      </c>
      <c r="R15" s="269">
        <f t="shared" si="0"/>
        <v>75</v>
      </c>
      <c r="S15" s="269"/>
      <c r="T15" s="269">
        <f t="shared" si="3"/>
        <v>67</v>
      </c>
      <c r="U15" s="269">
        <f t="shared" si="4"/>
        <v>69</v>
      </c>
      <c r="V15" s="269">
        <f t="shared" si="5"/>
        <v>70</v>
      </c>
      <c r="W15" s="269">
        <f t="shared" si="6"/>
        <v>71</v>
      </c>
      <c r="X15" s="269">
        <f t="shared" si="7"/>
        <v>72</v>
      </c>
      <c r="Y15" s="269">
        <f t="shared" si="8"/>
        <v>74</v>
      </c>
      <c r="Z15" s="269">
        <f t="shared" si="9"/>
        <v>75</v>
      </c>
      <c r="AA15" s="269">
        <f t="shared" si="10"/>
        <v>76</v>
      </c>
    </row>
    <row r="16" spans="1:27">
      <c r="A16" s="104">
        <v>15</v>
      </c>
      <c r="B16" s="104" t="str">
        <f t="shared" si="1"/>
        <v>CEFGHIKL</v>
      </c>
      <c r="C16" s="104" t="s">
        <v>151</v>
      </c>
      <c r="D16" s="104" t="s">
        <v>231</v>
      </c>
      <c r="E16" s="104" t="s">
        <v>258</v>
      </c>
      <c r="F16" s="104" t="s">
        <v>145</v>
      </c>
      <c r="G16" s="104" t="s">
        <v>245</v>
      </c>
      <c r="H16" s="104" t="s">
        <v>152</v>
      </c>
      <c r="I16" s="104" t="s">
        <v>259</v>
      </c>
      <c r="J16" s="104" t="s">
        <v>246</v>
      </c>
      <c r="K16" s="269">
        <f t="shared" si="2"/>
        <v>69</v>
      </c>
      <c r="L16" s="269">
        <f t="shared" si="0"/>
        <v>71</v>
      </c>
      <c r="M16" s="269">
        <f t="shared" si="0"/>
        <v>73</v>
      </c>
      <c r="N16" s="269">
        <f t="shared" si="0"/>
        <v>67</v>
      </c>
      <c r="O16" s="269">
        <f t="shared" si="0"/>
        <v>72</v>
      </c>
      <c r="P16" s="269">
        <f t="shared" si="0"/>
        <v>70</v>
      </c>
      <c r="Q16" s="269">
        <f t="shared" si="0"/>
        <v>76</v>
      </c>
      <c r="R16" s="269">
        <f t="shared" si="0"/>
        <v>75</v>
      </c>
      <c r="S16" s="269"/>
      <c r="T16" s="269">
        <f t="shared" si="3"/>
        <v>67</v>
      </c>
      <c r="U16" s="269">
        <f t="shared" si="4"/>
        <v>69</v>
      </c>
      <c r="V16" s="269">
        <f t="shared" si="5"/>
        <v>70</v>
      </c>
      <c r="W16" s="269">
        <f t="shared" si="6"/>
        <v>71</v>
      </c>
      <c r="X16" s="269">
        <f t="shared" si="7"/>
        <v>72</v>
      </c>
      <c r="Y16" s="269">
        <f t="shared" si="8"/>
        <v>73</v>
      </c>
      <c r="Z16" s="269">
        <f t="shared" si="9"/>
        <v>75</v>
      </c>
      <c r="AA16" s="269">
        <f t="shared" si="10"/>
        <v>76</v>
      </c>
    </row>
    <row r="17" spans="1:27">
      <c r="A17" s="104">
        <v>16</v>
      </c>
      <c r="B17" s="104" t="str">
        <f t="shared" si="1"/>
        <v>CEFGHIJL</v>
      </c>
      <c r="C17" s="104" t="s">
        <v>151</v>
      </c>
      <c r="D17" s="104" t="s">
        <v>231</v>
      </c>
      <c r="E17" s="104" t="s">
        <v>232</v>
      </c>
      <c r="F17" s="104" t="s">
        <v>145</v>
      </c>
      <c r="G17" s="104" t="s">
        <v>245</v>
      </c>
      <c r="H17" s="104" t="s">
        <v>152</v>
      </c>
      <c r="I17" s="104" t="s">
        <v>259</v>
      </c>
      <c r="J17" s="104" t="s">
        <v>258</v>
      </c>
      <c r="K17" s="269">
        <f t="shared" si="2"/>
        <v>69</v>
      </c>
      <c r="L17" s="269">
        <f t="shared" si="0"/>
        <v>71</v>
      </c>
      <c r="M17" s="269">
        <f t="shared" si="0"/>
        <v>74</v>
      </c>
      <c r="N17" s="269">
        <f t="shared" si="0"/>
        <v>67</v>
      </c>
      <c r="O17" s="269">
        <f t="shared" si="0"/>
        <v>72</v>
      </c>
      <c r="P17" s="269">
        <f t="shared" si="0"/>
        <v>70</v>
      </c>
      <c r="Q17" s="269">
        <f t="shared" si="0"/>
        <v>76</v>
      </c>
      <c r="R17" s="269">
        <f t="shared" si="0"/>
        <v>73</v>
      </c>
      <c r="S17" s="269"/>
      <c r="T17" s="269">
        <f t="shared" si="3"/>
        <v>67</v>
      </c>
      <c r="U17" s="269">
        <f t="shared" si="4"/>
        <v>69</v>
      </c>
      <c r="V17" s="269">
        <f t="shared" si="5"/>
        <v>70</v>
      </c>
      <c r="W17" s="269">
        <f t="shared" si="6"/>
        <v>71</v>
      </c>
      <c r="X17" s="269">
        <f t="shared" si="7"/>
        <v>72</v>
      </c>
      <c r="Y17" s="269">
        <f t="shared" si="8"/>
        <v>73</v>
      </c>
      <c r="Z17" s="269">
        <f t="shared" si="9"/>
        <v>74</v>
      </c>
      <c r="AA17" s="269">
        <f t="shared" si="10"/>
        <v>76</v>
      </c>
    </row>
    <row r="18" spans="1:27">
      <c r="A18" s="104">
        <v>17</v>
      </c>
      <c r="B18" s="104" t="str">
        <f t="shared" si="1"/>
        <v>CEFGHIJK</v>
      </c>
      <c r="C18" s="104" t="s">
        <v>151</v>
      </c>
      <c r="D18" s="104" t="s">
        <v>231</v>
      </c>
      <c r="E18" s="104" t="s">
        <v>232</v>
      </c>
      <c r="F18" s="104" t="s">
        <v>145</v>
      </c>
      <c r="G18" s="104" t="s">
        <v>245</v>
      </c>
      <c r="H18" s="104" t="s">
        <v>152</v>
      </c>
      <c r="I18" s="104" t="s">
        <v>258</v>
      </c>
      <c r="J18" s="104" t="s">
        <v>246</v>
      </c>
      <c r="K18" s="269">
        <f t="shared" si="2"/>
        <v>69</v>
      </c>
      <c r="L18" s="269">
        <f t="shared" si="0"/>
        <v>71</v>
      </c>
      <c r="M18" s="269">
        <f t="shared" si="0"/>
        <v>74</v>
      </c>
      <c r="N18" s="269">
        <f t="shared" si="0"/>
        <v>67</v>
      </c>
      <c r="O18" s="269">
        <f t="shared" si="0"/>
        <v>72</v>
      </c>
      <c r="P18" s="269">
        <f t="shared" si="0"/>
        <v>70</v>
      </c>
      <c r="Q18" s="269">
        <f t="shared" si="0"/>
        <v>73</v>
      </c>
      <c r="R18" s="269">
        <f t="shared" si="0"/>
        <v>75</v>
      </c>
      <c r="S18" s="269"/>
      <c r="T18" s="269">
        <f t="shared" si="3"/>
        <v>67</v>
      </c>
      <c r="U18" s="269">
        <f t="shared" si="4"/>
        <v>69</v>
      </c>
      <c r="V18" s="269">
        <f t="shared" si="5"/>
        <v>70</v>
      </c>
      <c r="W18" s="269">
        <f t="shared" si="6"/>
        <v>71</v>
      </c>
      <c r="X18" s="269">
        <f t="shared" si="7"/>
        <v>72</v>
      </c>
      <c r="Y18" s="269">
        <f t="shared" si="8"/>
        <v>73</v>
      </c>
      <c r="Z18" s="269">
        <f t="shared" si="9"/>
        <v>74</v>
      </c>
      <c r="AA18" s="269">
        <f t="shared" si="10"/>
        <v>75</v>
      </c>
    </row>
    <row r="19" spans="1:27">
      <c r="A19" s="104">
        <v>18</v>
      </c>
      <c r="B19" s="104" t="str">
        <f t="shared" si="1"/>
        <v>CDGHIJKL</v>
      </c>
      <c r="C19" s="104" t="s">
        <v>245</v>
      </c>
      <c r="D19" s="104" t="s">
        <v>231</v>
      </c>
      <c r="E19" s="104" t="s">
        <v>258</v>
      </c>
      <c r="F19" s="104" t="s">
        <v>145</v>
      </c>
      <c r="G19" s="104" t="s">
        <v>232</v>
      </c>
      <c r="H19" s="104" t="s">
        <v>150</v>
      </c>
      <c r="I19" s="104" t="s">
        <v>259</v>
      </c>
      <c r="J19" s="104" t="s">
        <v>246</v>
      </c>
      <c r="K19" s="269">
        <f t="shared" si="2"/>
        <v>72</v>
      </c>
      <c r="L19" s="269">
        <f t="shared" si="0"/>
        <v>71</v>
      </c>
      <c r="M19" s="269">
        <f t="shared" si="0"/>
        <v>73</v>
      </c>
      <c r="N19" s="269">
        <f t="shared" si="0"/>
        <v>67</v>
      </c>
      <c r="O19" s="269">
        <f t="shared" si="0"/>
        <v>74</v>
      </c>
      <c r="P19" s="269">
        <f t="shared" si="0"/>
        <v>68</v>
      </c>
      <c r="Q19" s="269">
        <f t="shared" si="0"/>
        <v>76</v>
      </c>
      <c r="R19" s="269">
        <f t="shared" si="0"/>
        <v>75</v>
      </c>
      <c r="S19" s="269"/>
      <c r="T19" s="269">
        <f t="shared" si="3"/>
        <v>67</v>
      </c>
      <c r="U19" s="269">
        <f t="shared" si="4"/>
        <v>68</v>
      </c>
      <c r="V19" s="269">
        <f t="shared" si="5"/>
        <v>71</v>
      </c>
      <c r="W19" s="269">
        <f t="shared" si="6"/>
        <v>72</v>
      </c>
      <c r="X19" s="269">
        <f t="shared" si="7"/>
        <v>73</v>
      </c>
      <c r="Y19" s="269">
        <f t="shared" si="8"/>
        <v>74</v>
      </c>
      <c r="Z19" s="269">
        <f t="shared" si="9"/>
        <v>75</v>
      </c>
      <c r="AA19" s="269">
        <f t="shared" si="10"/>
        <v>76</v>
      </c>
    </row>
    <row r="20" spans="1:27">
      <c r="A20" s="104">
        <v>19</v>
      </c>
      <c r="B20" s="104" t="str">
        <f t="shared" si="1"/>
        <v>CDFHIJKL</v>
      </c>
      <c r="C20" s="104" t="s">
        <v>145</v>
      </c>
      <c r="D20" s="104" t="s">
        <v>232</v>
      </c>
      <c r="E20" s="104" t="s">
        <v>258</v>
      </c>
      <c r="F20" s="104" t="s">
        <v>150</v>
      </c>
      <c r="G20" s="104" t="s">
        <v>245</v>
      </c>
      <c r="H20" s="104" t="s">
        <v>152</v>
      </c>
      <c r="I20" s="104" t="s">
        <v>259</v>
      </c>
      <c r="J20" s="104" t="s">
        <v>246</v>
      </c>
      <c r="K20" s="269">
        <f t="shared" si="2"/>
        <v>67</v>
      </c>
      <c r="L20" s="269">
        <f t="shared" si="0"/>
        <v>74</v>
      </c>
      <c r="M20" s="269">
        <f t="shared" si="0"/>
        <v>73</v>
      </c>
      <c r="N20" s="269">
        <f t="shared" si="0"/>
        <v>68</v>
      </c>
      <c r="O20" s="269">
        <f t="shared" si="0"/>
        <v>72</v>
      </c>
      <c r="P20" s="269">
        <f t="shared" si="0"/>
        <v>70</v>
      </c>
      <c r="Q20" s="269">
        <f t="shared" si="0"/>
        <v>76</v>
      </c>
      <c r="R20" s="269">
        <f t="shared" si="0"/>
        <v>75</v>
      </c>
      <c r="S20" s="269"/>
      <c r="T20" s="269">
        <f t="shared" si="3"/>
        <v>67</v>
      </c>
      <c r="U20" s="269">
        <f t="shared" si="4"/>
        <v>68</v>
      </c>
      <c r="V20" s="269">
        <f t="shared" si="5"/>
        <v>70</v>
      </c>
      <c r="W20" s="269">
        <f t="shared" si="6"/>
        <v>72</v>
      </c>
      <c r="X20" s="269">
        <f t="shared" si="7"/>
        <v>73</v>
      </c>
      <c r="Y20" s="269">
        <f t="shared" si="8"/>
        <v>74</v>
      </c>
      <c r="Z20" s="269">
        <f t="shared" si="9"/>
        <v>75</v>
      </c>
      <c r="AA20" s="269">
        <f t="shared" si="10"/>
        <v>76</v>
      </c>
    </row>
    <row r="21" spans="1:27">
      <c r="A21" s="104">
        <v>20</v>
      </c>
      <c r="B21" s="104" t="str">
        <f t="shared" si="1"/>
        <v>CDFGIJKL</v>
      </c>
      <c r="C21" s="104" t="s">
        <v>145</v>
      </c>
      <c r="D21" s="104" t="s">
        <v>231</v>
      </c>
      <c r="E21" s="104" t="s">
        <v>258</v>
      </c>
      <c r="F21" s="104" t="s">
        <v>150</v>
      </c>
      <c r="G21" s="104" t="s">
        <v>232</v>
      </c>
      <c r="H21" s="104" t="s">
        <v>152</v>
      </c>
      <c r="I21" s="104" t="s">
        <v>259</v>
      </c>
      <c r="J21" s="104" t="s">
        <v>246</v>
      </c>
      <c r="K21" s="269">
        <f t="shared" si="2"/>
        <v>67</v>
      </c>
      <c r="L21" s="269">
        <f t="shared" si="0"/>
        <v>71</v>
      </c>
      <c r="M21" s="269">
        <f t="shared" si="0"/>
        <v>73</v>
      </c>
      <c r="N21" s="269">
        <f t="shared" si="0"/>
        <v>68</v>
      </c>
      <c r="O21" s="269">
        <f t="shared" si="0"/>
        <v>74</v>
      </c>
      <c r="P21" s="269">
        <f t="shared" si="0"/>
        <v>70</v>
      </c>
      <c r="Q21" s="269">
        <f t="shared" si="0"/>
        <v>76</v>
      </c>
      <c r="R21" s="269">
        <f t="shared" si="0"/>
        <v>75</v>
      </c>
      <c r="S21" s="269"/>
      <c r="T21" s="269">
        <f t="shared" si="3"/>
        <v>67</v>
      </c>
      <c r="U21" s="269">
        <f t="shared" si="4"/>
        <v>68</v>
      </c>
      <c r="V21" s="269">
        <f t="shared" si="5"/>
        <v>70</v>
      </c>
      <c r="W21" s="269">
        <f t="shared" si="6"/>
        <v>71</v>
      </c>
      <c r="X21" s="269">
        <f t="shared" si="7"/>
        <v>73</v>
      </c>
      <c r="Y21" s="269">
        <f t="shared" si="8"/>
        <v>74</v>
      </c>
      <c r="Z21" s="269">
        <f t="shared" si="9"/>
        <v>75</v>
      </c>
      <c r="AA21" s="269">
        <f t="shared" si="10"/>
        <v>76</v>
      </c>
    </row>
    <row r="22" spans="1:27">
      <c r="A22" s="104">
        <v>21</v>
      </c>
      <c r="B22" s="104" t="str">
        <f t="shared" si="1"/>
        <v>CDFGHJKL</v>
      </c>
      <c r="C22" s="104" t="s">
        <v>145</v>
      </c>
      <c r="D22" s="104" t="s">
        <v>231</v>
      </c>
      <c r="E22" s="104" t="s">
        <v>232</v>
      </c>
      <c r="F22" s="104" t="s">
        <v>150</v>
      </c>
      <c r="G22" s="104" t="s">
        <v>245</v>
      </c>
      <c r="H22" s="104" t="s">
        <v>152</v>
      </c>
      <c r="I22" s="104" t="s">
        <v>259</v>
      </c>
      <c r="J22" s="104" t="s">
        <v>246</v>
      </c>
      <c r="K22" s="269">
        <f t="shared" si="2"/>
        <v>67</v>
      </c>
      <c r="L22" s="269">
        <f t="shared" si="0"/>
        <v>71</v>
      </c>
      <c r="M22" s="269">
        <f t="shared" si="0"/>
        <v>74</v>
      </c>
      <c r="N22" s="269">
        <f t="shared" si="0"/>
        <v>68</v>
      </c>
      <c r="O22" s="269">
        <f t="shared" si="0"/>
        <v>72</v>
      </c>
      <c r="P22" s="269">
        <f t="shared" si="0"/>
        <v>70</v>
      </c>
      <c r="Q22" s="269">
        <f t="shared" si="0"/>
        <v>76</v>
      </c>
      <c r="R22" s="269">
        <f t="shared" si="0"/>
        <v>75</v>
      </c>
      <c r="S22" s="269"/>
      <c r="T22" s="269">
        <f t="shared" si="3"/>
        <v>67</v>
      </c>
      <c r="U22" s="269">
        <f t="shared" si="4"/>
        <v>68</v>
      </c>
      <c r="V22" s="269">
        <f t="shared" si="5"/>
        <v>70</v>
      </c>
      <c r="W22" s="269">
        <f t="shared" si="6"/>
        <v>71</v>
      </c>
      <c r="X22" s="269">
        <f t="shared" si="7"/>
        <v>72</v>
      </c>
      <c r="Y22" s="269">
        <f t="shared" si="8"/>
        <v>74</v>
      </c>
      <c r="Z22" s="269">
        <f t="shared" si="9"/>
        <v>75</v>
      </c>
      <c r="AA22" s="269">
        <f t="shared" si="10"/>
        <v>76</v>
      </c>
    </row>
    <row r="23" spans="1:27">
      <c r="A23" s="104">
        <v>22</v>
      </c>
      <c r="B23" s="104" t="str">
        <f t="shared" si="1"/>
        <v>CDFGHIKL</v>
      </c>
      <c r="C23" s="104" t="s">
        <v>145</v>
      </c>
      <c r="D23" s="104" t="s">
        <v>231</v>
      </c>
      <c r="E23" s="104" t="s">
        <v>258</v>
      </c>
      <c r="F23" s="104" t="s">
        <v>150</v>
      </c>
      <c r="G23" s="104" t="s">
        <v>245</v>
      </c>
      <c r="H23" s="104" t="s">
        <v>152</v>
      </c>
      <c r="I23" s="104" t="s">
        <v>259</v>
      </c>
      <c r="J23" s="104" t="s">
        <v>246</v>
      </c>
      <c r="K23" s="269">
        <f t="shared" si="2"/>
        <v>67</v>
      </c>
      <c r="L23" s="269">
        <f t="shared" si="0"/>
        <v>71</v>
      </c>
      <c r="M23" s="269">
        <f t="shared" si="0"/>
        <v>73</v>
      </c>
      <c r="N23" s="269">
        <f t="shared" si="0"/>
        <v>68</v>
      </c>
      <c r="O23" s="269">
        <f t="shared" si="0"/>
        <v>72</v>
      </c>
      <c r="P23" s="269">
        <f t="shared" si="0"/>
        <v>70</v>
      </c>
      <c r="Q23" s="269">
        <f t="shared" si="0"/>
        <v>76</v>
      </c>
      <c r="R23" s="269">
        <f t="shared" si="0"/>
        <v>75</v>
      </c>
      <c r="S23" s="269"/>
      <c r="T23" s="269">
        <f t="shared" si="3"/>
        <v>67</v>
      </c>
      <c r="U23" s="269">
        <f t="shared" si="4"/>
        <v>68</v>
      </c>
      <c r="V23" s="269">
        <f t="shared" si="5"/>
        <v>70</v>
      </c>
      <c r="W23" s="269">
        <f t="shared" si="6"/>
        <v>71</v>
      </c>
      <c r="X23" s="269">
        <f t="shared" si="7"/>
        <v>72</v>
      </c>
      <c r="Y23" s="269">
        <f t="shared" si="8"/>
        <v>73</v>
      </c>
      <c r="Z23" s="269">
        <f t="shared" si="9"/>
        <v>75</v>
      </c>
      <c r="AA23" s="269">
        <f t="shared" si="10"/>
        <v>76</v>
      </c>
    </row>
    <row r="24" spans="1:27">
      <c r="A24" s="104">
        <v>23</v>
      </c>
      <c r="B24" s="104" t="str">
        <f t="shared" si="1"/>
        <v>CDFGHIJL</v>
      </c>
      <c r="C24" s="104" t="s">
        <v>145</v>
      </c>
      <c r="D24" s="104" t="s">
        <v>231</v>
      </c>
      <c r="E24" s="104" t="s">
        <v>232</v>
      </c>
      <c r="F24" s="104" t="s">
        <v>150</v>
      </c>
      <c r="G24" s="104" t="s">
        <v>245</v>
      </c>
      <c r="H24" s="104" t="s">
        <v>152</v>
      </c>
      <c r="I24" s="104" t="s">
        <v>259</v>
      </c>
      <c r="J24" s="104" t="s">
        <v>258</v>
      </c>
      <c r="K24" s="269">
        <f t="shared" si="2"/>
        <v>67</v>
      </c>
      <c r="L24" s="269">
        <f t="shared" si="0"/>
        <v>71</v>
      </c>
      <c r="M24" s="269">
        <f t="shared" si="0"/>
        <v>74</v>
      </c>
      <c r="N24" s="269">
        <f t="shared" si="0"/>
        <v>68</v>
      </c>
      <c r="O24" s="269">
        <f t="shared" si="0"/>
        <v>72</v>
      </c>
      <c r="P24" s="269">
        <f t="shared" si="0"/>
        <v>70</v>
      </c>
      <c r="Q24" s="269">
        <f t="shared" si="0"/>
        <v>76</v>
      </c>
      <c r="R24" s="269">
        <f t="shared" si="0"/>
        <v>73</v>
      </c>
      <c r="S24" s="269"/>
      <c r="T24" s="269">
        <f t="shared" si="3"/>
        <v>67</v>
      </c>
      <c r="U24" s="269">
        <f t="shared" si="4"/>
        <v>68</v>
      </c>
      <c r="V24" s="269">
        <f t="shared" si="5"/>
        <v>70</v>
      </c>
      <c r="W24" s="269">
        <f t="shared" si="6"/>
        <v>71</v>
      </c>
      <c r="X24" s="269">
        <f t="shared" si="7"/>
        <v>72</v>
      </c>
      <c r="Y24" s="269">
        <f t="shared" si="8"/>
        <v>73</v>
      </c>
      <c r="Z24" s="269">
        <f t="shared" si="9"/>
        <v>74</v>
      </c>
      <c r="AA24" s="269">
        <f t="shared" si="10"/>
        <v>76</v>
      </c>
    </row>
    <row r="25" spans="1:27">
      <c r="A25" s="104">
        <v>24</v>
      </c>
      <c r="B25" s="104" t="str">
        <f t="shared" si="1"/>
        <v>CDFGHIJK</v>
      </c>
      <c r="C25" s="104" t="s">
        <v>145</v>
      </c>
      <c r="D25" s="104" t="s">
        <v>231</v>
      </c>
      <c r="E25" s="104" t="s">
        <v>232</v>
      </c>
      <c r="F25" s="104" t="s">
        <v>150</v>
      </c>
      <c r="G25" s="104" t="s">
        <v>245</v>
      </c>
      <c r="H25" s="104" t="s">
        <v>152</v>
      </c>
      <c r="I25" s="104" t="s">
        <v>258</v>
      </c>
      <c r="J25" s="104" t="s">
        <v>246</v>
      </c>
      <c r="K25" s="269">
        <f t="shared" si="2"/>
        <v>67</v>
      </c>
      <c r="L25" s="269">
        <f t="shared" si="0"/>
        <v>71</v>
      </c>
      <c r="M25" s="269">
        <f t="shared" si="0"/>
        <v>74</v>
      </c>
      <c r="N25" s="269">
        <f t="shared" si="0"/>
        <v>68</v>
      </c>
      <c r="O25" s="269">
        <f t="shared" si="0"/>
        <v>72</v>
      </c>
      <c r="P25" s="269">
        <f t="shared" si="0"/>
        <v>70</v>
      </c>
      <c r="Q25" s="269">
        <f t="shared" si="0"/>
        <v>73</v>
      </c>
      <c r="R25" s="269">
        <f t="shared" si="0"/>
        <v>75</v>
      </c>
      <c r="S25" s="269"/>
      <c r="T25" s="269">
        <f t="shared" si="3"/>
        <v>67</v>
      </c>
      <c r="U25" s="269">
        <f t="shared" si="4"/>
        <v>68</v>
      </c>
      <c r="V25" s="269">
        <f t="shared" si="5"/>
        <v>70</v>
      </c>
      <c r="W25" s="269">
        <f t="shared" si="6"/>
        <v>71</v>
      </c>
      <c r="X25" s="269">
        <f t="shared" si="7"/>
        <v>72</v>
      </c>
      <c r="Y25" s="269">
        <f t="shared" si="8"/>
        <v>73</v>
      </c>
      <c r="Z25" s="269">
        <f t="shared" si="9"/>
        <v>74</v>
      </c>
      <c r="AA25" s="269">
        <f t="shared" si="10"/>
        <v>75</v>
      </c>
    </row>
    <row r="26" spans="1:27">
      <c r="A26" s="104">
        <v>25</v>
      </c>
      <c r="B26" s="104" t="str">
        <f t="shared" si="1"/>
        <v>CDEHIJKL</v>
      </c>
      <c r="C26" s="104" t="s">
        <v>151</v>
      </c>
      <c r="D26" s="104" t="s">
        <v>232</v>
      </c>
      <c r="E26" s="104" t="s">
        <v>258</v>
      </c>
      <c r="F26" s="104" t="s">
        <v>145</v>
      </c>
      <c r="G26" s="104" t="s">
        <v>245</v>
      </c>
      <c r="H26" s="104" t="s">
        <v>150</v>
      </c>
      <c r="I26" s="104" t="s">
        <v>259</v>
      </c>
      <c r="J26" s="104" t="s">
        <v>246</v>
      </c>
      <c r="K26" s="269">
        <f t="shared" si="2"/>
        <v>69</v>
      </c>
      <c r="L26" s="269">
        <f t="shared" si="0"/>
        <v>74</v>
      </c>
      <c r="M26" s="269">
        <f t="shared" si="0"/>
        <v>73</v>
      </c>
      <c r="N26" s="269">
        <f t="shared" si="0"/>
        <v>67</v>
      </c>
      <c r="O26" s="269">
        <f t="shared" si="0"/>
        <v>72</v>
      </c>
      <c r="P26" s="269">
        <f t="shared" si="0"/>
        <v>68</v>
      </c>
      <c r="Q26" s="269">
        <f t="shared" si="0"/>
        <v>76</v>
      </c>
      <c r="R26" s="269">
        <f t="shared" si="0"/>
        <v>75</v>
      </c>
      <c r="S26" s="269"/>
      <c r="T26" s="269">
        <f t="shared" si="3"/>
        <v>67</v>
      </c>
      <c r="U26" s="269">
        <f t="shared" si="4"/>
        <v>68</v>
      </c>
      <c r="V26" s="269">
        <f t="shared" si="5"/>
        <v>69</v>
      </c>
      <c r="W26" s="269">
        <f t="shared" si="6"/>
        <v>72</v>
      </c>
      <c r="X26" s="269">
        <f t="shared" si="7"/>
        <v>73</v>
      </c>
      <c r="Y26" s="269">
        <f t="shared" si="8"/>
        <v>74</v>
      </c>
      <c r="Z26" s="269">
        <f t="shared" si="9"/>
        <v>75</v>
      </c>
      <c r="AA26" s="269">
        <f t="shared" si="10"/>
        <v>76</v>
      </c>
    </row>
    <row r="27" spans="1:27">
      <c r="A27" s="104">
        <v>26</v>
      </c>
      <c r="B27" s="104" t="str">
        <f t="shared" si="1"/>
        <v>CDEGIJKL</v>
      </c>
      <c r="C27" s="104" t="s">
        <v>151</v>
      </c>
      <c r="D27" s="104" t="s">
        <v>231</v>
      </c>
      <c r="E27" s="104" t="s">
        <v>258</v>
      </c>
      <c r="F27" s="104" t="s">
        <v>145</v>
      </c>
      <c r="G27" s="104" t="s">
        <v>232</v>
      </c>
      <c r="H27" s="104" t="s">
        <v>150</v>
      </c>
      <c r="I27" s="104" t="s">
        <v>259</v>
      </c>
      <c r="J27" s="104" t="s">
        <v>246</v>
      </c>
      <c r="K27" s="269">
        <f t="shared" si="2"/>
        <v>69</v>
      </c>
      <c r="L27" s="269">
        <f t="shared" si="0"/>
        <v>71</v>
      </c>
      <c r="M27" s="269">
        <f t="shared" si="0"/>
        <v>73</v>
      </c>
      <c r="N27" s="269">
        <f t="shared" si="0"/>
        <v>67</v>
      </c>
      <c r="O27" s="269">
        <f t="shared" si="0"/>
        <v>74</v>
      </c>
      <c r="P27" s="269">
        <f t="shared" si="0"/>
        <v>68</v>
      </c>
      <c r="Q27" s="269">
        <f t="shared" si="0"/>
        <v>76</v>
      </c>
      <c r="R27" s="269">
        <f t="shared" si="0"/>
        <v>75</v>
      </c>
      <c r="S27" s="269"/>
      <c r="T27" s="269">
        <f t="shared" si="3"/>
        <v>67</v>
      </c>
      <c r="U27" s="269">
        <f t="shared" si="4"/>
        <v>68</v>
      </c>
      <c r="V27" s="269">
        <f t="shared" si="5"/>
        <v>69</v>
      </c>
      <c r="W27" s="269">
        <f t="shared" si="6"/>
        <v>71</v>
      </c>
      <c r="X27" s="269">
        <f t="shared" si="7"/>
        <v>73</v>
      </c>
      <c r="Y27" s="269">
        <f t="shared" si="8"/>
        <v>74</v>
      </c>
      <c r="Z27" s="269">
        <f t="shared" si="9"/>
        <v>75</v>
      </c>
      <c r="AA27" s="269">
        <f t="shared" si="10"/>
        <v>76</v>
      </c>
    </row>
    <row r="28" spans="1:27">
      <c r="A28" s="104">
        <v>27</v>
      </c>
      <c r="B28" s="104" t="str">
        <f t="shared" si="1"/>
        <v>CDEGHJKL</v>
      </c>
      <c r="C28" s="104" t="s">
        <v>151</v>
      </c>
      <c r="D28" s="104" t="s">
        <v>231</v>
      </c>
      <c r="E28" s="104" t="s">
        <v>232</v>
      </c>
      <c r="F28" s="104" t="s">
        <v>145</v>
      </c>
      <c r="G28" s="104" t="s">
        <v>245</v>
      </c>
      <c r="H28" s="104" t="s">
        <v>150</v>
      </c>
      <c r="I28" s="104" t="s">
        <v>259</v>
      </c>
      <c r="J28" s="104" t="s">
        <v>246</v>
      </c>
      <c r="K28" s="269">
        <f t="shared" si="2"/>
        <v>69</v>
      </c>
      <c r="L28" s="269">
        <f t="shared" si="0"/>
        <v>71</v>
      </c>
      <c r="M28" s="269">
        <f t="shared" si="0"/>
        <v>74</v>
      </c>
      <c r="N28" s="269">
        <f t="shared" si="0"/>
        <v>67</v>
      </c>
      <c r="O28" s="269">
        <f t="shared" si="0"/>
        <v>72</v>
      </c>
      <c r="P28" s="269">
        <f t="shared" si="0"/>
        <v>68</v>
      </c>
      <c r="Q28" s="269">
        <f t="shared" si="0"/>
        <v>76</v>
      </c>
      <c r="R28" s="269">
        <f t="shared" si="0"/>
        <v>75</v>
      </c>
      <c r="S28" s="269"/>
      <c r="T28" s="269">
        <f t="shared" si="3"/>
        <v>67</v>
      </c>
      <c r="U28" s="269">
        <f t="shared" si="4"/>
        <v>68</v>
      </c>
      <c r="V28" s="269">
        <f t="shared" si="5"/>
        <v>69</v>
      </c>
      <c r="W28" s="269">
        <f t="shared" si="6"/>
        <v>71</v>
      </c>
      <c r="X28" s="269">
        <f t="shared" si="7"/>
        <v>72</v>
      </c>
      <c r="Y28" s="269">
        <f t="shared" si="8"/>
        <v>74</v>
      </c>
      <c r="Z28" s="269">
        <f t="shared" si="9"/>
        <v>75</v>
      </c>
      <c r="AA28" s="269">
        <f t="shared" si="10"/>
        <v>76</v>
      </c>
    </row>
    <row r="29" spans="1:27">
      <c r="A29" s="104">
        <v>28</v>
      </c>
      <c r="B29" s="104" t="str">
        <f t="shared" si="1"/>
        <v>CDEGHIKL</v>
      </c>
      <c r="C29" s="104" t="s">
        <v>151</v>
      </c>
      <c r="D29" s="104" t="s">
        <v>231</v>
      </c>
      <c r="E29" s="104" t="s">
        <v>258</v>
      </c>
      <c r="F29" s="104" t="s">
        <v>145</v>
      </c>
      <c r="G29" s="104" t="s">
        <v>245</v>
      </c>
      <c r="H29" s="104" t="s">
        <v>150</v>
      </c>
      <c r="I29" s="104" t="s">
        <v>259</v>
      </c>
      <c r="J29" s="104" t="s">
        <v>246</v>
      </c>
      <c r="K29" s="269">
        <f t="shared" si="2"/>
        <v>69</v>
      </c>
      <c r="L29" s="269">
        <f t="shared" si="0"/>
        <v>71</v>
      </c>
      <c r="M29" s="269">
        <f t="shared" si="0"/>
        <v>73</v>
      </c>
      <c r="N29" s="269">
        <f t="shared" si="0"/>
        <v>67</v>
      </c>
      <c r="O29" s="269">
        <f t="shared" si="0"/>
        <v>72</v>
      </c>
      <c r="P29" s="269">
        <f t="shared" si="0"/>
        <v>68</v>
      </c>
      <c r="Q29" s="269">
        <f t="shared" si="0"/>
        <v>76</v>
      </c>
      <c r="R29" s="269">
        <f t="shared" si="0"/>
        <v>75</v>
      </c>
      <c r="S29" s="269"/>
      <c r="T29" s="269">
        <f t="shared" si="3"/>
        <v>67</v>
      </c>
      <c r="U29" s="269">
        <f t="shared" si="4"/>
        <v>68</v>
      </c>
      <c r="V29" s="269">
        <f t="shared" si="5"/>
        <v>69</v>
      </c>
      <c r="W29" s="269">
        <f t="shared" si="6"/>
        <v>71</v>
      </c>
      <c r="X29" s="269">
        <f t="shared" si="7"/>
        <v>72</v>
      </c>
      <c r="Y29" s="269">
        <f t="shared" si="8"/>
        <v>73</v>
      </c>
      <c r="Z29" s="269">
        <f t="shared" si="9"/>
        <v>75</v>
      </c>
      <c r="AA29" s="269">
        <f t="shared" si="10"/>
        <v>76</v>
      </c>
    </row>
    <row r="30" spans="1:27">
      <c r="A30" s="104">
        <v>29</v>
      </c>
      <c r="B30" s="104" t="str">
        <f t="shared" si="1"/>
        <v>CDEGHIJL</v>
      </c>
      <c r="C30" s="104" t="s">
        <v>151</v>
      </c>
      <c r="D30" s="104" t="s">
        <v>231</v>
      </c>
      <c r="E30" s="104" t="s">
        <v>232</v>
      </c>
      <c r="F30" s="104" t="s">
        <v>145</v>
      </c>
      <c r="G30" s="104" t="s">
        <v>245</v>
      </c>
      <c r="H30" s="104" t="s">
        <v>150</v>
      </c>
      <c r="I30" s="104" t="s">
        <v>259</v>
      </c>
      <c r="J30" s="104" t="s">
        <v>258</v>
      </c>
      <c r="K30" s="269">
        <f t="shared" si="2"/>
        <v>69</v>
      </c>
      <c r="L30" s="269">
        <f t="shared" si="0"/>
        <v>71</v>
      </c>
      <c r="M30" s="269">
        <f t="shared" si="0"/>
        <v>74</v>
      </c>
      <c r="N30" s="269">
        <f t="shared" si="0"/>
        <v>67</v>
      </c>
      <c r="O30" s="269">
        <f t="shared" si="0"/>
        <v>72</v>
      </c>
      <c r="P30" s="269">
        <f t="shared" si="0"/>
        <v>68</v>
      </c>
      <c r="Q30" s="269">
        <f t="shared" si="0"/>
        <v>76</v>
      </c>
      <c r="R30" s="269">
        <f t="shared" si="0"/>
        <v>73</v>
      </c>
      <c r="S30" s="269"/>
      <c r="T30" s="269">
        <f t="shared" si="3"/>
        <v>67</v>
      </c>
      <c r="U30" s="269">
        <f t="shared" si="4"/>
        <v>68</v>
      </c>
      <c r="V30" s="269">
        <f t="shared" si="5"/>
        <v>69</v>
      </c>
      <c r="W30" s="269">
        <f t="shared" si="6"/>
        <v>71</v>
      </c>
      <c r="X30" s="269">
        <f t="shared" si="7"/>
        <v>72</v>
      </c>
      <c r="Y30" s="269">
        <f t="shared" si="8"/>
        <v>73</v>
      </c>
      <c r="Z30" s="269">
        <f t="shared" si="9"/>
        <v>74</v>
      </c>
      <c r="AA30" s="269">
        <f t="shared" si="10"/>
        <v>76</v>
      </c>
    </row>
    <row r="31" spans="1:27">
      <c r="A31" s="104">
        <v>30</v>
      </c>
      <c r="B31" s="104" t="str">
        <f t="shared" si="1"/>
        <v>CDEGHIJK</v>
      </c>
      <c r="C31" s="104" t="s">
        <v>151</v>
      </c>
      <c r="D31" s="104" t="s">
        <v>231</v>
      </c>
      <c r="E31" s="104" t="s">
        <v>232</v>
      </c>
      <c r="F31" s="104" t="s">
        <v>145</v>
      </c>
      <c r="G31" s="104" t="s">
        <v>245</v>
      </c>
      <c r="H31" s="104" t="s">
        <v>150</v>
      </c>
      <c r="I31" s="104" t="s">
        <v>258</v>
      </c>
      <c r="J31" s="104" t="s">
        <v>246</v>
      </c>
      <c r="K31" s="269">
        <f t="shared" si="2"/>
        <v>69</v>
      </c>
      <c r="L31" s="269">
        <f t="shared" si="0"/>
        <v>71</v>
      </c>
      <c r="M31" s="269">
        <f t="shared" si="0"/>
        <v>74</v>
      </c>
      <c r="N31" s="269">
        <f t="shared" si="0"/>
        <v>67</v>
      </c>
      <c r="O31" s="269">
        <f t="shared" si="0"/>
        <v>72</v>
      </c>
      <c r="P31" s="269">
        <f t="shared" si="0"/>
        <v>68</v>
      </c>
      <c r="Q31" s="269">
        <f t="shared" si="0"/>
        <v>73</v>
      </c>
      <c r="R31" s="269">
        <f t="shared" si="0"/>
        <v>75</v>
      </c>
      <c r="S31" s="269"/>
      <c r="T31" s="269">
        <f t="shared" si="3"/>
        <v>67</v>
      </c>
      <c r="U31" s="269">
        <f t="shared" si="4"/>
        <v>68</v>
      </c>
      <c r="V31" s="269">
        <f t="shared" si="5"/>
        <v>69</v>
      </c>
      <c r="W31" s="269">
        <f t="shared" si="6"/>
        <v>71</v>
      </c>
      <c r="X31" s="269">
        <f t="shared" si="7"/>
        <v>72</v>
      </c>
      <c r="Y31" s="269">
        <f t="shared" si="8"/>
        <v>73</v>
      </c>
      <c r="Z31" s="269">
        <f t="shared" si="9"/>
        <v>74</v>
      </c>
      <c r="AA31" s="269">
        <f t="shared" si="10"/>
        <v>75</v>
      </c>
    </row>
    <row r="32" spans="1:27">
      <c r="A32" s="104">
        <v>31</v>
      </c>
      <c r="B32" s="104" t="str">
        <f t="shared" si="1"/>
        <v>CDEFIJKL</v>
      </c>
      <c r="C32" s="104" t="s">
        <v>145</v>
      </c>
      <c r="D32" s="104" t="s">
        <v>232</v>
      </c>
      <c r="E32" s="104" t="s">
        <v>151</v>
      </c>
      <c r="F32" s="104" t="s">
        <v>150</v>
      </c>
      <c r="G32" s="104" t="s">
        <v>258</v>
      </c>
      <c r="H32" s="104" t="s">
        <v>152</v>
      </c>
      <c r="I32" s="104" t="s">
        <v>259</v>
      </c>
      <c r="J32" s="104" t="s">
        <v>246</v>
      </c>
      <c r="K32" s="269">
        <f t="shared" si="2"/>
        <v>67</v>
      </c>
      <c r="L32" s="269">
        <f t="shared" si="0"/>
        <v>74</v>
      </c>
      <c r="M32" s="269">
        <f t="shared" si="0"/>
        <v>69</v>
      </c>
      <c r="N32" s="269">
        <f t="shared" si="0"/>
        <v>68</v>
      </c>
      <c r="O32" s="269">
        <f t="shared" si="0"/>
        <v>73</v>
      </c>
      <c r="P32" s="269">
        <f t="shared" si="0"/>
        <v>70</v>
      </c>
      <c r="Q32" s="269">
        <f t="shared" si="0"/>
        <v>76</v>
      </c>
      <c r="R32" s="269">
        <f t="shared" si="0"/>
        <v>75</v>
      </c>
      <c r="S32" s="269"/>
      <c r="T32" s="269">
        <f t="shared" si="3"/>
        <v>67</v>
      </c>
      <c r="U32" s="269">
        <f t="shared" si="4"/>
        <v>68</v>
      </c>
      <c r="V32" s="269">
        <f t="shared" si="5"/>
        <v>69</v>
      </c>
      <c r="W32" s="269">
        <f t="shared" si="6"/>
        <v>70</v>
      </c>
      <c r="X32" s="269">
        <f t="shared" si="7"/>
        <v>73</v>
      </c>
      <c r="Y32" s="269">
        <f t="shared" si="8"/>
        <v>74</v>
      </c>
      <c r="Z32" s="269">
        <f t="shared" si="9"/>
        <v>75</v>
      </c>
      <c r="AA32" s="269">
        <f t="shared" si="10"/>
        <v>76</v>
      </c>
    </row>
    <row r="33" spans="1:27">
      <c r="A33" s="104">
        <v>32</v>
      </c>
      <c r="B33" s="104" t="str">
        <f t="shared" si="1"/>
        <v>CDEFHJKL</v>
      </c>
      <c r="C33" s="104" t="s">
        <v>145</v>
      </c>
      <c r="D33" s="104" t="s">
        <v>232</v>
      </c>
      <c r="E33" s="104" t="s">
        <v>151</v>
      </c>
      <c r="F33" s="104" t="s">
        <v>150</v>
      </c>
      <c r="G33" s="104" t="s">
        <v>245</v>
      </c>
      <c r="H33" s="104" t="s">
        <v>152</v>
      </c>
      <c r="I33" s="104" t="s">
        <v>259</v>
      </c>
      <c r="J33" s="104" t="s">
        <v>246</v>
      </c>
      <c r="K33" s="269">
        <f t="shared" si="2"/>
        <v>67</v>
      </c>
      <c r="L33" s="269">
        <f t="shared" si="0"/>
        <v>74</v>
      </c>
      <c r="M33" s="269">
        <f t="shared" si="0"/>
        <v>69</v>
      </c>
      <c r="N33" s="269">
        <f t="shared" si="0"/>
        <v>68</v>
      </c>
      <c r="O33" s="269">
        <f t="shared" si="0"/>
        <v>72</v>
      </c>
      <c r="P33" s="269">
        <f t="shared" si="0"/>
        <v>70</v>
      </c>
      <c r="Q33" s="269">
        <f t="shared" si="0"/>
        <v>76</v>
      </c>
      <c r="R33" s="269">
        <f t="shared" si="0"/>
        <v>75</v>
      </c>
      <c r="S33" s="269"/>
      <c r="T33" s="269">
        <f t="shared" si="3"/>
        <v>67</v>
      </c>
      <c r="U33" s="269">
        <f t="shared" si="4"/>
        <v>68</v>
      </c>
      <c r="V33" s="269">
        <f t="shared" si="5"/>
        <v>69</v>
      </c>
      <c r="W33" s="269">
        <f t="shared" si="6"/>
        <v>70</v>
      </c>
      <c r="X33" s="269">
        <f t="shared" si="7"/>
        <v>72</v>
      </c>
      <c r="Y33" s="269">
        <f t="shared" si="8"/>
        <v>74</v>
      </c>
      <c r="Z33" s="269">
        <f t="shared" si="9"/>
        <v>75</v>
      </c>
      <c r="AA33" s="269">
        <f t="shared" si="10"/>
        <v>76</v>
      </c>
    </row>
    <row r="34" spans="1:27">
      <c r="A34" s="104">
        <v>33</v>
      </c>
      <c r="B34" s="104" t="str">
        <f t="shared" si="1"/>
        <v>CDEFHIKL</v>
      </c>
      <c r="C34" s="104" t="s">
        <v>145</v>
      </c>
      <c r="D34" s="104" t="s">
        <v>151</v>
      </c>
      <c r="E34" s="104" t="s">
        <v>258</v>
      </c>
      <c r="F34" s="104" t="s">
        <v>150</v>
      </c>
      <c r="G34" s="104" t="s">
        <v>245</v>
      </c>
      <c r="H34" s="104" t="s">
        <v>152</v>
      </c>
      <c r="I34" s="104" t="s">
        <v>259</v>
      </c>
      <c r="J34" s="104" t="s">
        <v>246</v>
      </c>
      <c r="K34" s="269">
        <f t="shared" si="2"/>
        <v>67</v>
      </c>
      <c r="L34" s="269">
        <f t="shared" si="0"/>
        <v>69</v>
      </c>
      <c r="M34" s="269">
        <f t="shared" si="0"/>
        <v>73</v>
      </c>
      <c r="N34" s="269">
        <f t="shared" si="0"/>
        <v>68</v>
      </c>
      <c r="O34" s="269">
        <f t="shared" si="0"/>
        <v>72</v>
      </c>
      <c r="P34" s="269">
        <f t="shared" si="0"/>
        <v>70</v>
      </c>
      <c r="Q34" s="269">
        <f t="shared" si="0"/>
        <v>76</v>
      </c>
      <c r="R34" s="269">
        <f t="shared" si="0"/>
        <v>75</v>
      </c>
      <c r="S34" s="269"/>
      <c r="T34" s="269">
        <f t="shared" si="3"/>
        <v>67</v>
      </c>
      <c r="U34" s="269">
        <f t="shared" si="4"/>
        <v>68</v>
      </c>
      <c r="V34" s="269">
        <f t="shared" si="5"/>
        <v>69</v>
      </c>
      <c r="W34" s="269">
        <f t="shared" si="6"/>
        <v>70</v>
      </c>
      <c r="X34" s="269">
        <f t="shared" si="7"/>
        <v>72</v>
      </c>
      <c r="Y34" s="269">
        <f t="shared" si="8"/>
        <v>73</v>
      </c>
      <c r="Z34" s="269">
        <f t="shared" si="9"/>
        <v>75</v>
      </c>
      <c r="AA34" s="269">
        <f t="shared" si="10"/>
        <v>76</v>
      </c>
    </row>
    <row r="35" spans="1:27">
      <c r="A35" s="104">
        <v>34</v>
      </c>
      <c r="B35" s="104" t="str">
        <f t="shared" si="1"/>
        <v>CDEFHIJL</v>
      </c>
      <c r="C35" s="104" t="s">
        <v>145</v>
      </c>
      <c r="D35" s="104" t="s">
        <v>232</v>
      </c>
      <c r="E35" s="104" t="s">
        <v>151</v>
      </c>
      <c r="F35" s="104" t="s">
        <v>150</v>
      </c>
      <c r="G35" s="104" t="s">
        <v>245</v>
      </c>
      <c r="H35" s="104" t="s">
        <v>152</v>
      </c>
      <c r="I35" s="104" t="s">
        <v>259</v>
      </c>
      <c r="J35" s="104" t="s">
        <v>258</v>
      </c>
      <c r="K35" s="269">
        <f t="shared" si="2"/>
        <v>67</v>
      </c>
      <c r="L35" s="269">
        <f t="shared" si="0"/>
        <v>74</v>
      </c>
      <c r="M35" s="269">
        <f t="shared" si="0"/>
        <v>69</v>
      </c>
      <c r="N35" s="269">
        <f t="shared" si="0"/>
        <v>68</v>
      </c>
      <c r="O35" s="269">
        <f t="shared" si="0"/>
        <v>72</v>
      </c>
      <c r="P35" s="269">
        <f t="shared" si="0"/>
        <v>70</v>
      </c>
      <c r="Q35" s="269">
        <f t="shared" si="0"/>
        <v>76</v>
      </c>
      <c r="R35" s="269">
        <f t="shared" si="0"/>
        <v>73</v>
      </c>
      <c r="S35" s="269"/>
      <c r="T35" s="269">
        <f t="shared" si="3"/>
        <v>67</v>
      </c>
      <c r="U35" s="269">
        <f t="shared" si="4"/>
        <v>68</v>
      </c>
      <c r="V35" s="269">
        <f t="shared" si="5"/>
        <v>69</v>
      </c>
      <c r="W35" s="269">
        <f t="shared" si="6"/>
        <v>70</v>
      </c>
      <c r="X35" s="269">
        <f t="shared" si="7"/>
        <v>72</v>
      </c>
      <c r="Y35" s="269">
        <f t="shared" si="8"/>
        <v>73</v>
      </c>
      <c r="Z35" s="269">
        <f t="shared" si="9"/>
        <v>74</v>
      </c>
      <c r="AA35" s="269">
        <f t="shared" si="10"/>
        <v>76</v>
      </c>
    </row>
    <row r="36" spans="1:27">
      <c r="A36" s="104">
        <v>35</v>
      </c>
      <c r="B36" s="104" t="str">
        <f t="shared" si="1"/>
        <v>CDEFHIJK</v>
      </c>
      <c r="C36" s="104" t="s">
        <v>145</v>
      </c>
      <c r="D36" s="104" t="s">
        <v>232</v>
      </c>
      <c r="E36" s="104" t="s">
        <v>151</v>
      </c>
      <c r="F36" s="104" t="s">
        <v>150</v>
      </c>
      <c r="G36" s="104" t="s">
        <v>245</v>
      </c>
      <c r="H36" s="104" t="s">
        <v>152</v>
      </c>
      <c r="I36" s="104" t="s">
        <v>258</v>
      </c>
      <c r="J36" s="104" t="s">
        <v>246</v>
      </c>
      <c r="K36" s="269">
        <f t="shared" si="2"/>
        <v>67</v>
      </c>
      <c r="L36" s="269">
        <f t="shared" si="0"/>
        <v>74</v>
      </c>
      <c r="M36" s="269">
        <f t="shared" si="0"/>
        <v>69</v>
      </c>
      <c r="N36" s="269">
        <f t="shared" si="0"/>
        <v>68</v>
      </c>
      <c r="O36" s="269">
        <f t="shared" si="0"/>
        <v>72</v>
      </c>
      <c r="P36" s="269">
        <f t="shared" si="0"/>
        <v>70</v>
      </c>
      <c r="Q36" s="269">
        <f t="shared" si="0"/>
        <v>73</v>
      </c>
      <c r="R36" s="269">
        <f t="shared" si="0"/>
        <v>75</v>
      </c>
      <c r="S36" s="269"/>
      <c r="T36" s="269">
        <f t="shared" si="3"/>
        <v>67</v>
      </c>
      <c r="U36" s="269">
        <f t="shared" si="4"/>
        <v>68</v>
      </c>
      <c r="V36" s="269">
        <f t="shared" si="5"/>
        <v>69</v>
      </c>
      <c r="W36" s="269">
        <f t="shared" si="6"/>
        <v>70</v>
      </c>
      <c r="X36" s="269">
        <f t="shared" si="7"/>
        <v>72</v>
      </c>
      <c r="Y36" s="269">
        <f t="shared" si="8"/>
        <v>73</v>
      </c>
      <c r="Z36" s="269">
        <f t="shared" si="9"/>
        <v>74</v>
      </c>
      <c r="AA36" s="269">
        <f t="shared" si="10"/>
        <v>75</v>
      </c>
    </row>
    <row r="37" spans="1:27">
      <c r="A37" s="104">
        <v>36</v>
      </c>
      <c r="B37" s="104" t="str">
        <f t="shared" si="1"/>
        <v>CDEFGJKL</v>
      </c>
      <c r="C37" s="104" t="s">
        <v>145</v>
      </c>
      <c r="D37" s="104" t="s">
        <v>231</v>
      </c>
      <c r="E37" s="104" t="s">
        <v>151</v>
      </c>
      <c r="F37" s="104" t="s">
        <v>150</v>
      </c>
      <c r="G37" s="104" t="s">
        <v>232</v>
      </c>
      <c r="H37" s="104" t="s">
        <v>152</v>
      </c>
      <c r="I37" s="104" t="s">
        <v>259</v>
      </c>
      <c r="J37" s="104" t="s">
        <v>246</v>
      </c>
      <c r="K37" s="269">
        <f t="shared" si="2"/>
        <v>67</v>
      </c>
      <c r="L37" s="269">
        <f t="shared" si="0"/>
        <v>71</v>
      </c>
      <c r="M37" s="269">
        <f t="shared" si="0"/>
        <v>69</v>
      </c>
      <c r="N37" s="269">
        <f t="shared" si="0"/>
        <v>68</v>
      </c>
      <c r="O37" s="269">
        <f t="shared" si="0"/>
        <v>74</v>
      </c>
      <c r="P37" s="269">
        <f t="shared" si="0"/>
        <v>70</v>
      </c>
      <c r="Q37" s="269">
        <f t="shared" si="0"/>
        <v>76</v>
      </c>
      <c r="R37" s="269">
        <f t="shared" si="0"/>
        <v>75</v>
      </c>
      <c r="S37" s="269"/>
      <c r="T37" s="269">
        <f t="shared" si="3"/>
        <v>67</v>
      </c>
      <c r="U37" s="269">
        <f t="shared" si="4"/>
        <v>68</v>
      </c>
      <c r="V37" s="269">
        <f t="shared" si="5"/>
        <v>69</v>
      </c>
      <c r="W37" s="269">
        <f t="shared" si="6"/>
        <v>70</v>
      </c>
      <c r="X37" s="269">
        <f t="shared" si="7"/>
        <v>71</v>
      </c>
      <c r="Y37" s="269">
        <f t="shared" si="8"/>
        <v>74</v>
      </c>
      <c r="Z37" s="269">
        <f t="shared" si="9"/>
        <v>75</v>
      </c>
      <c r="AA37" s="269">
        <f t="shared" si="10"/>
        <v>76</v>
      </c>
    </row>
    <row r="38" spans="1:27">
      <c r="A38" s="104">
        <v>37</v>
      </c>
      <c r="B38" s="104" t="str">
        <f t="shared" si="1"/>
        <v>CDEFGIKL</v>
      </c>
      <c r="C38" s="104" t="s">
        <v>145</v>
      </c>
      <c r="D38" s="104" t="s">
        <v>231</v>
      </c>
      <c r="E38" s="104" t="s">
        <v>151</v>
      </c>
      <c r="F38" s="104" t="s">
        <v>150</v>
      </c>
      <c r="G38" s="104" t="s">
        <v>258</v>
      </c>
      <c r="H38" s="104" t="s">
        <v>152</v>
      </c>
      <c r="I38" s="104" t="s">
        <v>259</v>
      </c>
      <c r="J38" s="104" t="s">
        <v>246</v>
      </c>
      <c r="K38" s="269">
        <f t="shared" si="2"/>
        <v>67</v>
      </c>
      <c r="L38" s="269">
        <f t="shared" si="0"/>
        <v>71</v>
      </c>
      <c r="M38" s="269">
        <f t="shared" si="0"/>
        <v>69</v>
      </c>
      <c r="N38" s="269">
        <f t="shared" si="0"/>
        <v>68</v>
      </c>
      <c r="O38" s="269">
        <f t="shared" ref="O38:R101" si="11">CODE(MID(G38,2,1))</f>
        <v>73</v>
      </c>
      <c r="P38" s="269">
        <f t="shared" si="11"/>
        <v>70</v>
      </c>
      <c r="Q38" s="269">
        <f t="shared" si="11"/>
        <v>76</v>
      </c>
      <c r="R38" s="269">
        <f t="shared" si="11"/>
        <v>75</v>
      </c>
      <c r="S38" s="269"/>
      <c r="T38" s="269">
        <f t="shared" si="3"/>
        <v>67</v>
      </c>
      <c r="U38" s="269">
        <f t="shared" si="4"/>
        <v>68</v>
      </c>
      <c r="V38" s="269">
        <f t="shared" si="5"/>
        <v>69</v>
      </c>
      <c r="W38" s="269">
        <f t="shared" si="6"/>
        <v>70</v>
      </c>
      <c r="X38" s="269">
        <f t="shared" si="7"/>
        <v>71</v>
      </c>
      <c r="Y38" s="269">
        <f t="shared" si="8"/>
        <v>73</v>
      </c>
      <c r="Z38" s="269">
        <f t="shared" si="9"/>
        <v>75</v>
      </c>
      <c r="AA38" s="269">
        <f t="shared" si="10"/>
        <v>76</v>
      </c>
    </row>
    <row r="39" spans="1:27">
      <c r="A39" s="104">
        <v>38</v>
      </c>
      <c r="B39" s="104" t="str">
        <f t="shared" si="1"/>
        <v>CDEFGIJL</v>
      </c>
      <c r="C39" s="104" t="s">
        <v>145</v>
      </c>
      <c r="D39" s="104" t="s">
        <v>231</v>
      </c>
      <c r="E39" s="104" t="s">
        <v>151</v>
      </c>
      <c r="F39" s="104" t="s">
        <v>150</v>
      </c>
      <c r="G39" s="104" t="s">
        <v>232</v>
      </c>
      <c r="H39" s="104" t="s">
        <v>152</v>
      </c>
      <c r="I39" s="104" t="s">
        <v>259</v>
      </c>
      <c r="J39" s="104" t="s">
        <v>258</v>
      </c>
      <c r="K39" s="269">
        <f t="shared" si="2"/>
        <v>67</v>
      </c>
      <c r="L39" s="269">
        <f t="shared" si="2"/>
        <v>71</v>
      </c>
      <c r="M39" s="269">
        <f t="shared" si="2"/>
        <v>69</v>
      </c>
      <c r="N39" s="269">
        <f t="shared" si="2"/>
        <v>68</v>
      </c>
      <c r="O39" s="269">
        <f t="shared" si="11"/>
        <v>74</v>
      </c>
      <c r="P39" s="269">
        <f t="shared" si="11"/>
        <v>70</v>
      </c>
      <c r="Q39" s="269">
        <f t="shared" si="11"/>
        <v>76</v>
      </c>
      <c r="R39" s="269">
        <f t="shared" si="11"/>
        <v>73</v>
      </c>
      <c r="S39" s="269"/>
      <c r="T39" s="269">
        <f t="shared" si="3"/>
        <v>67</v>
      </c>
      <c r="U39" s="269">
        <f t="shared" si="4"/>
        <v>68</v>
      </c>
      <c r="V39" s="269">
        <f t="shared" si="5"/>
        <v>69</v>
      </c>
      <c r="W39" s="269">
        <f t="shared" si="6"/>
        <v>70</v>
      </c>
      <c r="X39" s="269">
        <f t="shared" si="7"/>
        <v>71</v>
      </c>
      <c r="Y39" s="269">
        <f t="shared" si="8"/>
        <v>73</v>
      </c>
      <c r="Z39" s="269">
        <f t="shared" si="9"/>
        <v>74</v>
      </c>
      <c r="AA39" s="269">
        <f t="shared" si="10"/>
        <v>76</v>
      </c>
    </row>
    <row r="40" spans="1:27">
      <c r="A40" s="104">
        <v>39</v>
      </c>
      <c r="B40" s="104" t="str">
        <f t="shared" si="1"/>
        <v>CDEFGIJK</v>
      </c>
      <c r="C40" s="104" t="s">
        <v>145</v>
      </c>
      <c r="D40" s="104" t="s">
        <v>231</v>
      </c>
      <c r="E40" s="104" t="s">
        <v>151</v>
      </c>
      <c r="F40" s="104" t="s">
        <v>150</v>
      </c>
      <c r="G40" s="104" t="s">
        <v>232</v>
      </c>
      <c r="H40" s="104" t="s">
        <v>152</v>
      </c>
      <c r="I40" s="104" t="s">
        <v>258</v>
      </c>
      <c r="J40" s="104" t="s">
        <v>246</v>
      </c>
      <c r="K40" s="269">
        <f t="shared" si="2"/>
        <v>67</v>
      </c>
      <c r="L40" s="269">
        <f t="shared" si="2"/>
        <v>71</v>
      </c>
      <c r="M40" s="269">
        <f t="shared" si="2"/>
        <v>69</v>
      </c>
      <c r="N40" s="269">
        <f t="shared" si="2"/>
        <v>68</v>
      </c>
      <c r="O40" s="269">
        <f t="shared" si="11"/>
        <v>74</v>
      </c>
      <c r="P40" s="269">
        <f t="shared" si="11"/>
        <v>70</v>
      </c>
      <c r="Q40" s="269">
        <f t="shared" si="11"/>
        <v>73</v>
      </c>
      <c r="R40" s="269">
        <f t="shared" si="11"/>
        <v>75</v>
      </c>
      <c r="S40" s="269"/>
      <c r="T40" s="269">
        <f t="shared" si="3"/>
        <v>67</v>
      </c>
      <c r="U40" s="269">
        <f t="shared" si="4"/>
        <v>68</v>
      </c>
      <c r="V40" s="269">
        <f t="shared" si="5"/>
        <v>69</v>
      </c>
      <c r="W40" s="269">
        <f t="shared" si="6"/>
        <v>70</v>
      </c>
      <c r="X40" s="269">
        <f t="shared" si="7"/>
        <v>71</v>
      </c>
      <c r="Y40" s="269">
        <f t="shared" si="8"/>
        <v>73</v>
      </c>
      <c r="Z40" s="269">
        <f t="shared" si="9"/>
        <v>74</v>
      </c>
      <c r="AA40" s="269">
        <f t="shared" si="10"/>
        <v>75</v>
      </c>
    </row>
    <row r="41" spans="1:27">
      <c r="A41" s="104">
        <v>40</v>
      </c>
      <c r="B41" s="104" t="str">
        <f t="shared" si="1"/>
        <v>CDEFGHKL</v>
      </c>
      <c r="C41" s="104" t="s">
        <v>145</v>
      </c>
      <c r="D41" s="104" t="s">
        <v>231</v>
      </c>
      <c r="E41" s="104" t="s">
        <v>151</v>
      </c>
      <c r="F41" s="104" t="s">
        <v>150</v>
      </c>
      <c r="G41" s="104" t="s">
        <v>245</v>
      </c>
      <c r="H41" s="104" t="s">
        <v>152</v>
      </c>
      <c r="I41" s="104" t="s">
        <v>259</v>
      </c>
      <c r="J41" s="104" t="s">
        <v>246</v>
      </c>
      <c r="K41" s="269">
        <f t="shared" si="2"/>
        <v>67</v>
      </c>
      <c r="L41" s="269">
        <f t="shared" si="2"/>
        <v>71</v>
      </c>
      <c r="M41" s="269">
        <f t="shared" si="2"/>
        <v>69</v>
      </c>
      <c r="N41" s="269">
        <f t="shared" si="2"/>
        <v>68</v>
      </c>
      <c r="O41" s="269">
        <f t="shared" si="11"/>
        <v>72</v>
      </c>
      <c r="P41" s="269">
        <f t="shared" si="11"/>
        <v>70</v>
      </c>
      <c r="Q41" s="269">
        <f t="shared" si="11"/>
        <v>76</v>
      </c>
      <c r="R41" s="269">
        <f t="shared" si="11"/>
        <v>75</v>
      </c>
      <c r="S41" s="269"/>
      <c r="T41" s="269">
        <f t="shared" si="3"/>
        <v>67</v>
      </c>
      <c r="U41" s="269">
        <f t="shared" si="4"/>
        <v>68</v>
      </c>
      <c r="V41" s="269">
        <f t="shared" si="5"/>
        <v>69</v>
      </c>
      <c r="W41" s="269">
        <f t="shared" si="6"/>
        <v>70</v>
      </c>
      <c r="X41" s="269">
        <f t="shared" si="7"/>
        <v>71</v>
      </c>
      <c r="Y41" s="269">
        <f t="shared" si="8"/>
        <v>72</v>
      </c>
      <c r="Z41" s="269">
        <f t="shared" si="9"/>
        <v>75</v>
      </c>
      <c r="AA41" s="269">
        <f t="shared" si="10"/>
        <v>76</v>
      </c>
    </row>
    <row r="42" spans="1:27">
      <c r="A42" s="104">
        <v>41</v>
      </c>
      <c r="B42" s="104" t="str">
        <f t="shared" si="1"/>
        <v>CDEFGHJL</v>
      </c>
      <c r="C42" s="104" t="s">
        <v>145</v>
      </c>
      <c r="D42" s="104" t="s">
        <v>231</v>
      </c>
      <c r="E42" s="104" t="s">
        <v>232</v>
      </c>
      <c r="F42" s="104" t="s">
        <v>150</v>
      </c>
      <c r="G42" s="104" t="s">
        <v>245</v>
      </c>
      <c r="H42" s="104" t="s">
        <v>152</v>
      </c>
      <c r="I42" s="104" t="s">
        <v>259</v>
      </c>
      <c r="J42" s="104" t="s">
        <v>151</v>
      </c>
      <c r="K42" s="269">
        <f t="shared" si="2"/>
        <v>67</v>
      </c>
      <c r="L42" s="269">
        <f t="shared" si="2"/>
        <v>71</v>
      </c>
      <c r="M42" s="269">
        <f t="shared" si="2"/>
        <v>74</v>
      </c>
      <c r="N42" s="269">
        <f t="shared" si="2"/>
        <v>68</v>
      </c>
      <c r="O42" s="269">
        <f t="shared" si="11"/>
        <v>72</v>
      </c>
      <c r="P42" s="269">
        <f t="shared" si="11"/>
        <v>70</v>
      </c>
      <c r="Q42" s="269">
        <f t="shared" si="11"/>
        <v>76</v>
      </c>
      <c r="R42" s="269">
        <f t="shared" si="11"/>
        <v>69</v>
      </c>
      <c r="S42" s="269"/>
      <c r="T42" s="269">
        <f t="shared" si="3"/>
        <v>67</v>
      </c>
      <c r="U42" s="269">
        <f t="shared" si="4"/>
        <v>68</v>
      </c>
      <c r="V42" s="269">
        <f t="shared" si="5"/>
        <v>69</v>
      </c>
      <c r="W42" s="269">
        <f t="shared" si="6"/>
        <v>70</v>
      </c>
      <c r="X42" s="269">
        <f t="shared" si="7"/>
        <v>71</v>
      </c>
      <c r="Y42" s="269">
        <f t="shared" si="8"/>
        <v>72</v>
      </c>
      <c r="Z42" s="269">
        <f t="shared" si="9"/>
        <v>74</v>
      </c>
      <c r="AA42" s="269">
        <f t="shared" si="10"/>
        <v>76</v>
      </c>
    </row>
    <row r="43" spans="1:27">
      <c r="A43" s="104">
        <v>42</v>
      </c>
      <c r="B43" s="104" t="str">
        <f t="shared" si="1"/>
        <v>CDEFGHJK</v>
      </c>
      <c r="C43" s="104" t="s">
        <v>145</v>
      </c>
      <c r="D43" s="104" t="s">
        <v>231</v>
      </c>
      <c r="E43" s="104" t="s">
        <v>232</v>
      </c>
      <c r="F43" s="104" t="s">
        <v>150</v>
      </c>
      <c r="G43" s="104" t="s">
        <v>245</v>
      </c>
      <c r="H43" s="104" t="s">
        <v>152</v>
      </c>
      <c r="I43" s="104" t="s">
        <v>151</v>
      </c>
      <c r="J43" s="104" t="s">
        <v>246</v>
      </c>
      <c r="K43" s="269">
        <f t="shared" si="2"/>
        <v>67</v>
      </c>
      <c r="L43" s="269">
        <f t="shared" si="2"/>
        <v>71</v>
      </c>
      <c r="M43" s="269">
        <f t="shared" si="2"/>
        <v>74</v>
      </c>
      <c r="N43" s="269">
        <f t="shared" si="2"/>
        <v>68</v>
      </c>
      <c r="O43" s="269">
        <f t="shared" si="11"/>
        <v>72</v>
      </c>
      <c r="P43" s="269">
        <f t="shared" si="11"/>
        <v>70</v>
      </c>
      <c r="Q43" s="269">
        <f t="shared" si="11"/>
        <v>69</v>
      </c>
      <c r="R43" s="269">
        <f t="shared" si="11"/>
        <v>75</v>
      </c>
      <c r="S43" s="269"/>
      <c r="T43" s="269">
        <f t="shared" si="3"/>
        <v>67</v>
      </c>
      <c r="U43" s="269">
        <f t="shared" si="4"/>
        <v>68</v>
      </c>
      <c r="V43" s="269">
        <f t="shared" si="5"/>
        <v>69</v>
      </c>
      <c r="W43" s="269">
        <f t="shared" si="6"/>
        <v>70</v>
      </c>
      <c r="X43" s="269">
        <f t="shared" si="7"/>
        <v>71</v>
      </c>
      <c r="Y43" s="269">
        <f t="shared" si="8"/>
        <v>72</v>
      </c>
      <c r="Z43" s="269">
        <f t="shared" si="9"/>
        <v>74</v>
      </c>
      <c r="AA43" s="269">
        <f t="shared" si="10"/>
        <v>75</v>
      </c>
    </row>
    <row r="44" spans="1:27">
      <c r="A44" s="104">
        <v>43</v>
      </c>
      <c r="B44" s="104" t="str">
        <f t="shared" si="1"/>
        <v>CDEFGHIL</v>
      </c>
      <c r="C44" s="104" t="s">
        <v>145</v>
      </c>
      <c r="D44" s="104" t="s">
        <v>231</v>
      </c>
      <c r="E44" s="104" t="s">
        <v>151</v>
      </c>
      <c r="F44" s="104" t="s">
        <v>150</v>
      </c>
      <c r="G44" s="104" t="s">
        <v>245</v>
      </c>
      <c r="H44" s="104" t="s">
        <v>152</v>
      </c>
      <c r="I44" s="104" t="s">
        <v>259</v>
      </c>
      <c r="J44" s="104" t="s">
        <v>258</v>
      </c>
      <c r="K44" s="269">
        <f t="shared" si="2"/>
        <v>67</v>
      </c>
      <c r="L44" s="269">
        <f t="shared" si="2"/>
        <v>71</v>
      </c>
      <c r="M44" s="269">
        <f t="shared" si="2"/>
        <v>69</v>
      </c>
      <c r="N44" s="269">
        <f t="shared" si="2"/>
        <v>68</v>
      </c>
      <c r="O44" s="269">
        <f t="shared" si="11"/>
        <v>72</v>
      </c>
      <c r="P44" s="269">
        <f t="shared" si="11"/>
        <v>70</v>
      </c>
      <c r="Q44" s="269">
        <f t="shared" si="11"/>
        <v>76</v>
      </c>
      <c r="R44" s="269">
        <f t="shared" si="11"/>
        <v>73</v>
      </c>
      <c r="S44" s="269"/>
      <c r="T44" s="269">
        <f t="shared" si="3"/>
        <v>67</v>
      </c>
      <c r="U44" s="269">
        <f t="shared" si="4"/>
        <v>68</v>
      </c>
      <c r="V44" s="269">
        <f t="shared" si="5"/>
        <v>69</v>
      </c>
      <c r="W44" s="269">
        <f t="shared" si="6"/>
        <v>70</v>
      </c>
      <c r="X44" s="269">
        <f t="shared" si="7"/>
        <v>71</v>
      </c>
      <c r="Y44" s="269">
        <f t="shared" si="8"/>
        <v>72</v>
      </c>
      <c r="Z44" s="269">
        <f t="shared" si="9"/>
        <v>73</v>
      </c>
      <c r="AA44" s="269">
        <f t="shared" si="10"/>
        <v>76</v>
      </c>
    </row>
    <row r="45" spans="1:27">
      <c r="A45" s="104">
        <v>44</v>
      </c>
      <c r="B45" s="104" t="str">
        <f t="shared" si="1"/>
        <v>CDEFGHIK</v>
      </c>
      <c r="C45" s="104" t="s">
        <v>145</v>
      </c>
      <c r="D45" s="104" t="s">
        <v>231</v>
      </c>
      <c r="E45" s="104" t="s">
        <v>151</v>
      </c>
      <c r="F45" s="104" t="s">
        <v>150</v>
      </c>
      <c r="G45" s="104" t="s">
        <v>245</v>
      </c>
      <c r="H45" s="104" t="s">
        <v>152</v>
      </c>
      <c r="I45" s="104" t="s">
        <v>258</v>
      </c>
      <c r="J45" s="104" t="s">
        <v>246</v>
      </c>
      <c r="K45" s="269">
        <f t="shared" si="2"/>
        <v>67</v>
      </c>
      <c r="L45" s="269">
        <f t="shared" si="2"/>
        <v>71</v>
      </c>
      <c r="M45" s="269">
        <f t="shared" si="2"/>
        <v>69</v>
      </c>
      <c r="N45" s="269">
        <f t="shared" si="2"/>
        <v>68</v>
      </c>
      <c r="O45" s="269">
        <f t="shared" si="11"/>
        <v>72</v>
      </c>
      <c r="P45" s="269">
        <f t="shared" si="11"/>
        <v>70</v>
      </c>
      <c r="Q45" s="269">
        <f t="shared" si="11"/>
        <v>73</v>
      </c>
      <c r="R45" s="269">
        <f t="shared" si="11"/>
        <v>75</v>
      </c>
      <c r="S45" s="269"/>
      <c r="T45" s="269">
        <f t="shared" si="3"/>
        <v>67</v>
      </c>
      <c r="U45" s="269">
        <f t="shared" si="4"/>
        <v>68</v>
      </c>
      <c r="V45" s="269">
        <f t="shared" si="5"/>
        <v>69</v>
      </c>
      <c r="W45" s="269">
        <f t="shared" si="6"/>
        <v>70</v>
      </c>
      <c r="X45" s="269">
        <f t="shared" si="7"/>
        <v>71</v>
      </c>
      <c r="Y45" s="269">
        <f t="shared" si="8"/>
        <v>72</v>
      </c>
      <c r="Z45" s="269">
        <f t="shared" si="9"/>
        <v>73</v>
      </c>
      <c r="AA45" s="269">
        <f t="shared" si="10"/>
        <v>75</v>
      </c>
    </row>
    <row r="46" spans="1:27">
      <c r="A46" s="104">
        <v>45</v>
      </c>
      <c r="B46" s="104" t="str">
        <f t="shared" si="1"/>
        <v>CDEFGHIJ</v>
      </c>
      <c r="C46" s="104" t="s">
        <v>145</v>
      </c>
      <c r="D46" s="104" t="s">
        <v>231</v>
      </c>
      <c r="E46" s="104" t="s">
        <v>232</v>
      </c>
      <c r="F46" s="104" t="s">
        <v>150</v>
      </c>
      <c r="G46" s="104" t="s">
        <v>245</v>
      </c>
      <c r="H46" s="104" t="s">
        <v>152</v>
      </c>
      <c r="I46" s="104" t="s">
        <v>151</v>
      </c>
      <c r="J46" s="104" t="s">
        <v>258</v>
      </c>
      <c r="K46" s="269">
        <f t="shared" si="2"/>
        <v>67</v>
      </c>
      <c r="L46" s="269">
        <f t="shared" si="2"/>
        <v>71</v>
      </c>
      <c r="M46" s="269">
        <f t="shared" si="2"/>
        <v>74</v>
      </c>
      <c r="N46" s="269">
        <f t="shared" si="2"/>
        <v>68</v>
      </c>
      <c r="O46" s="269">
        <f t="shared" si="11"/>
        <v>72</v>
      </c>
      <c r="P46" s="269">
        <f t="shared" si="11"/>
        <v>70</v>
      </c>
      <c r="Q46" s="269">
        <f t="shared" si="11"/>
        <v>69</v>
      </c>
      <c r="R46" s="269">
        <f t="shared" si="11"/>
        <v>73</v>
      </c>
      <c r="S46" s="269"/>
      <c r="T46" s="269">
        <f t="shared" si="3"/>
        <v>67</v>
      </c>
      <c r="U46" s="269">
        <f t="shared" si="4"/>
        <v>68</v>
      </c>
      <c r="V46" s="269">
        <f t="shared" si="5"/>
        <v>69</v>
      </c>
      <c r="W46" s="269">
        <f t="shared" si="6"/>
        <v>70</v>
      </c>
      <c r="X46" s="269">
        <f t="shared" si="7"/>
        <v>71</v>
      </c>
      <c r="Y46" s="269">
        <f t="shared" si="8"/>
        <v>72</v>
      </c>
      <c r="Z46" s="269">
        <f t="shared" si="9"/>
        <v>73</v>
      </c>
      <c r="AA46" s="269">
        <f t="shared" si="10"/>
        <v>74</v>
      </c>
    </row>
    <row r="47" spans="1:27">
      <c r="A47" s="104">
        <v>46</v>
      </c>
      <c r="B47" s="104" t="str">
        <f t="shared" si="1"/>
        <v>BFGHIJKL</v>
      </c>
      <c r="C47" s="104" t="s">
        <v>245</v>
      </c>
      <c r="D47" s="104" t="s">
        <v>232</v>
      </c>
      <c r="E47" s="104" t="s">
        <v>144</v>
      </c>
      <c r="F47" s="104" t="s">
        <v>152</v>
      </c>
      <c r="G47" s="104" t="s">
        <v>258</v>
      </c>
      <c r="H47" s="104" t="s">
        <v>231</v>
      </c>
      <c r="I47" s="104" t="s">
        <v>259</v>
      </c>
      <c r="J47" s="104" t="s">
        <v>246</v>
      </c>
      <c r="K47" s="269">
        <f t="shared" si="2"/>
        <v>72</v>
      </c>
      <c r="L47" s="269">
        <f t="shared" si="2"/>
        <v>74</v>
      </c>
      <c r="M47" s="269">
        <f t="shared" si="2"/>
        <v>66</v>
      </c>
      <c r="N47" s="269">
        <f t="shared" si="2"/>
        <v>70</v>
      </c>
      <c r="O47" s="269">
        <f t="shared" si="11"/>
        <v>73</v>
      </c>
      <c r="P47" s="269">
        <f t="shared" si="11"/>
        <v>71</v>
      </c>
      <c r="Q47" s="269">
        <f t="shared" si="11"/>
        <v>76</v>
      </c>
      <c r="R47" s="269">
        <f t="shared" si="11"/>
        <v>75</v>
      </c>
      <c r="S47" s="269"/>
      <c r="T47" s="269">
        <f t="shared" si="3"/>
        <v>66</v>
      </c>
      <c r="U47" s="269">
        <f t="shared" si="4"/>
        <v>70</v>
      </c>
      <c r="V47" s="269">
        <f t="shared" si="5"/>
        <v>71</v>
      </c>
      <c r="W47" s="269">
        <f t="shared" si="6"/>
        <v>72</v>
      </c>
      <c r="X47" s="269">
        <f t="shared" si="7"/>
        <v>73</v>
      </c>
      <c r="Y47" s="269">
        <f t="shared" si="8"/>
        <v>74</v>
      </c>
      <c r="Z47" s="269">
        <f t="shared" si="9"/>
        <v>75</v>
      </c>
      <c r="AA47" s="269">
        <f t="shared" si="10"/>
        <v>76</v>
      </c>
    </row>
    <row r="48" spans="1:27">
      <c r="A48" s="104">
        <v>47</v>
      </c>
      <c r="B48" s="104" t="str">
        <f t="shared" si="1"/>
        <v>BEGHIJKL</v>
      </c>
      <c r="C48" s="104" t="s">
        <v>151</v>
      </c>
      <c r="D48" s="104" t="s">
        <v>232</v>
      </c>
      <c r="E48" s="104" t="s">
        <v>258</v>
      </c>
      <c r="F48" s="104" t="s">
        <v>144</v>
      </c>
      <c r="G48" s="104" t="s">
        <v>245</v>
      </c>
      <c r="H48" s="104" t="s">
        <v>231</v>
      </c>
      <c r="I48" s="104" t="s">
        <v>259</v>
      </c>
      <c r="J48" s="104" t="s">
        <v>246</v>
      </c>
      <c r="K48" s="269">
        <f t="shared" si="2"/>
        <v>69</v>
      </c>
      <c r="L48" s="269">
        <f t="shared" si="2"/>
        <v>74</v>
      </c>
      <c r="M48" s="269">
        <f t="shared" si="2"/>
        <v>73</v>
      </c>
      <c r="N48" s="269">
        <f t="shared" si="2"/>
        <v>66</v>
      </c>
      <c r="O48" s="269">
        <f t="shared" si="11"/>
        <v>72</v>
      </c>
      <c r="P48" s="269">
        <f t="shared" si="11"/>
        <v>71</v>
      </c>
      <c r="Q48" s="269">
        <f t="shared" si="11"/>
        <v>76</v>
      </c>
      <c r="R48" s="269">
        <f t="shared" si="11"/>
        <v>75</v>
      </c>
      <c r="S48" s="269"/>
      <c r="T48" s="269">
        <f t="shared" si="3"/>
        <v>66</v>
      </c>
      <c r="U48" s="269">
        <f t="shared" si="4"/>
        <v>69</v>
      </c>
      <c r="V48" s="269">
        <f t="shared" si="5"/>
        <v>71</v>
      </c>
      <c r="W48" s="269">
        <f t="shared" si="6"/>
        <v>72</v>
      </c>
      <c r="X48" s="269">
        <f t="shared" si="7"/>
        <v>73</v>
      </c>
      <c r="Y48" s="269">
        <f t="shared" si="8"/>
        <v>74</v>
      </c>
      <c r="Z48" s="269">
        <f t="shared" si="9"/>
        <v>75</v>
      </c>
      <c r="AA48" s="269">
        <f t="shared" si="10"/>
        <v>76</v>
      </c>
    </row>
    <row r="49" spans="1:27">
      <c r="A49" s="104">
        <v>48</v>
      </c>
      <c r="B49" s="104" t="str">
        <f t="shared" si="1"/>
        <v>BEFHIJKL</v>
      </c>
      <c r="C49" s="104" t="s">
        <v>151</v>
      </c>
      <c r="D49" s="104" t="s">
        <v>232</v>
      </c>
      <c r="E49" s="104" t="s">
        <v>144</v>
      </c>
      <c r="F49" s="104" t="s">
        <v>152</v>
      </c>
      <c r="G49" s="104" t="s">
        <v>258</v>
      </c>
      <c r="H49" s="104" t="s">
        <v>245</v>
      </c>
      <c r="I49" s="104" t="s">
        <v>259</v>
      </c>
      <c r="J49" s="104" t="s">
        <v>246</v>
      </c>
      <c r="K49" s="269">
        <f t="shared" si="2"/>
        <v>69</v>
      </c>
      <c r="L49" s="269">
        <f t="shared" si="2"/>
        <v>74</v>
      </c>
      <c r="M49" s="269">
        <f t="shared" si="2"/>
        <v>66</v>
      </c>
      <c r="N49" s="269">
        <f t="shared" si="2"/>
        <v>70</v>
      </c>
      <c r="O49" s="269">
        <f t="shared" si="11"/>
        <v>73</v>
      </c>
      <c r="P49" s="269">
        <f t="shared" si="11"/>
        <v>72</v>
      </c>
      <c r="Q49" s="269">
        <f t="shared" si="11"/>
        <v>76</v>
      </c>
      <c r="R49" s="269">
        <f t="shared" si="11"/>
        <v>75</v>
      </c>
      <c r="S49" s="269"/>
      <c r="T49" s="269">
        <f t="shared" si="3"/>
        <v>66</v>
      </c>
      <c r="U49" s="269">
        <f t="shared" si="4"/>
        <v>69</v>
      </c>
      <c r="V49" s="269">
        <f t="shared" si="5"/>
        <v>70</v>
      </c>
      <c r="W49" s="269">
        <f t="shared" si="6"/>
        <v>72</v>
      </c>
      <c r="X49" s="269">
        <f t="shared" si="7"/>
        <v>73</v>
      </c>
      <c r="Y49" s="269">
        <f t="shared" si="8"/>
        <v>74</v>
      </c>
      <c r="Z49" s="269">
        <f t="shared" si="9"/>
        <v>75</v>
      </c>
      <c r="AA49" s="269">
        <f t="shared" si="10"/>
        <v>76</v>
      </c>
    </row>
    <row r="50" spans="1:27">
      <c r="A50" s="104">
        <v>49</v>
      </c>
      <c r="B50" s="104" t="str">
        <f t="shared" si="1"/>
        <v>BEFGIJKL</v>
      </c>
      <c r="C50" s="104" t="s">
        <v>151</v>
      </c>
      <c r="D50" s="104" t="s">
        <v>232</v>
      </c>
      <c r="E50" s="104" t="s">
        <v>144</v>
      </c>
      <c r="F50" s="104" t="s">
        <v>152</v>
      </c>
      <c r="G50" s="104" t="s">
        <v>258</v>
      </c>
      <c r="H50" s="104" t="s">
        <v>231</v>
      </c>
      <c r="I50" s="104" t="s">
        <v>259</v>
      </c>
      <c r="J50" s="104" t="s">
        <v>246</v>
      </c>
      <c r="K50" s="269">
        <f t="shared" si="2"/>
        <v>69</v>
      </c>
      <c r="L50" s="269">
        <f t="shared" si="2"/>
        <v>74</v>
      </c>
      <c r="M50" s="269">
        <f t="shared" si="2"/>
        <v>66</v>
      </c>
      <c r="N50" s="269">
        <f t="shared" si="2"/>
        <v>70</v>
      </c>
      <c r="O50" s="269">
        <f t="shared" si="11"/>
        <v>73</v>
      </c>
      <c r="P50" s="269">
        <f t="shared" si="11"/>
        <v>71</v>
      </c>
      <c r="Q50" s="269">
        <f t="shared" si="11"/>
        <v>76</v>
      </c>
      <c r="R50" s="269">
        <f t="shared" si="11"/>
        <v>75</v>
      </c>
      <c r="S50" s="269"/>
      <c r="T50" s="269">
        <f t="shared" si="3"/>
        <v>66</v>
      </c>
      <c r="U50" s="269">
        <f t="shared" si="4"/>
        <v>69</v>
      </c>
      <c r="V50" s="269">
        <f t="shared" si="5"/>
        <v>70</v>
      </c>
      <c r="W50" s="269">
        <f t="shared" si="6"/>
        <v>71</v>
      </c>
      <c r="X50" s="269">
        <f t="shared" si="7"/>
        <v>73</v>
      </c>
      <c r="Y50" s="269">
        <f t="shared" si="8"/>
        <v>74</v>
      </c>
      <c r="Z50" s="269">
        <f t="shared" si="9"/>
        <v>75</v>
      </c>
      <c r="AA50" s="269">
        <f t="shared" si="10"/>
        <v>76</v>
      </c>
    </row>
    <row r="51" spans="1:27">
      <c r="A51" s="104">
        <v>50</v>
      </c>
      <c r="B51" s="104" t="str">
        <f t="shared" si="1"/>
        <v>BEFGHJKL</v>
      </c>
      <c r="C51" s="104" t="s">
        <v>151</v>
      </c>
      <c r="D51" s="104" t="s">
        <v>232</v>
      </c>
      <c r="E51" s="104" t="s">
        <v>144</v>
      </c>
      <c r="F51" s="104" t="s">
        <v>152</v>
      </c>
      <c r="G51" s="104" t="s">
        <v>245</v>
      </c>
      <c r="H51" s="104" t="s">
        <v>231</v>
      </c>
      <c r="I51" s="104" t="s">
        <v>259</v>
      </c>
      <c r="J51" s="104" t="s">
        <v>246</v>
      </c>
      <c r="K51" s="269">
        <f t="shared" si="2"/>
        <v>69</v>
      </c>
      <c r="L51" s="269">
        <f t="shared" si="2"/>
        <v>74</v>
      </c>
      <c r="M51" s="269">
        <f t="shared" si="2"/>
        <v>66</v>
      </c>
      <c r="N51" s="269">
        <f t="shared" si="2"/>
        <v>70</v>
      </c>
      <c r="O51" s="269">
        <f t="shared" si="11"/>
        <v>72</v>
      </c>
      <c r="P51" s="269">
        <f t="shared" si="11"/>
        <v>71</v>
      </c>
      <c r="Q51" s="269">
        <f t="shared" si="11"/>
        <v>76</v>
      </c>
      <c r="R51" s="269">
        <f t="shared" si="11"/>
        <v>75</v>
      </c>
      <c r="S51" s="269"/>
      <c r="T51" s="269">
        <f t="shared" si="3"/>
        <v>66</v>
      </c>
      <c r="U51" s="269">
        <f t="shared" si="4"/>
        <v>69</v>
      </c>
      <c r="V51" s="269">
        <f t="shared" si="5"/>
        <v>70</v>
      </c>
      <c r="W51" s="269">
        <f t="shared" si="6"/>
        <v>71</v>
      </c>
      <c r="X51" s="269">
        <f t="shared" si="7"/>
        <v>72</v>
      </c>
      <c r="Y51" s="269">
        <f t="shared" si="8"/>
        <v>74</v>
      </c>
      <c r="Z51" s="269">
        <f t="shared" si="9"/>
        <v>75</v>
      </c>
      <c r="AA51" s="269">
        <f t="shared" si="10"/>
        <v>76</v>
      </c>
    </row>
    <row r="52" spans="1:27">
      <c r="A52" s="104">
        <v>51</v>
      </c>
      <c r="B52" s="104" t="str">
        <f t="shared" si="1"/>
        <v>BEFGHIKL</v>
      </c>
      <c r="C52" s="104" t="s">
        <v>151</v>
      </c>
      <c r="D52" s="104" t="s">
        <v>231</v>
      </c>
      <c r="E52" s="104" t="s">
        <v>144</v>
      </c>
      <c r="F52" s="104" t="s">
        <v>152</v>
      </c>
      <c r="G52" s="104" t="s">
        <v>258</v>
      </c>
      <c r="H52" s="104" t="s">
        <v>245</v>
      </c>
      <c r="I52" s="104" t="s">
        <v>259</v>
      </c>
      <c r="J52" s="104" t="s">
        <v>246</v>
      </c>
      <c r="K52" s="269">
        <f t="shared" si="2"/>
        <v>69</v>
      </c>
      <c r="L52" s="269">
        <f t="shared" si="2"/>
        <v>71</v>
      </c>
      <c r="M52" s="269">
        <f t="shared" si="2"/>
        <v>66</v>
      </c>
      <c r="N52" s="269">
        <f t="shared" si="2"/>
        <v>70</v>
      </c>
      <c r="O52" s="269">
        <f t="shared" si="11"/>
        <v>73</v>
      </c>
      <c r="P52" s="269">
        <f t="shared" si="11"/>
        <v>72</v>
      </c>
      <c r="Q52" s="269">
        <f t="shared" si="11"/>
        <v>76</v>
      </c>
      <c r="R52" s="269">
        <f t="shared" si="11"/>
        <v>75</v>
      </c>
      <c r="S52" s="269"/>
      <c r="T52" s="269">
        <f t="shared" si="3"/>
        <v>66</v>
      </c>
      <c r="U52" s="269">
        <f t="shared" si="4"/>
        <v>69</v>
      </c>
      <c r="V52" s="269">
        <f t="shared" si="5"/>
        <v>70</v>
      </c>
      <c r="W52" s="269">
        <f t="shared" si="6"/>
        <v>71</v>
      </c>
      <c r="X52" s="269">
        <f t="shared" si="7"/>
        <v>72</v>
      </c>
      <c r="Y52" s="269">
        <f t="shared" si="8"/>
        <v>73</v>
      </c>
      <c r="Z52" s="269">
        <f t="shared" si="9"/>
        <v>75</v>
      </c>
      <c r="AA52" s="269">
        <f t="shared" si="10"/>
        <v>76</v>
      </c>
    </row>
    <row r="53" spans="1:27">
      <c r="A53" s="104">
        <v>52</v>
      </c>
      <c r="B53" s="104" t="str">
        <f t="shared" si="1"/>
        <v>BEFGHIJL</v>
      </c>
      <c r="C53" s="104" t="s">
        <v>151</v>
      </c>
      <c r="D53" s="104" t="s">
        <v>232</v>
      </c>
      <c r="E53" s="104" t="s">
        <v>144</v>
      </c>
      <c r="F53" s="104" t="s">
        <v>152</v>
      </c>
      <c r="G53" s="104" t="s">
        <v>245</v>
      </c>
      <c r="H53" s="104" t="s">
        <v>231</v>
      </c>
      <c r="I53" s="104" t="s">
        <v>259</v>
      </c>
      <c r="J53" s="104" t="s">
        <v>258</v>
      </c>
      <c r="K53" s="269">
        <f t="shared" si="2"/>
        <v>69</v>
      </c>
      <c r="L53" s="269">
        <f t="shared" si="2"/>
        <v>74</v>
      </c>
      <c r="M53" s="269">
        <f t="shared" si="2"/>
        <v>66</v>
      </c>
      <c r="N53" s="269">
        <f t="shared" si="2"/>
        <v>70</v>
      </c>
      <c r="O53" s="269">
        <f t="shared" si="11"/>
        <v>72</v>
      </c>
      <c r="P53" s="269">
        <f t="shared" si="11"/>
        <v>71</v>
      </c>
      <c r="Q53" s="269">
        <f t="shared" si="11"/>
        <v>76</v>
      </c>
      <c r="R53" s="269">
        <f t="shared" si="11"/>
        <v>73</v>
      </c>
      <c r="S53" s="269"/>
      <c r="T53" s="269">
        <f t="shared" si="3"/>
        <v>66</v>
      </c>
      <c r="U53" s="269">
        <f t="shared" si="4"/>
        <v>69</v>
      </c>
      <c r="V53" s="269">
        <f t="shared" si="5"/>
        <v>70</v>
      </c>
      <c r="W53" s="269">
        <f t="shared" si="6"/>
        <v>71</v>
      </c>
      <c r="X53" s="269">
        <f t="shared" si="7"/>
        <v>72</v>
      </c>
      <c r="Y53" s="269">
        <f t="shared" si="8"/>
        <v>73</v>
      </c>
      <c r="Z53" s="269">
        <f t="shared" si="9"/>
        <v>74</v>
      </c>
      <c r="AA53" s="269">
        <f t="shared" si="10"/>
        <v>76</v>
      </c>
    </row>
    <row r="54" spans="1:27">
      <c r="A54" s="104">
        <v>53</v>
      </c>
      <c r="B54" s="104" t="str">
        <f t="shared" si="1"/>
        <v>BEFGHIJK</v>
      </c>
      <c r="C54" s="104" t="s">
        <v>151</v>
      </c>
      <c r="D54" s="104" t="s">
        <v>232</v>
      </c>
      <c r="E54" s="104" t="s">
        <v>144</v>
      </c>
      <c r="F54" s="104" t="s">
        <v>152</v>
      </c>
      <c r="G54" s="104" t="s">
        <v>245</v>
      </c>
      <c r="H54" s="104" t="s">
        <v>231</v>
      </c>
      <c r="I54" s="104" t="s">
        <v>258</v>
      </c>
      <c r="J54" s="104" t="s">
        <v>246</v>
      </c>
      <c r="K54" s="269">
        <f t="shared" si="2"/>
        <v>69</v>
      </c>
      <c r="L54" s="269">
        <f t="shared" si="2"/>
        <v>74</v>
      </c>
      <c r="M54" s="269">
        <f t="shared" si="2"/>
        <v>66</v>
      </c>
      <c r="N54" s="269">
        <f t="shared" si="2"/>
        <v>70</v>
      </c>
      <c r="O54" s="269">
        <f t="shared" si="11"/>
        <v>72</v>
      </c>
      <c r="P54" s="269">
        <f t="shared" si="11"/>
        <v>71</v>
      </c>
      <c r="Q54" s="269">
        <f t="shared" si="11"/>
        <v>73</v>
      </c>
      <c r="R54" s="269">
        <f t="shared" si="11"/>
        <v>75</v>
      </c>
      <c r="S54" s="269"/>
      <c r="T54" s="269">
        <f t="shared" si="3"/>
        <v>66</v>
      </c>
      <c r="U54" s="269">
        <f t="shared" si="4"/>
        <v>69</v>
      </c>
      <c r="V54" s="269">
        <f t="shared" si="5"/>
        <v>70</v>
      </c>
      <c r="W54" s="269">
        <f t="shared" si="6"/>
        <v>71</v>
      </c>
      <c r="X54" s="269">
        <f t="shared" si="7"/>
        <v>72</v>
      </c>
      <c r="Y54" s="269">
        <f t="shared" si="8"/>
        <v>73</v>
      </c>
      <c r="Z54" s="269">
        <f t="shared" si="9"/>
        <v>74</v>
      </c>
      <c r="AA54" s="269">
        <f t="shared" si="10"/>
        <v>75</v>
      </c>
    </row>
    <row r="55" spans="1:27">
      <c r="A55" s="104">
        <v>54</v>
      </c>
      <c r="B55" s="104" t="str">
        <f t="shared" si="1"/>
        <v>BDGHIJKL</v>
      </c>
      <c r="C55" s="104" t="s">
        <v>245</v>
      </c>
      <c r="D55" s="104" t="s">
        <v>232</v>
      </c>
      <c r="E55" s="104" t="s">
        <v>144</v>
      </c>
      <c r="F55" s="104" t="s">
        <v>150</v>
      </c>
      <c r="G55" s="104" t="s">
        <v>258</v>
      </c>
      <c r="H55" s="104" t="s">
        <v>231</v>
      </c>
      <c r="I55" s="104" t="s">
        <v>259</v>
      </c>
      <c r="J55" s="104" t="s">
        <v>246</v>
      </c>
      <c r="K55" s="269">
        <f t="shared" si="2"/>
        <v>72</v>
      </c>
      <c r="L55" s="269">
        <f t="shared" si="2"/>
        <v>74</v>
      </c>
      <c r="M55" s="269">
        <f t="shared" si="2"/>
        <v>66</v>
      </c>
      <c r="N55" s="269">
        <f t="shared" si="2"/>
        <v>68</v>
      </c>
      <c r="O55" s="269">
        <f t="shared" si="11"/>
        <v>73</v>
      </c>
      <c r="P55" s="269">
        <f t="shared" si="11"/>
        <v>71</v>
      </c>
      <c r="Q55" s="269">
        <f t="shared" si="11"/>
        <v>76</v>
      </c>
      <c r="R55" s="269">
        <f t="shared" si="11"/>
        <v>75</v>
      </c>
      <c r="S55" s="269"/>
      <c r="T55" s="269">
        <f t="shared" si="3"/>
        <v>66</v>
      </c>
      <c r="U55" s="269">
        <f t="shared" si="4"/>
        <v>68</v>
      </c>
      <c r="V55" s="269">
        <f t="shared" si="5"/>
        <v>71</v>
      </c>
      <c r="W55" s="269">
        <f t="shared" si="6"/>
        <v>72</v>
      </c>
      <c r="X55" s="269">
        <f t="shared" si="7"/>
        <v>73</v>
      </c>
      <c r="Y55" s="269">
        <f t="shared" si="8"/>
        <v>74</v>
      </c>
      <c r="Z55" s="269">
        <f t="shared" si="9"/>
        <v>75</v>
      </c>
      <c r="AA55" s="269">
        <f t="shared" si="10"/>
        <v>76</v>
      </c>
    </row>
    <row r="56" spans="1:27">
      <c r="A56" s="104">
        <v>55</v>
      </c>
      <c r="B56" s="104" t="str">
        <f t="shared" si="1"/>
        <v>BDFHIJKL</v>
      </c>
      <c r="C56" s="104" t="s">
        <v>245</v>
      </c>
      <c r="D56" s="104" t="s">
        <v>232</v>
      </c>
      <c r="E56" s="104" t="s">
        <v>144</v>
      </c>
      <c r="F56" s="104" t="s">
        <v>150</v>
      </c>
      <c r="G56" s="104" t="s">
        <v>258</v>
      </c>
      <c r="H56" s="104" t="s">
        <v>152</v>
      </c>
      <c r="I56" s="104" t="s">
        <v>259</v>
      </c>
      <c r="J56" s="104" t="s">
        <v>246</v>
      </c>
      <c r="K56" s="269">
        <f t="shared" si="2"/>
        <v>72</v>
      </c>
      <c r="L56" s="269">
        <f t="shared" si="2"/>
        <v>74</v>
      </c>
      <c r="M56" s="269">
        <f t="shared" si="2"/>
        <v>66</v>
      </c>
      <c r="N56" s="269">
        <f t="shared" si="2"/>
        <v>68</v>
      </c>
      <c r="O56" s="269">
        <f t="shared" si="11"/>
        <v>73</v>
      </c>
      <c r="P56" s="269">
        <f t="shared" si="11"/>
        <v>70</v>
      </c>
      <c r="Q56" s="269">
        <f t="shared" si="11"/>
        <v>76</v>
      </c>
      <c r="R56" s="269">
        <f t="shared" si="11"/>
        <v>75</v>
      </c>
      <c r="S56" s="269"/>
      <c r="T56" s="269">
        <f t="shared" si="3"/>
        <v>66</v>
      </c>
      <c r="U56" s="269">
        <f t="shared" si="4"/>
        <v>68</v>
      </c>
      <c r="V56" s="269">
        <f t="shared" si="5"/>
        <v>70</v>
      </c>
      <c r="W56" s="269">
        <f t="shared" si="6"/>
        <v>72</v>
      </c>
      <c r="X56" s="269">
        <f t="shared" si="7"/>
        <v>73</v>
      </c>
      <c r="Y56" s="269">
        <f t="shared" si="8"/>
        <v>74</v>
      </c>
      <c r="Z56" s="269">
        <f t="shared" si="9"/>
        <v>75</v>
      </c>
      <c r="AA56" s="269">
        <f t="shared" si="10"/>
        <v>76</v>
      </c>
    </row>
    <row r="57" spans="1:27">
      <c r="A57" s="104">
        <v>56</v>
      </c>
      <c r="B57" s="104" t="str">
        <f t="shared" si="1"/>
        <v>BDFGIJKL</v>
      </c>
      <c r="C57" s="104" t="s">
        <v>258</v>
      </c>
      <c r="D57" s="104" t="s">
        <v>231</v>
      </c>
      <c r="E57" s="104" t="s">
        <v>144</v>
      </c>
      <c r="F57" s="104" t="s">
        <v>150</v>
      </c>
      <c r="G57" s="104" t="s">
        <v>232</v>
      </c>
      <c r="H57" s="104" t="s">
        <v>152</v>
      </c>
      <c r="I57" s="104" t="s">
        <v>259</v>
      </c>
      <c r="J57" s="104" t="s">
        <v>246</v>
      </c>
      <c r="K57" s="269">
        <f t="shared" si="2"/>
        <v>73</v>
      </c>
      <c r="L57" s="269">
        <f t="shared" si="2"/>
        <v>71</v>
      </c>
      <c r="M57" s="269">
        <f t="shared" si="2"/>
        <v>66</v>
      </c>
      <c r="N57" s="269">
        <f t="shared" si="2"/>
        <v>68</v>
      </c>
      <c r="O57" s="269">
        <f t="shared" si="11"/>
        <v>74</v>
      </c>
      <c r="P57" s="269">
        <f t="shared" si="11"/>
        <v>70</v>
      </c>
      <c r="Q57" s="269">
        <f t="shared" si="11"/>
        <v>76</v>
      </c>
      <c r="R57" s="269">
        <f t="shared" si="11"/>
        <v>75</v>
      </c>
      <c r="S57" s="269"/>
      <c r="T57" s="269">
        <f t="shared" si="3"/>
        <v>66</v>
      </c>
      <c r="U57" s="269">
        <f t="shared" si="4"/>
        <v>68</v>
      </c>
      <c r="V57" s="269">
        <f t="shared" si="5"/>
        <v>70</v>
      </c>
      <c r="W57" s="269">
        <f t="shared" si="6"/>
        <v>71</v>
      </c>
      <c r="X57" s="269">
        <f t="shared" si="7"/>
        <v>73</v>
      </c>
      <c r="Y57" s="269">
        <f t="shared" si="8"/>
        <v>74</v>
      </c>
      <c r="Z57" s="269">
        <f t="shared" si="9"/>
        <v>75</v>
      </c>
      <c r="AA57" s="269">
        <f t="shared" si="10"/>
        <v>76</v>
      </c>
    </row>
    <row r="58" spans="1:27">
      <c r="A58" s="104">
        <v>57</v>
      </c>
      <c r="B58" s="104" t="str">
        <f t="shared" si="1"/>
        <v>BDFGHJKL</v>
      </c>
      <c r="C58" s="104" t="s">
        <v>245</v>
      </c>
      <c r="D58" s="104" t="s">
        <v>231</v>
      </c>
      <c r="E58" s="104" t="s">
        <v>144</v>
      </c>
      <c r="F58" s="104" t="s">
        <v>150</v>
      </c>
      <c r="G58" s="104" t="s">
        <v>232</v>
      </c>
      <c r="H58" s="104" t="s">
        <v>152</v>
      </c>
      <c r="I58" s="104" t="s">
        <v>259</v>
      </c>
      <c r="J58" s="104" t="s">
        <v>246</v>
      </c>
      <c r="K58" s="269">
        <f t="shared" si="2"/>
        <v>72</v>
      </c>
      <c r="L58" s="269">
        <f t="shared" si="2"/>
        <v>71</v>
      </c>
      <c r="M58" s="269">
        <f t="shared" si="2"/>
        <v>66</v>
      </c>
      <c r="N58" s="269">
        <f t="shared" si="2"/>
        <v>68</v>
      </c>
      <c r="O58" s="269">
        <f t="shared" si="11"/>
        <v>74</v>
      </c>
      <c r="P58" s="269">
        <f t="shared" si="11"/>
        <v>70</v>
      </c>
      <c r="Q58" s="269">
        <f t="shared" si="11"/>
        <v>76</v>
      </c>
      <c r="R58" s="269">
        <f t="shared" si="11"/>
        <v>75</v>
      </c>
      <c r="S58" s="269"/>
      <c r="T58" s="269">
        <f t="shared" si="3"/>
        <v>66</v>
      </c>
      <c r="U58" s="269">
        <f t="shared" si="4"/>
        <v>68</v>
      </c>
      <c r="V58" s="269">
        <f t="shared" si="5"/>
        <v>70</v>
      </c>
      <c r="W58" s="269">
        <f t="shared" si="6"/>
        <v>71</v>
      </c>
      <c r="X58" s="269">
        <f t="shared" si="7"/>
        <v>72</v>
      </c>
      <c r="Y58" s="269">
        <f t="shared" si="8"/>
        <v>74</v>
      </c>
      <c r="Z58" s="269">
        <f t="shared" si="9"/>
        <v>75</v>
      </c>
      <c r="AA58" s="269">
        <f t="shared" si="10"/>
        <v>76</v>
      </c>
    </row>
    <row r="59" spans="1:27">
      <c r="A59" s="104">
        <v>58</v>
      </c>
      <c r="B59" s="104" t="str">
        <f t="shared" si="1"/>
        <v>BDFGHIKL</v>
      </c>
      <c r="C59" s="104" t="s">
        <v>245</v>
      </c>
      <c r="D59" s="104" t="s">
        <v>231</v>
      </c>
      <c r="E59" s="104" t="s">
        <v>144</v>
      </c>
      <c r="F59" s="104" t="s">
        <v>150</v>
      </c>
      <c r="G59" s="104" t="s">
        <v>258</v>
      </c>
      <c r="H59" s="104" t="s">
        <v>152</v>
      </c>
      <c r="I59" s="104" t="s">
        <v>259</v>
      </c>
      <c r="J59" s="104" t="s">
        <v>246</v>
      </c>
      <c r="K59" s="269">
        <f t="shared" si="2"/>
        <v>72</v>
      </c>
      <c r="L59" s="269">
        <f t="shared" si="2"/>
        <v>71</v>
      </c>
      <c r="M59" s="269">
        <f t="shared" si="2"/>
        <v>66</v>
      </c>
      <c r="N59" s="269">
        <f t="shared" si="2"/>
        <v>68</v>
      </c>
      <c r="O59" s="269">
        <f t="shared" si="11"/>
        <v>73</v>
      </c>
      <c r="P59" s="269">
        <f t="shared" si="11"/>
        <v>70</v>
      </c>
      <c r="Q59" s="269">
        <f t="shared" si="11"/>
        <v>76</v>
      </c>
      <c r="R59" s="269">
        <f t="shared" si="11"/>
        <v>75</v>
      </c>
      <c r="S59" s="269"/>
      <c r="T59" s="269">
        <f t="shared" si="3"/>
        <v>66</v>
      </c>
      <c r="U59" s="269">
        <f t="shared" si="4"/>
        <v>68</v>
      </c>
      <c r="V59" s="269">
        <f t="shared" si="5"/>
        <v>70</v>
      </c>
      <c r="W59" s="269">
        <f t="shared" si="6"/>
        <v>71</v>
      </c>
      <c r="X59" s="269">
        <f t="shared" si="7"/>
        <v>72</v>
      </c>
      <c r="Y59" s="269">
        <f t="shared" si="8"/>
        <v>73</v>
      </c>
      <c r="Z59" s="269">
        <f t="shared" si="9"/>
        <v>75</v>
      </c>
      <c r="AA59" s="269">
        <f t="shared" si="10"/>
        <v>76</v>
      </c>
    </row>
    <row r="60" spans="1:27">
      <c r="A60" s="104">
        <v>59</v>
      </c>
      <c r="B60" s="104" t="str">
        <f t="shared" si="1"/>
        <v>BDFGHIJL</v>
      </c>
      <c r="C60" s="104" t="s">
        <v>245</v>
      </c>
      <c r="D60" s="104" t="s">
        <v>231</v>
      </c>
      <c r="E60" s="104" t="s">
        <v>144</v>
      </c>
      <c r="F60" s="104" t="s">
        <v>150</v>
      </c>
      <c r="G60" s="104" t="s">
        <v>232</v>
      </c>
      <c r="H60" s="104" t="s">
        <v>152</v>
      </c>
      <c r="I60" s="104" t="s">
        <v>259</v>
      </c>
      <c r="J60" s="104" t="s">
        <v>258</v>
      </c>
      <c r="K60" s="269">
        <f t="shared" si="2"/>
        <v>72</v>
      </c>
      <c r="L60" s="269">
        <f t="shared" si="2"/>
        <v>71</v>
      </c>
      <c r="M60" s="269">
        <f t="shared" si="2"/>
        <v>66</v>
      </c>
      <c r="N60" s="269">
        <f t="shared" si="2"/>
        <v>68</v>
      </c>
      <c r="O60" s="269">
        <f t="shared" si="11"/>
        <v>74</v>
      </c>
      <c r="P60" s="269">
        <f t="shared" si="11"/>
        <v>70</v>
      </c>
      <c r="Q60" s="269">
        <f t="shared" si="11"/>
        <v>76</v>
      </c>
      <c r="R60" s="269">
        <f t="shared" si="11"/>
        <v>73</v>
      </c>
      <c r="S60" s="269"/>
      <c r="T60" s="269">
        <f t="shared" si="3"/>
        <v>66</v>
      </c>
      <c r="U60" s="269">
        <f t="shared" si="4"/>
        <v>68</v>
      </c>
      <c r="V60" s="269">
        <f t="shared" si="5"/>
        <v>70</v>
      </c>
      <c r="W60" s="269">
        <f t="shared" si="6"/>
        <v>71</v>
      </c>
      <c r="X60" s="269">
        <f t="shared" si="7"/>
        <v>72</v>
      </c>
      <c r="Y60" s="269">
        <f t="shared" si="8"/>
        <v>73</v>
      </c>
      <c r="Z60" s="269">
        <f t="shared" si="9"/>
        <v>74</v>
      </c>
      <c r="AA60" s="269">
        <f t="shared" si="10"/>
        <v>76</v>
      </c>
    </row>
    <row r="61" spans="1:27">
      <c r="A61" s="104">
        <v>60</v>
      </c>
      <c r="B61" s="104" t="str">
        <f t="shared" si="1"/>
        <v>BDFGHIJK</v>
      </c>
      <c r="C61" s="104" t="s">
        <v>245</v>
      </c>
      <c r="D61" s="104" t="s">
        <v>231</v>
      </c>
      <c r="E61" s="104" t="s">
        <v>144</v>
      </c>
      <c r="F61" s="104" t="s">
        <v>150</v>
      </c>
      <c r="G61" s="104" t="s">
        <v>232</v>
      </c>
      <c r="H61" s="104" t="s">
        <v>152</v>
      </c>
      <c r="I61" s="104" t="s">
        <v>258</v>
      </c>
      <c r="J61" s="104" t="s">
        <v>246</v>
      </c>
      <c r="K61" s="269">
        <f t="shared" si="2"/>
        <v>72</v>
      </c>
      <c r="L61" s="269">
        <f t="shared" si="2"/>
        <v>71</v>
      </c>
      <c r="M61" s="269">
        <f t="shared" si="2"/>
        <v>66</v>
      </c>
      <c r="N61" s="269">
        <f t="shared" si="2"/>
        <v>68</v>
      </c>
      <c r="O61" s="269">
        <f t="shared" si="11"/>
        <v>74</v>
      </c>
      <c r="P61" s="269">
        <f t="shared" si="11"/>
        <v>70</v>
      </c>
      <c r="Q61" s="269">
        <f t="shared" si="11"/>
        <v>73</v>
      </c>
      <c r="R61" s="269">
        <f t="shared" si="11"/>
        <v>75</v>
      </c>
      <c r="S61" s="269"/>
      <c r="T61" s="269">
        <f t="shared" si="3"/>
        <v>66</v>
      </c>
      <c r="U61" s="269">
        <f t="shared" si="4"/>
        <v>68</v>
      </c>
      <c r="V61" s="269">
        <f t="shared" si="5"/>
        <v>70</v>
      </c>
      <c r="W61" s="269">
        <f t="shared" si="6"/>
        <v>71</v>
      </c>
      <c r="X61" s="269">
        <f t="shared" si="7"/>
        <v>72</v>
      </c>
      <c r="Y61" s="269">
        <f t="shared" si="8"/>
        <v>73</v>
      </c>
      <c r="Z61" s="269">
        <f t="shared" si="9"/>
        <v>74</v>
      </c>
      <c r="AA61" s="269">
        <f t="shared" si="10"/>
        <v>75</v>
      </c>
    </row>
    <row r="62" spans="1:27">
      <c r="A62" s="104">
        <v>61</v>
      </c>
      <c r="B62" s="104" t="str">
        <f t="shared" si="1"/>
        <v>BDEHIJKL</v>
      </c>
      <c r="C62" s="104" t="s">
        <v>151</v>
      </c>
      <c r="D62" s="104" t="s">
        <v>232</v>
      </c>
      <c r="E62" s="104" t="s">
        <v>144</v>
      </c>
      <c r="F62" s="104" t="s">
        <v>150</v>
      </c>
      <c r="G62" s="104" t="s">
        <v>258</v>
      </c>
      <c r="H62" s="104" t="s">
        <v>245</v>
      </c>
      <c r="I62" s="104" t="s">
        <v>259</v>
      </c>
      <c r="J62" s="104" t="s">
        <v>246</v>
      </c>
      <c r="K62" s="269">
        <f t="shared" si="2"/>
        <v>69</v>
      </c>
      <c r="L62" s="269">
        <f t="shared" si="2"/>
        <v>74</v>
      </c>
      <c r="M62" s="269">
        <f t="shared" si="2"/>
        <v>66</v>
      </c>
      <c r="N62" s="269">
        <f t="shared" si="2"/>
        <v>68</v>
      </c>
      <c r="O62" s="269">
        <f t="shared" si="11"/>
        <v>73</v>
      </c>
      <c r="P62" s="269">
        <f t="shared" si="11"/>
        <v>72</v>
      </c>
      <c r="Q62" s="269">
        <f t="shared" si="11"/>
        <v>76</v>
      </c>
      <c r="R62" s="269">
        <f t="shared" si="11"/>
        <v>75</v>
      </c>
      <c r="S62" s="269"/>
      <c r="T62" s="269">
        <f t="shared" si="3"/>
        <v>66</v>
      </c>
      <c r="U62" s="269">
        <f t="shared" si="4"/>
        <v>68</v>
      </c>
      <c r="V62" s="269">
        <f t="shared" si="5"/>
        <v>69</v>
      </c>
      <c r="W62" s="269">
        <f t="shared" si="6"/>
        <v>72</v>
      </c>
      <c r="X62" s="269">
        <f t="shared" si="7"/>
        <v>73</v>
      </c>
      <c r="Y62" s="269">
        <f t="shared" si="8"/>
        <v>74</v>
      </c>
      <c r="Z62" s="269">
        <f t="shared" si="9"/>
        <v>75</v>
      </c>
      <c r="AA62" s="269">
        <f t="shared" si="10"/>
        <v>76</v>
      </c>
    </row>
    <row r="63" spans="1:27">
      <c r="A63" s="104">
        <v>62</v>
      </c>
      <c r="B63" s="104" t="str">
        <f t="shared" si="1"/>
        <v>BDEGIJKL</v>
      </c>
      <c r="C63" s="104" t="s">
        <v>151</v>
      </c>
      <c r="D63" s="104" t="s">
        <v>232</v>
      </c>
      <c r="E63" s="104" t="s">
        <v>144</v>
      </c>
      <c r="F63" s="104" t="s">
        <v>150</v>
      </c>
      <c r="G63" s="104" t="s">
        <v>258</v>
      </c>
      <c r="H63" s="104" t="s">
        <v>231</v>
      </c>
      <c r="I63" s="104" t="s">
        <v>259</v>
      </c>
      <c r="J63" s="104" t="s">
        <v>246</v>
      </c>
      <c r="K63" s="269">
        <f t="shared" si="2"/>
        <v>69</v>
      </c>
      <c r="L63" s="269">
        <f t="shared" si="2"/>
        <v>74</v>
      </c>
      <c r="M63" s="269">
        <f t="shared" si="2"/>
        <v>66</v>
      </c>
      <c r="N63" s="269">
        <f t="shared" si="2"/>
        <v>68</v>
      </c>
      <c r="O63" s="269">
        <f t="shared" si="11"/>
        <v>73</v>
      </c>
      <c r="P63" s="269">
        <f t="shared" si="11"/>
        <v>71</v>
      </c>
      <c r="Q63" s="269">
        <f t="shared" si="11"/>
        <v>76</v>
      </c>
      <c r="R63" s="269">
        <f t="shared" si="11"/>
        <v>75</v>
      </c>
      <c r="S63" s="269"/>
      <c r="T63" s="269">
        <f t="shared" si="3"/>
        <v>66</v>
      </c>
      <c r="U63" s="269">
        <f t="shared" si="4"/>
        <v>68</v>
      </c>
      <c r="V63" s="269">
        <f t="shared" si="5"/>
        <v>69</v>
      </c>
      <c r="W63" s="269">
        <f t="shared" si="6"/>
        <v>71</v>
      </c>
      <c r="X63" s="269">
        <f t="shared" si="7"/>
        <v>73</v>
      </c>
      <c r="Y63" s="269">
        <f t="shared" si="8"/>
        <v>74</v>
      </c>
      <c r="Z63" s="269">
        <f t="shared" si="9"/>
        <v>75</v>
      </c>
      <c r="AA63" s="269">
        <f t="shared" si="10"/>
        <v>76</v>
      </c>
    </row>
    <row r="64" spans="1:27">
      <c r="A64" s="104">
        <v>63</v>
      </c>
      <c r="B64" s="104" t="str">
        <f t="shared" si="1"/>
        <v>BDEGHJKL</v>
      </c>
      <c r="C64" s="104" t="s">
        <v>151</v>
      </c>
      <c r="D64" s="104" t="s">
        <v>232</v>
      </c>
      <c r="E64" s="104" t="s">
        <v>144</v>
      </c>
      <c r="F64" s="104" t="s">
        <v>150</v>
      </c>
      <c r="G64" s="104" t="s">
        <v>245</v>
      </c>
      <c r="H64" s="104" t="s">
        <v>231</v>
      </c>
      <c r="I64" s="104" t="s">
        <v>259</v>
      </c>
      <c r="J64" s="104" t="s">
        <v>246</v>
      </c>
      <c r="K64" s="269">
        <f t="shared" si="2"/>
        <v>69</v>
      </c>
      <c r="L64" s="269">
        <f t="shared" si="2"/>
        <v>74</v>
      </c>
      <c r="M64" s="269">
        <f t="shared" si="2"/>
        <v>66</v>
      </c>
      <c r="N64" s="269">
        <f t="shared" si="2"/>
        <v>68</v>
      </c>
      <c r="O64" s="269">
        <f t="shared" si="11"/>
        <v>72</v>
      </c>
      <c r="P64" s="269">
        <f t="shared" si="11"/>
        <v>71</v>
      </c>
      <c r="Q64" s="269">
        <f t="shared" si="11"/>
        <v>76</v>
      </c>
      <c r="R64" s="269">
        <f t="shared" si="11"/>
        <v>75</v>
      </c>
      <c r="S64" s="269"/>
      <c r="T64" s="269">
        <f t="shared" si="3"/>
        <v>66</v>
      </c>
      <c r="U64" s="269">
        <f t="shared" si="4"/>
        <v>68</v>
      </c>
      <c r="V64" s="269">
        <f t="shared" si="5"/>
        <v>69</v>
      </c>
      <c r="W64" s="269">
        <f t="shared" si="6"/>
        <v>71</v>
      </c>
      <c r="X64" s="269">
        <f t="shared" si="7"/>
        <v>72</v>
      </c>
      <c r="Y64" s="269">
        <f t="shared" si="8"/>
        <v>74</v>
      </c>
      <c r="Z64" s="269">
        <f t="shared" si="9"/>
        <v>75</v>
      </c>
      <c r="AA64" s="269">
        <f t="shared" si="10"/>
        <v>76</v>
      </c>
    </row>
    <row r="65" spans="1:27">
      <c r="A65" s="104">
        <v>64</v>
      </c>
      <c r="B65" s="104" t="str">
        <f t="shared" si="1"/>
        <v>BDEGHIKL</v>
      </c>
      <c r="C65" s="104" t="s">
        <v>151</v>
      </c>
      <c r="D65" s="104" t="s">
        <v>231</v>
      </c>
      <c r="E65" s="104" t="s">
        <v>144</v>
      </c>
      <c r="F65" s="104" t="s">
        <v>150</v>
      </c>
      <c r="G65" s="104" t="s">
        <v>258</v>
      </c>
      <c r="H65" s="104" t="s">
        <v>245</v>
      </c>
      <c r="I65" s="104" t="s">
        <v>259</v>
      </c>
      <c r="J65" s="104" t="s">
        <v>246</v>
      </c>
      <c r="K65" s="269">
        <f t="shared" si="2"/>
        <v>69</v>
      </c>
      <c r="L65" s="269">
        <f t="shared" si="2"/>
        <v>71</v>
      </c>
      <c r="M65" s="269">
        <f t="shared" si="2"/>
        <v>66</v>
      </c>
      <c r="N65" s="269">
        <f t="shared" si="2"/>
        <v>68</v>
      </c>
      <c r="O65" s="269">
        <f t="shared" si="11"/>
        <v>73</v>
      </c>
      <c r="P65" s="269">
        <f t="shared" si="11"/>
        <v>72</v>
      </c>
      <c r="Q65" s="269">
        <f t="shared" si="11"/>
        <v>76</v>
      </c>
      <c r="R65" s="269">
        <f t="shared" si="11"/>
        <v>75</v>
      </c>
      <c r="S65" s="269"/>
      <c r="T65" s="269">
        <f t="shared" si="3"/>
        <v>66</v>
      </c>
      <c r="U65" s="269">
        <f t="shared" si="4"/>
        <v>68</v>
      </c>
      <c r="V65" s="269">
        <f t="shared" si="5"/>
        <v>69</v>
      </c>
      <c r="W65" s="269">
        <f t="shared" si="6"/>
        <v>71</v>
      </c>
      <c r="X65" s="269">
        <f t="shared" si="7"/>
        <v>72</v>
      </c>
      <c r="Y65" s="269">
        <f t="shared" si="8"/>
        <v>73</v>
      </c>
      <c r="Z65" s="269">
        <f t="shared" si="9"/>
        <v>75</v>
      </c>
      <c r="AA65" s="269">
        <f t="shared" si="10"/>
        <v>76</v>
      </c>
    </row>
    <row r="66" spans="1:27">
      <c r="A66" s="104">
        <v>65</v>
      </c>
      <c r="B66" s="104" t="str">
        <f t="shared" si="1"/>
        <v>BDEGHIJL</v>
      </c>
      <c r="C66" s="104" t="s">
        <v>151</v>
      </c>
      <c r="D66" s="104" t="s">
        <v>232</v>
      </c>
      <c r="E66" s="104" t="s">
        <v>144</v>
      </c>
      <c r="F66" s="104" t="s">
        <v>150</v>
      </c>
      <c r="G66" s="104" t="s">
        <v>245</v>
      </c>
      <c r="H66" s="104" t="s">
        <v>231</v>
      </c>
      <c r="I66" s="104" t="s">
        <v>259</v>
      </c>
      <c r="J66" s="104" t="s">
        <v>258</v>
      </c>
      <c r="K66" s="269">
        <f t="shared" si="2"/>
        <v>69</v>
      </c>
      <c r="L66" s="269">
        <f t="shared" si="2"/>
        <v>74</v>
      </c>
      <c r="M66" s="269">
        <f t="shared" si="2"/>
        <v>66</v>
      </c>
      <c r="N66" s="269">
        <f t="shared" si="2"/>
        <v>68</v>
      </c>
      <c r="O66" s="269">
        <f t="shared" si="11"/>
        <v>72</v>
      </c>
      <c r="P66" s="269">
        <f t="shared" si="11"/>
        <v>71</v>
      </c>
      <c r="Q66" s="269">
        <f t="shared" si="11"/>
        <v>76</v>
      </c>
      <c r="R66" s="269">
        <f t="shared" si="11"/>
        <v>73</v>
      </c>
      <c r="S66" s="269"/>
      <c r="T66" s="269">
        <f t="shared" si="3"/>
        <v>66</v>
      </c>
      <c r="U66" s="269">
        <f t="shared" si="4"/>
        <v>68</v>
      </c>
      <c r="V66" s="269">
        <f t="shared" si="5"/>
        <v>69</v>
      </c>
      <c r="W66" s="269">
        <f t="shared" si="6"/>
        <v>71</v>
      </c>
      <c r="X66" s="269">
        <f t="shared" si="7"/>
        <v>72</v>
      </c>
      <c r="Y66" s="269">
        <f t="shared" si="8"/>
        <v>73</v>
      </c>
      <c r="Z66" s="269">
        <f t="shared" si="9"/>
        <v>74</v>
      </c>
      <c r="AA66" s="269">
        <f t="shared" si="10"/>
        <v>76</v>
      </c>
    </row>
    <row r="67" spans="1:27">
      <c r="A67" s="104">
        <v>66</v>
      </c>
      <c r="B67" s="104" t="str">
        <f t="shared" ref="B67:B130" si="12">CONCATENATE(CHAR(T67),CHAR(U67),CHAR(V67),CHAR(W67),CHAR(X67),CHAR(Y67),CHAR(Z67),CHAR(AA67))</f>
        <v>BDEGHIJK</v>
      </c>
      <c r="C67" s="104" t="s">
        <v>151</v>
      </c>
      <c r="D67" s="104" t="s">
        <v>232</v>
      </c>
      <c r="E67" s="104" t="s">
        <v>144</v>
      </c>
      <c r="F67" s="104" t="s">
        <v>150</v>
      </c>
      <c r="G67" s="104" t="s">
        <v>245</v>
      </c>
      <c r="H67" s="104" t="s">
        <v>231</v>
      </c>
      <c r="I67" s="104" t="s">
        <v>258</v>
      </c>
      <c r="J67" s="104" t="s">
        <v>246</v>
      </c>
      <c r="K67" s="269">
        <f t="shared" ref="K67:Q118" si="13">CODE(MID(C67,2,1))</f>
        <v>69</v>
      </c>
      <c r="L67" s="269">
        <f t="shared" si="13"/>
        <v>74</v>
      </c>
      <c r="M67" s="269">
        <f t="shared" si="13"/>
        <v>66</v>
      </c>
      <c r="N67" s="269">
        <f t="shared" si="13"/>
        <v>68</v>
      </c>
      <c r="O67" s="269">
        <f t="shared" si="11"/>
        <v>72</v>
      </c>
      <c r="P67" s="269">
        <f t="shared" si="11"/>
        <v>71</v>
      </c>
      <c r="Q67" s="269">
        <f t="shared" si="11"/>
        <v>73</v>
      </c>
      <c r="R67" s="269">
        <f t="shared" si="11"/>
        <v>75</v>
      </c>
      <c r="S67" s="269"/>
      <c r="T67" s="269">
        <f t="shared" ref="T67:T130" si="14">SMALL($K67:$R67,1)</f>
        <v>66</v>
      </c>
      <c r="U67" s="269">
        <f t="shared" ref="U67:U130" si="15">SMALL($K67:$R67,2)</f>
        <v>68</v>
      </c>
      <c r="V67" s="269">
        <f t="shared" ref="V67:V130" si="16">SMALL($K67:$R67,3)</f>
        <v>69</v>
      </c>
      <c r="W67" s="269">
        <f t="shared" ref="W67:W130" si="17">SMALL($K67:$R67,4)</f>
        <v>71</v>
      </c>
      <c r="X67" s="269">
        <f t="shared" ref="X67:X130" si="18">SMALL($K67:$R67,5)</f>
        <v>72</v>
      </c>
      <c r="Y67" s="269">
        <f t="shared" ref="Y67:Y130" si="19">SMALL($K67:$R67,6)</f>
        <v>73</v>
      </c>
      <c r="Z67" s="269">
        <f t="shared" ref="Z67:Z130" si="20">SMALL($K67:$R67,7)</f>
        <v>74</v>
      </c>
      <c r="AA67" s="269">
        <f t="shared" ref="AA67:AA130" si="21">SMALL($K67:$R67,8)</f>
        <v>75</v>
      </c>
    </row>
    <row r="68" spans="1:27">
      <c r="A68" s="104">
        <v>67</v>
      </c>
      <c r="B68" s="104" t="str">
        <f t="shared" si="12"/>
        <v>BDEFIJKL</v>
      </c>
      <c r="C68" s="104" t="s">
        <v>151</v>
      </c>
      <c r="D68" s="104" t="s">
        <v>232</v>
      </c>
      <c r="E68" s="104" t="s">
        <v>144</v>
      </c>
      <c r="F68" s="104" t="s">
        <v>150</v>
      </c>
      <c r="G68" s="104" t="s">
        <v>258</v>
      </c>
      <c r="H68" s="104" t="s">
        <v>152</v>
      </c>
      <c r="I68" s="104" t="s">
        <v>259</v>
      </c>
      <c r="J68" s="104" t="s">
        <v>246</v>
      </c>
      <c r="K68" s="269">
        <f t="shared" si="13"/>
        <v>69</v>
      </c>
      <c r="L68" s="269">
        <f t="shared" si="13"/>
        <v>74</v>
      </c>
      <c r="M68" s="269">
        <f t="shared" si="13"/>
        <v>66</v>
      </c>
      <c r="N68" s="269">
        <f t="shared" si="13"/>
        <v>68</v>
      </c>
      <c r="O68" s="269">
        <f t="shared" si="11"/>
        <v>73</v>
      </c>
      <c r="P68" s="269">
        <f t="shared" si="11"/>
        <v>70</v>
      </c>
      <c r="Q68" s="269">
        <f t="shared" si="11"/>
        <v>76</v>
      </c>
      <c r="R68" s="269">
        <f t="shared" si="11"/>
        <v>75</v>
      </c>
      <c r="S68" s="269"/>
      <c r="T68" s="269">
        <f t="shared" si="14"/>
        <v>66</v>
      </c>
      <c r="U68" s="269">
        <f t="shared" si="15"/>
        <v>68</v>
      </c>
      <c r="V68" s="269">
        <f t="shared" si="16"/>
        <v>69</v>
      </c>
      <c r="W68" s="269">
        <f t="shared" si="17"/>
        <v>70</v>
      </c>
      <c r="X68" s="269">
        <f t="shared" si="18"/>
        <v>73</v>
      </c>
      <c r="Y68" s="269">
        <f t="shared" si="19"/>
        <v>74</v>
      </c>
      <c r="Z68" s="269">
        <f t="shared" si="20"/>
        <v>75</v>
      </c>
      <c r="AA68" s="269">
        <f t="shared" si="21"/>
        <v>76</v>
      </c>
    </row>
    <row r="69" spans="1:27">
      <c r="A69" s="104">
        <v>68</v>
      </c>
      <c r="B69" s="104" t="str">
        <f t="shared" si="12"/>
        <v>BDEFHJKL</v>
      </c>
      <c r="C69" s="104" t="s">
        <v>151</v>
      </c>
      <c r="D69" s="104" t="s">
        <v>232</v>
      </c>
      <c r="E69" s="104" t="s">
        <v>144</v>
      </c>
      <c r="F69" s="104" t="s">
        <v>150</v>
      </c>
      <c r="G69" s="104" t="s">
        <v>245</v>
      </c>
      <c r="H69" s="104" t="s">
        <v>152</v>
      </c>
      <c r="I69" s="104" t="s">
        <v>259</v>
      </c>
      <c r="J69" s="104" t="s">
        <v>246</v>
      </c>
      <c r="K69" s="269">
        <f t="shared" si="13"/>
        <v>69</v>
      </c>
      <c r="L69" s="269">
        <f t="shared" si="13"/>
        <v>74</v>
      </c>
      <c r="M69" s="269">
        <f t="shared" si="13"/>
        <v>66</v>
      </c>
      <c r="N69" s="269">
        <f t="shared" si="13"/>
        <v>68</v>
      </c>
      <c r="O69" s="269">
        <f t="shared" si="11"/>
        <v>72</v>
      </c>
      <c r="P69" s="269">
        <f t="shared" si="11"/>
        <v>70</v>
      </c>
      <c r="Q69" s="269">
        <f t="shared" si="11"/>
        <v>76</v>
      </c>
      <c r="R69" s="269">
        <f t="shared" si="11"/>
        <v>75</v>
      </c>
      <c r="S69" s="269"/>
      <c r="T69" s="269">
        <f t="shared" si="14"/>
        <v>66</v>
      </c>
      <c r="U69" s="269">
        <f t="shared" si="15"/>
        <v>68</v>
      </c>
      <c r="V69" s="269">
        <f t="shared" si="16"/>
        <v>69</v>
      </c>
      <c r="W69" s="269">
        <f t="shared" si="17"/>
        <v>70</v>
      </c>
      <c r="X69" s="269">
        <f t="shared" si="18"/>
        <v>72</v>
      </c>
      <c r="Y69" s="269">
        <f t="shared" si="19"/>
        <v>74</v>
      </c>
      <c r="Z69" s="269">
        <f t="shared" si="20"/>
        <v>75</v>
      </c>
      <c r="AA69" s="269">
        <f t="shared" si="21"/>
        <v>76</v>
      </c>
    </row>
    <row r="70" spans="1:27">
      <c r="A70" s="104">
        <v>69</v>
      </c>
      <c r="B70" s="104" t="str">
        <f t="shared" si="12"/>
        <v>BDEFHIKL</v>
      </c>
      <c r="C70" s="104" t="s">
        <v>151</v>
      </c>
      <c r="D70" s="104" t="s">
        <v>258</v>
      </c>
      <c r="E70" s="104" t="s">
        <v>144</v>
      </c>
      <c r="F70" s="104" t="s">
        <v>150</v>
      </c>
      <c r="G70" s="104" t="s">
        <v>245</v>
      </c>
      <c r="H70" s="104" t="s">
        <v>152</v>
      </c>
      <c r="I70" s="104" t="s">
        <v>259</v>
      </c>
      <c r="J70" s="104" t="s">
        <v>246</v>
      </c>
      <c r="K70" s="269">
        <f t="shared" si="13"/>
        <v>69</v>
      </c>
      <c r="L70" s="269">
        <f t="shared" si="13"/>
        <v>73</v>
      </c>
      <c r="M70" s="269">
        <f t="shared" si="13"/>
        <v>66</v>
      </c>
      <c r="N70" s="269">
        <f t="shared" si="13"/>
        <v>68</v>
      </c>
      <c r="O70" s="269">
        <f t="shared" si="11"/>
        <v>72</v>
      </c>
      <c r="P70" s="269">
        <f t="shared" si="11"/>
        <v>70</v>
      </c>
      <c r="Q70" s="269">
        <f t="shared" si="11"/>
        <v>76</v>
      </c>
      <c r="R70" s="269">
        <f t="shared" si="11"/>
        <v>75</v>
      </c>
      <c r="S70" s="269"/>
      <c r="T70" s="269">
        <f t="shared" si="14"/>
        <v>66</v>
      </c>
      <c r="U70" s="269">
        <f t="shared" si="15"/>
        <v>68</v>
      </c>
      <c r="V70" s="269">
        <f t="shared" si="16"/>
        <v>69</v>
      </c>
      <c r="W70" s="269">
        <f t="shared" si="17"/>
        <v>70</v>
      </c>
      <c r="X70" s="269">
        <f t="shared" si="18"/>
        <v>72</v>
      </c>
      <c r="Y70" s="269">
        <f t="shared" si="19"/>
        <v>73</v>
      </c>
      <c r="Z70" s="269">
        <f t="shared" si="20"/>
        <v>75</v>
      </c>
      <c r="AA70" s="269">
        <f t="shared" si="21"/>
        <v>76</v>
      </c>
    </row>
    <row r="71" spans="1:27">
      <c r="A71" s="104">
        <v>70</v>
      </c>
      <c r="B71" s="104" t="str">
        <f t="shared" si="12"/>
        <v>BDEFHIJL</v>
      </c>
      <c r="C71" s="104" t="s">
        <v>151</v>
      </c>
      <c r="D71" s="104" t="s">
        <v>232</v>
      </c>
      <c r="E71" s="104" t="s">
        <v>144</v>
      </c>
      <c r="F71" s="104" t="s">
        <v>150</v>
      </c>
      <c r="G71" s="104" t="s">
        <v>245</v>
      </c>
      <c r="H71" s="104" t="s">
        <v>152</v>
      </c>
      <c r="I71" s="104" t="s">
        <v>259</v>
      </c>
      <c r="J71" s="104" t="s">
        <v>258</v>
      </c>
      <c r="K71" s="269">
        <f t="shared" si="13"/>
        <v>69</v>
      </c>
      <c r="L71" s="269">
        <f t="shared" si="13"/>
        <v>74</v>
      </c>
      <c r="M71" s="269">
        <f t="shared" si="13"/>
        <v>66</v>
      </c>
      <c r="N71" s="269">
        <f t="shared" si="13"/>
        <v>68</v>
      </c>
      <c r="O71" s="269">
        <f t="shared" si="11"/>
        <v>72</v>
      </c>
      <c r="P71" s="269">
        <f t="shared" si="11"/>
        <v>70</v>
      </c>
      <c r="Q71" s="269">
        <f t="shared" si="11"/>
        <v>76</v>
      </c>
      <c r="R71" s="269">
        <f t="shared" si="11"/>
        <v>73</v>
      </c>
      <c r="S71" s="269"/>
      <c r="T71" s="269">
        <f t="shared" si="14"/>
        <v>66</v>
      </c>
      <c r="U71" s="269">
        <f t="shared" si="15"/>
        <v>68</v>
      </c>
      <c r="V71" s="269">
        <f t="shared" si="16"/>
        <v>69</v>
      </c>
      <c r="W71" s="269">
        <f t="shared" si="17"/>
        <v>70</v>
      </c>
      <c r="X71" s="269">
        <f t="shared" si="18"/>
        <v>72</v>
      </c>
      <c r="Y71" s="269">
        <f t="shared" si="19"/>
        <v>73</v>
      </c>
      <c r="Z71" s="269">
        <f t="shared" si="20"/>
        <v>74</v>
      </c>
      <c r="AA71" s="269">
        <f t="shared" si="21"/>
        <v>76</v>
      </c>
    </row>
    <row r="72" spans="1:27">
      <c r="A72" s="104">
        <v>71</v>
      </c>
      <c r="B72" s="104" t="str">
        <f t="shared" si="12"/>
        <v>BDEFHIJK</v>
      </c>
      <c r="C72" s="104" t="s">
        <v>151</v>
      </c>
      <c r="D72" s="104" t="s">
        <v>232</v>
      </c>
      <c r="E72" s="104" t="s">
        <v>144</v>
      </c>
      <c r="F72" s="104" t="s">
        <v>150</v>
      </c>
      <c r="G72" s="104" t="s">
        <v>245</v>
      </c>
      <c r="H72" s="104" t="s">
        <v>152</v>
      </c>
      <c r="I72" s="104" t="s">
        <v>258</v>
      </c>
      <c r="J72" s="104" t="s">
        <v>246</v>
      </c>
      <c r="K72" s="269">
        <f t="shared" si="13"/>
        <v>69</v>
      </c>
      <c r="L72" s="269">
        <f t="shared" si="13"/>
        <v>74</v>
      </c>
      <c r="M72" s="269">
        <f t="shared" si="13"/>
        <v>66</v>
      </c>
      <c r="N72" s="269">
        <f t="shared" si="13"/>
        <v>68</v>
      </c>
      <c r="O72" s="269">
        <f t="shared" si="11"/>
        <v>72</v>
      </c>
      <c r="P72" s="269">
        <f t="shared" si="11"/>
        <v>70</v>
      </c>
      <c r="Q72" s="269">
        <f t="shared" si="11"/>
        <v>73</v>
      </c>
      <c r="R72" s="269">
        <f t="shared" si="11"/>
        <v>75</v>
      </c>
      <c r="S72" s="269"/>
      <c r="T72" s="269">
        <f t="shared" si="14"/>
        <v>66</v>
      </c>
      <c r="U72" s="269">
        <f t="shared" si="15"/>
        <v>68</v>
      </c>
      <c r="V72" s="269">
        <f t="shared" si="16"/>
        <v>69</v>
      </c>
      <c r="W72" s="269">
        <f t="shared" si="17"/>
        <v>70</v>
      </c>
      <c r="X72" s="269">
        <f t="shared" si="18"/>
        <v>72</v>
      </c>
      <c r="Y72" s="269">
        <f t="shared" si="19"/>
        <v>73</v>
      </c>
      <c r="Z72" s="269">
        <f t="shared" si="20"/>
        <v>74</v>
      </c>
      <c r="AA72" s="269">
        <f t="shared" si="21"/>
        <v>75</v>
      </c>
    </row>
    <row r="73" spans="1:27">
      <c r="A73" s="104">
        <v>72</v>
      </c>
      <c r="B73" s="104" t="str">
        <f t="shared" si="12"/>
        <v>BDEFGJKL</v>
      </c>
      <c r="C73" s="104" t="s">
        <v>151</v>
      </c>
      <c r="D73" s="104" t="s">
        <v>231</v>
      </c>
      <c r="E73" s="104" t="s">
        <v>144</v>
      </c>
      <c r="F73" s="104" t="s">
        <v>150</v>
      </c>
      <c r="G73" s="104" t="s">
        <v>232</v>
      </c>
      <c r="H73" s="104" t="s">
        <v>152</v>
      </c>
      <c r="I73" s="104" t="s">
        <v>259</v>
      </c>
      <c r="J73" s="104" t="s">
        <v>246</v>
      </c>
      <c r="K73" s="269">
        <f t="shared" si="13"/>
        <v>69</v>
      </c>
      <c r="L73" s="269">
        <f t="shared" si="13"/>
        <v>71</v>
      </c>
      <c r="M73" s="269">
        <f t="shared" si="13"/>
        <v>66</v>
      </c>
      <c r="N73" s="269">
        <f t="shared" si="13"/>
        <v>68</v>
      </c>
      <c r="O73" s="269">
        <f t="shared" si="11"/>
        <v>74</v>
      </c>
      <c r="P73" s="269">
        <f t="shared" si="11"/>
        <v>70</v>
      </c>
      <c r="Q73" s="269">
        <f t="shared" si="11"/>
        <v>76</v>
      </c>
      <c r="R73" s="269">
        <f t="shared" si="11"/>
        <v>75</v>
      </c>
      <c r="S73" s="269"/>
      <c r="T73" s="269">
        <f t="shared" si="14"/>
        <v>66</v>
      </c>
      <c r="U73" s="269">
        <f t="shared" si="15"/>
        <v>68</v>
      </c>
      <c r="V73" s="269">
        <f t="shared" si="16"/>
        <v>69</v>
      </c>
      <c r="W73" s="269">
        <f t="shared" si="17"/>
        <v>70</v>
      </c>
      <c r="X73" s="269">
        <f t="shared" si="18"/>
        <v>71</v>
      </c>
      <c r="Y73" s="269">
        <f t="shared" si="19"/>
        <v>74</v>
      </c>
      <c r="Z73" s="269">
        <f t="shared" si="20"/>
        <v>75</v>
      </c>
      <c r="AA73" s="269">
        <f t="shared" si="21"/>
        <v>76</v>
      </c>
    </row>
    <row r="74" spans="1:27">
      <c r="A74" s="104">
        <v>73</v>
      </c>
      <c r="B74" s="104" t="str">
        <f t="shared" si="12"/>
        <v>BDEFGIKL</v>
      </c>
      <c r="C74" s="104" t="s">
        <v>151</v>
      </c>
      <c r="D74" s="104" t="s">
        <v>231</v>
      </c>
      <c r="E74" s="104" t="s">
        <v>144</v>
      </c>
      <c r="F74" s="104" t="s">
        <v>150</v>
      </c>
      <c r="G74" s="104" t="s">
        <v>258</v>
      </c>
      <c r="H74" s="104" t="s">
        <v>152</v>
      </c>
      <c r="I74" s="104" t="s">
        <v>259</v>
      </c>
      <c r="J74" s="104" t="s">
        <v>246</v>
      </c>
      <c r="K74" s="269">
        <f t="shared" si="13"/>
        <v>69</v>
      </c>
      <c r="L74" s="269">
        <f t="shared" si="13"/>
        <v>71</v>
      </c>
      <c r="M74" s="269">
        <f t="shared" si="13"/>
        <v>66</v>
      </c>
      <c r="N74" s="269">
        <f t="shared" si="13"/>
        <v>68</v>
      </c>
      <c r="O74" s="269">
        <f t="shared" si="11"/>
        <v>73</v>
      </c>
      <c r="P74" s="269">
        <f t="shared" si="11"/>
        <v>70</v>
      </c>
      <c r="Q74" s="269">
        <f t="shared" si="11"/>
        <v>76</v>
      </c>
      <c r="R74" s="269">
        <f t="shared" si="11"/>
        <v>75</v>
      </c>
      <c r="S74" s="269"/>
      <c r="T74" s="269">
        <f t="shared" si="14"/>
        <v>66</v>
      </c>
      <c r="U74" s="269">
        <f t="shared" si="15"/>
        <v>68</v>
      </c>
      <c r="V74" s="269">
        <f t="shared" si="16"/>
        <v>69</v>
      </c>
      <c r="W74" s="269">
        <f t="shared" si="17"/>
        <v>70</v>
      </c>
      <c r="X74" s="269">
        <f t="shared" si="18"/>
        <v>71</v>
      </c>
      <c r="Y74" s="269">
        <f t="shared" si="19"/>
        <v>73</v>
      </c>
      <c r="Z74" s="269">
        <f t="shared" si="20"/>
        <v>75</v>
      </c>
      <c r="AA74" s="269">
        <f t="shared" si="21"/>
        <v>76</v>
      </c>
    </row>
    <row r="75" spans="1:27">
      <c r="A75" s="104">
        <v>74</v>
      </c>
      <c r="B75" s="104" t="str">
        <f t="shared" si="12"/>
        <v>BDEFGIJL</v>
      </c>
      <c r="C75" s="104" t="s">
        <v>151</v>
      </c>
      <c r="D75" s="104" t="s">
        <v>231</v>
      </c>
      <c r="E75" s="104" t="s">
        <v>144</v>
      </c>
      <c r="F75" s="104" t="s">
        <v>150</v>
      </c>
      <c r="G75" s="104" t="s">
        <v>232</v>
      </c>
      <c r="H75" s="104" t="s">
        <v>152</v>
      </c>
      <c r="I75" s="104" t="s">
        <v>259</v>
      </c>
      <c r="J75" s="104" t="s">
        <v>258</v>
      </c>
      <c r="K75" s="269">
        <f t="shared" si="13"/>
        <v>69</v>
      </c>
      <c r="L75" s="269">
        <f t="shared" si="13"/>
        <v>71</v>
      </c>
      <c r="M75" s="269">
        <f t="shared" si="13"/>
        <v>66</v>
      </c>
      <c r="N75" s="269">
        <f t="shared" si="13"/>
        <v>68</v>
      </c>
      <c r="O75" s="269">
        <f t="shared" si="11"/>
        <v>74</v>
      </c>
      <c r="P75" s="269">
        <f t="shared" si="11"/>
        <v>70</v>
      </c>
      <c r="Q75" s="269">
        <f t="shared" si="11"/>
        <v>76</v>
      </c>
      <c r="R75" s="269">
        <f t="shared" si="11"/>
        <v>73</v>
      </c>
      <c r="S75" s="269"/>
      <c r="T75" s="269">
        <f t="shared" si="14"/>
        <v>66</v>
      </c>
      <c r="U75" s="269">
        <f t="shared" si="15"/>
        <v>68</v>
      </c>
      <c r="V75" s="269">
        <f t="shared" si="16"/>
        <v>69</v>
      </c>
      <c r="W75" s="269">
        <f t="shared" si="17"/>
        <v>70</v>
      </c>
      <c r="X75" s="269">
        <f t="shared" si="18"/>
        <v>71</v>
      </c>
      <c r="Y75" s="269">
        <f t="shared" si="19"/>
        <v>73</v>
      </c>
      <c r="Z75" s="269">
        <f t="shared" si="20"/>
        <v>74</v>
      </c>
      <c r="AA75" s="269">
        <f t="shared" si="21"/>
        <v>76</v>
      </c>
    </row>
    <row r="76" spans="1:27">
      <c r="A76" s="104">
        <v>75</v>
      </c>
      <c r="B76" s="104" t="str">
        <f t="shared" si="12"/>
        <v>BDEFGIJK</v>
      </c>
      <c r="C76" s="104" t="s">
        <v>151</v>
      </c>
      <c r="D76" s="104" t="s">
        <v>231</v>
      </c>
      <c r="E76" s="104" t="s">
        <v>144</v>
      </c>
      <c r="F76" s="104" t="s">
        <v>150</v>
      </c>
      <c r="G76" s="104" t="s">
        <v>232</v>
      </c>
      <c r="H76" s="104" t="s">
        <v>152</v>
      </c>
      <c r="I76" s="104" t="s">
        <v>258</v>
      </c>
      <c r="J76" s="104" t="s">
        <v>246</v>
      </c>
      <c r="K76" s="269">
        <f t="shared" si="13"/>
        <v>69</v>
      </c>
      <c r="L76" s="269">
        <f t="shared" si="13"/>
        <v>71</v>
      </c>
      <c r="M76" s="269">
        <f t="shared" si="13"/>
        <v>66</v>
      </c>
      <c r="N76" s="269">
        <f t="shared" si="13"/>
        <v>68</v>
      </c>
      <c r="O76" s="269">
        <f t="shared" si="11"/>
        <v>74</v>
      </c>
      <c r="P76" s="269">
        <f t="shared" si="11"/>
        <v>70</v>
      </c>
      <c r="Q76" s="269">
        <f t="shared" si="11"/>
        <v>73</v>
      </c>
      <c r="R76" s="269">
        <f t="shared" si="11"/>
        <v>75</v>
      </c>
      <c r="S76" s="269"/>
      <c r="T76" s="269">
        <f t="shared" si="14"/>
        <v>66</v>
      </c>
      <c r="U76" s="269">
        <f t="shared" si="15"/>
        <v>68</v>
      </c>
      <c r="V76" s="269">
        <f t="shared" si="16"/>
        <v>69</v>
      </c>
      <c r="W76" s="269">
        <f t="shared" si="17"/>
        <v>70</v>
      </c>
      <c r="X76" s="269">
        <f t="shared" si="18"/>
        <v>71</v>
      </c>
      <c r="Y76" s="269">
        <f t="shared" si="19"/>
        <v>73</v>
      </c>
      <c r="Z76" s="269">
        <f t="shared" si="20"/>
        <v>74</v>
      </c>
      <c r="AA76" s="269">
        <f t="shared" si="21"/>
        <v>75</v>
      </c>
    </row>
    <row r="77" spans="1:27">
      <c r="A77" s="104">
        <v>76</v>
      </c>
      <c r="B77" s="104" t="str">
        <f t="shared" si="12"/>
        <v>BDEFGHKL</v>
      </c>
      <c r="C77" s="104" t="s">
        <v>151</v>
      </c>
      <c r="D77" s="104" t="s">
        <v>231</v>
      </c>
      <c r="E77" s="104" t="s">
        <v>144</v>
      </c>
      <c r="F77" s="104" t="s">
        <v>150</v>
      </c>
      <c r="G77" s="104" t="s">
        <v>245</v>
      </c>
      <c r="H77" s="104" t="s">
        <v>152</v>
      </c>
      <c r="I77" s="104" t="s">
        <v>259</v>
      </c>
      <c r="J77" s="104" t="s">
        <v>246</v>
      </c>
      <c r="K77" s="269">
        <f t="shared" si="13"/>
        <v>69</v>
      </c>
      <c r="L77" s="269">
        <f t="shared" si="13"/>
        <v>71</v>
      </c>
      <c r="M77" s="269">
        <f t="shared" si="13"/>
        <v>66</v>
      </c>
      <c r="N77" s="269">
        <f t="shared" si="13"/>
        <v>68</v>
      </c>
      <c r="O77" s="269">
        <f t="shared" si="11"/>
        <v>72</v>
      </c>
      <c r="P77" s="269">
        <f t="shared" si="11"/>
        <v>70</v>
      </c>
      <c r="Q77" s="269">
        <f t="shared" si="11"/>
        <v>76</v>
      </c>
      <c r="R77" s="269">
        <f t="shared" si="11"/>
        <v>75</v>
      </c>
      <c r="S77" s="269"/>
      <c r="T77" s="269">
        <f t="shared" si="14"/>
        <v>66</v>
      </c>
      <c r="U77" s="269">
        <f t="shared" si="15"/>
        <v>68</v>
      </c>
      <c r="V77" s="269">
        <f t="shared" si="16"/>
        <v>69</v>
      </c>
      <c r="W77" s="269">
        <f t="shared" si="17"/>
        <v>70</v>
      </c>
      <c r="X77" s="269">
        <f t="shared" si="18"/>
        <v>71</v>
      </c>
      <c r="Y77" s="269">
        <f t="shared" si="19"/>
        <v>72</v>
      </c>
      <c r="Z77" s="269">
        <f t="shared" si="20"/>
        <v>75</v>
      </c>
      <c r="AA77" s="269">
        <f t="shared" si="21"/>
        <v>76</v>
      </c>
    </row>
    <row r="78" spans="1:27">
      <c r="A78" s="104">
        <v>77</v>
      </c>
      <c r="B78" s="104" t="str">
        <f t="shared" si="12"/>
        <v>BDEFGHJL</v>
      </c>
      <c r="C78" s="104" t="s">
        <v>245</v>
      </c>
      <c r="D78" s="104" t="s">
        <v>231</v>
      </c>
      <c r="E78" s="104" t="s">
        <v>144</v>
      </c>
      <c r="F78" s="104" t="s">
        <v>150</v>
      </c>
      <c r="G78" s="104" t="s">
        <v>232</v>
      </c>
      <c r="H78" s="104" t="s">
        <v>152</v>
      </c>
      <c r="I78" s="104" t="s">
        <v>259</v>
      </c>
      <c r="J78" s="104" t="s">
        <v>151</v>
      </c>
      <c r="K78" s="269">
        <f t="shared" si="13"/>
        <v>72</v>
      </c>
      <c r="L78" s="269">
        <f t="shared" si="13"/>
        <v>71</v>
      </c>
      <c r="M78" s="269">
        <f t="shared" si="13"/>
        <v>66</v>
      </c>
      <c r="N78" s="269">
        <f t="shared" si="13"/>
        <v>68</v>
      </c>
      <c r="O78" s="269">
        <f t="shared" si="11"/>
        <v>74</v>
      </c>
      <c r="P78" s="269">
        <f t="shared" si="11"/>
        <v>70</v>
      </c>
      <c r="Q78" s="269">
        <f t="shared" si="11"/>
        <v>76</v>
      </c>
      <c r="R78" s="269">
        <f t="shared" si="11"/>
        <v>69</v>
      </c>
      <c r="S78" s="269"/>
      <c r="T78" s="269">
        <f t="shared" si="14"/>
        <v>66</v>
      </c>
      <c r="U78" s="269">
        <f t="shared" si="15"/>
        <v>68</v>
      </c>
      <c r="V78" s="269">
        <f t="shared" si="16"/>
        <v>69</v>
      </c>
      <c r="W78" s="269">
        <f t="shared" si="17"/>
        <v>70</v>
      </c>
      <c r="X78" s="269">
        <f t="shared" si="18"/>
        <v>71</v>
      </c>
      <c r="Y78" s="269">
        <f t="shared" si="19"/>
        <v>72</v>
      </c>
      <c r="Z78" s="269">
        <f t="shared" si="20"/>
        <v>74</v>
      </c>
      <c r="AA78" s="269">
        <f t="shared" si="21"/>
        <v>76</v>
      </c>
    </row>
    <row r="79" spans="1:27">
      <c r="A79" s="104">
        <v>78</v>
      </c>
      <c r="B79" s="104" t="str">
        <f t="shared" si="12"/>
        <v>BDEFGHJK</v>
      </c>
      <c r="C79" s="104" t="s">
        <v>245</v>
      </c>
      <c r="D79" s="104" t="s">
        <v>231</v>
      </c>
      <c r="E79" s="104" t="s">
        <v>144</v>
      </c>
      <c r="F79" s="104" t="s">
        <v>150</v>
      </c>
      <c r="G79" s="104" t="s">
        <v>232</v>
      </c>
      <c r="H79" s="104" t="s">
        <v>152</v>
      </c>
      <c r="I79" s="104" t="s">
        <v>151</v>
      </c>
      <c r="J79" s="104" t="s">
        <v>246</v>
      </c>
      <c r="K79" s="269">
        <f t="shared" si="13"/>
        <v>72</v>
      </c>
      <c r="L79" s="269">
        <f t="shared" si="13"/>
        <v>71</v>
      </c>
      <c r="M79" s="269">
        <f t="shared" si="13"/>
        <v>66</v>
      </c>
      <c r="N79" s="269">
        <f t="shared" si="13"/>
        <v>68</v>
      </c>
      <c r="O79" s="269">
        <f t="shared" si="11"/>
        <v>74</v>
      </c>
      <c r="P79" s="269">
        <f t="shared" si="11"/>
        <v>70</v>
      </c>
      <c r="Q79" s="269">
        <f t="shared" si="11"/>
        <v>69</v>
      </c>
      <c r="R79" s="269">
        <f t="shared" si="11"/>
        <v>75</v>
      </c>
      <c r="S79" s="269"/>
      <c r="T79" s="269">
        <f t="shared" si="14"/>
        <v>66</v>
      </c>
      <c r="U79" s="269">
        <f t="shared" si="15"/>
        <v>68</v>
      </c>
      <c r="V79" s="269">
        <f t="shared" si="16"/>
        <v>69</v>
      </c>
      <c r="W79" s="269">
        <f t="shared" si="17"/>
        <v>70</v>
      </c>
      <c r="X79" s="269">
        <f t="shared" si="18"/>
        <v>71</v>
      </c>
      <c r="Y79" s="269">
        <f t="shared" si="19"/>
        <v>72</v>
      </c>
      <c r="Z79" s="269">
        <f t="shared" si="20"/>
        <v>74</v>
      </c>
      <c r="AA79" s="269">
        <f t="shared" si="21"/>
        <v>75</v>
      </c>
    </row>
    <row r="80" spans="1:27">
      <c r="A80" s="104">
        <v>79</v>
      </c>
      <c r="B80" s="104" t="str">
        <f t="shared" si="12"/>
        <v>BDEFGHIL</v>
      </c>
      <c r="C80" s="104" t="s">
        <v>151</v>
      </c>
      <c r="D80" s="104" t="s">
        <v>231</v>
      </c>
      <c r="E80" s="104" t="s">
        <v>144</v>
      </c>
      <c r="F80" s="104" t="s">
        <v>150</v>
      </c>
      <c r="G80" s="104" t="s">
        <v>245</v>
      </c>
      <c r="H80" s="104" t="s">
        <v>152</v>
      </c>
      <c r="I80" s="104" t="s">
        <v>259</v>
      </c>
      <c r="J80" s="104" t="s">
        <v>258</v>
      </c>
      <c r="K80" s="269">
        <f t="shared" si="13"/>
        <v>69</v>
      </c>
      <c r="L80" s="269">
        <f t="shared" si="13"/>
        <v>71</v>
      </c>
      <c r="M80" s="269">
        <f t="shared" si="13"/>
        <v>66</v>
      </c>
      <c r="N80" s="269">
        <f t="shared" si="13"/>
        <v>68</v>
      </c>
      <c r="O80" s="269">
        <f t="shared" si="11"/>
        <v>72</v>
      </c>
      <c r="P80" s="269">
        <f t="shared" si="11"/>
        <v>70</v>
      </c>
      <c r="Q80" s="269">
        <f t="shared" si="11"/>
        <v>76</v>
      </c>
      <c r="R80" s="269">
        <f t="shared" si="11"/>
        <v>73</v>
      </c>
      <c r="S80" s="269"/>
      <c r="T80" s="269">
        <f t="shared" si="14"/>
        <v>66</v>
      </c>
      <c r="U80" s="269">
        <f t="shared" si="15"/>
        <v>68</v>
      </c>
      <c r="V80" s="269">
        <f t="shared" si="16"/>
        <v>69</v>
      </c>
      <c r="W80" s="269">
        <f t="shared" si="17"/>
        <v>70</v>
      </c>
      <c r="X80" s="269">
        <f t="shared" si="18"/>
        <v>71</v>
      </c>
      <c r="Y80" s="269">
        <f t="shared" si="19"/>
        <v>72</v>
      </c>
      <c r="Z80" s="269">
        <f t="shared" si="20"/>
        <v>73</v>
      </c>
      <c r="AA80" s="269">
        <f t="shared" si="21"/>
        <v>76</v>
      </c>
    </row>
    <row r="81" spans="1:27">
      <c r="A81" s="104">
        <v>80</v>
      </c>
      <c r="B81" s="104" t="str">
        <f t="shared" si="12"/>
        <v>BDEFGHIK</v>
      </c>
      <c r="C81" s="104" t="s">
        <v>151</v>
      </c>
      <c r="D81" s="104" t="s">
        <v>231</v>
      </c>
      <c r="E81" s="104" t="s">
        <v>144</v>
      </c>
      <c r="F81" s="104" t="s">
        <v>150</v>
      </c>
      <c r="G81" s="104" t="s">
        <v>245</v>
      </c>
      <c r="H81" s="104" t="s">
        <v>152</v>
      </c>
      <c r="I81" s="104" t="s">
        <v>258</v>
      </c>
      <c r="J81" s="104" t="s">
        <v>246</v>
      </c>
      <c r="K81" s="269">
        <f t="shared" si="13"/>
        <v>69</v>
      </c>
      <c r="L81" s="269">
        <f t="shared" si="13"/>
        <v>71</v>
      </c>
      <c r="M81" s="269">
        <f t="shared" si="13"/>
        <v>66</v>
      </c>
      <c r="N81" s="269">
        <f t="shared" si="13"/>
        <v>68</v>
      </c>
      <c r="O81" s="269">
        <f t="shared" si="11"/>
        <v>72</v>
      </c>
      <c r="P81" s="269">
        <f t="shared" si="11"/>
        <v>70</v>
      </c>
      <c r="Q81" s="269">
        <f t="shared" si="11"/>
        <v>73</v>
      </c>
      <c r="R81" s="269">
        <f t="shared" si="11"/>
        <v>75</v>
      </c>
      <c r="S81" s="269"/>
      <c r="T81" s="269">
        <f t="shared" si="14"/>
        <v>66</v>
      </c>
      <c r="U81" s="269">
        <f t="shared" si="15"/>
        <v>68</v>
      </c>
      <c r="V81" s="269">
        <f t="shared" si="16"/>
        <v>69</v>
      </c>
      <c r="W81" s="269">
        <f t="shared" si="17"/>
        <v>70</v>
      </c>
      <c r="X81" s="269">
        <f t="shared" si="18"/>
        <v>71</v>
      </c>
      <c r="Y81" s="269">
        <f t="shared" si="19"/>
        <v>72</v>
      </c>
      <c r="Z81" s="269">
        <f t="shared" si="20"/>
        <v>73</v>
      </c>
      <c r="AA81" s="269">
        <f t="shared" si="21"/>
        <v>75</v>
      </c>
    </row>
    <row r="82" spans="1:27">
      <c r="A82" s="104">
        <v>81</v>
      </c>
      <c r="B82" s="104" t="str">
        <f t="shared" si="12"/>
        <v>BDEFGHIJ</v>
      </c>
      <c r="C82" s="104" t="s">
        <v>245</v>
      </c>
      <c r="D82" s="104" t="s">
        <v>231</v>
      </c>
      <c r="E82" s="104" t="s">
        <v>144</v>
      </c>
      <c r="F82" s="104" t="s">
        <v>150</v>
      </c>
      <c r="G82" s="104" t="s">
        <v>232</v>
      </c>
      <c r="H82" s="104" t="s">
        <v>152</v>
      </c>
      <c r="I82" s="104" t="s">
        <v>151</v>
      </c>
      <c r="J82" s="104" t="s">
        <v>258</v>
      </c>
      <c r="K82" s="269">
        <f t="shared" si="13"/>
        <v>72</v>
      </c>
      <c r="L82" s="269">
        <f t="shared" si="13"/>
        <v>71</v>
      </c>
      <c r="M82" s="269">
        <f t="shared" si="13"/>
        <v>66</v>
      </c>
      <c r="N82" s="269">
        <f t="shared" si="13"/>
        <v>68</v>
      </c>
      <c r="O82" s="269">
        <f t="shared" si="11"/>
        <v>74</v>
      </c>
      <c r="P82" s="269">
        <f t="shared" si="11"/>
        <v>70</v>
      </c>
      <c r="Q82" s="269">
        <f t="shared" si="11"/>
        <v>69</v>
      </c>
      <c r="R82" s="269">
        <f t="shared" si="11"/>
        <v>73</v>
      </c>
      <c r="S82" s="269"/>
      <c r="T82" s="269">
        <f t="shared" si="14"/>
        <v>66</v>
      </c>
      <c r="U82" s="269">
        <f t="shared" si="15"/>
        <v>68</v>
      </c>
      <c r="V82" s="269">
        <f t="shared" si="16"/>
        <v>69</v>
      </c>
      <c r="W82" s="269">
        <f t="shared" si="17"/>
        <v>70</v>
      </c>
      <c r="X82" s="269">
        <f t="shared" si="18"/>
        <v>71</v>
      </c>
      <c r="Y82" s="269">
        <f t="shared" si="19"/>
        <v>72</v>
      </c>
      <c r="Z82" s="269">
        <f t="shared" si="20"/>
        <v>73</v>
      </c>
      <c r="AA82" s="269">
        <f t="shared" si="21"/>
        <v>74</v>
      </c>
    </row>
    <row r="83" spans="1:27">
      <c r="A83" s="104">
        <v>82</v>
      </c>
      <c r="B83" s="104" t="str">
        <f t="shared" si="12"/>
        <v>BCGHIJKL</v>
      </c>
      <c r="C83" s="104" t="s">
        <v>245</v>
      </c>
      <c r="D83" s="104" t="s">
        <v>232</v>
      </c>
      <c r="E83" s="104" t="s">
        <v>144</v>
      </c>
      <c r="F83" s="104" t="s">
        <v>145</v>
      </c>
      <c r="G83" s="104" t="s">
        <v>258</v>
      </c>
      <c r="H83" s="104" t="s">
        <v>231</v>
      </c>
      <c r="I83" s="104" t="s">
        <v>259</v>
      </c>
      <c r="J83" s="104" t="s">
        <v>246</v>
      </c>
      <c r="K83" s="269">
        <f t="shared" si="13"/>
        <v>72</v>
      </c>
      <c r="L83" s="269">
        <f t="shared" si="13"/>
        <v>74</v>
      </c>
      <c r="M83" s="269">
        <f t="shared" si="13"/>
        <v>66</v>
      </c>
      <c r="N83" s="269">
        <f t="shared" si="13"/>
        <v>67</v>
      </c>
      <c r="O83" s="269">
        <f t="shared" si="11"/>
        <v>73</v>
      </c>
      <c r="P83" s="269">
        <f t="shared" si="11"/>
        <v>71</v>
      </c>
      <c r="Q83" s="269">
        <f t="shared" si="11"/>
        <v>76</v>
      </c>
      <c r="R83" s="269">
        <f t="shared" si="11"/>
        <v>75</v>
      </c>
      <c r="S83" s="269"/>
      <c r="T83" s="269">
        <f t="shared" si="14"/>
        <v>66</v>
      </c>
      <c r="U83" s="269">
        <f t="shared" si="15"/>
        <v>67</v>
      </c>
      <c r="V83" s="269">
        <f t="shared" si="16"/>
        <v>71</v>
      </c>
      <c r="W83" s="269">
        <f t="shared" si="17"/>
        <v>72</v>
      </c>
      <c r="X83" s="269">
        <f t="shared" si="18"/>
        <v>73</v>
      </c>
      <c r="Y83" s="269">
        <f t="shared" si="19"/>
        <v>74</v>
      </c>
      <c r="Z83" s="269">
        <f t="shared" si="20"/>
        <v>75</v>
      </c>
      <c r="AA83" s="269">
        <f t="shared" si="21"/>
        <v>76</v>
      </c>
    </row>
    <row r="84" spans="1:27">
      <c r="A84" s="104">
        <v>83</v>
      </c>
      <c r="B84" s="104" t="str">
        <f t="shared" si="12"/>
        <v>BCFHIJKL</v>
      </c>
      <c r="C84" s="104" t="s">
        <v>245</v>
      </c>
      <c r="D84" s="104" t="s">
        <v>232</v>
      </c>
      <c r="E84" s="104" t="s">
        <v>144</v>
      </c>
      <c r="F84" s="104" t="s">
        <v>145</v>
      </c>
      <c r="G84" s="104" t="s">
        <v>258</v>
      </c>
      <c r="H84" s="104" t="s">
        <v>152</v>
      </c>
      <c r="I84" s="104" t="s">
        <v>259</v>
      </c>
      <c r="J84" s="104" t="s">
        <v>246</v>
      </c>
      <c r="K84" s="269">
        <f t="shared" si="13"/>
        <v>72</v>
      </c>
      <c r="L84" s="269">
        <f t="shared" si="13"/>
        <v>74</v>
      </c>
      <c r="M84" s="269">
        <f t="shared" si="13"/>
        <v>66</v>
      </c>
      <c r="N84" s="269">
        <f t="shared" si="13"/>
        <v>67</v>
      </c>
      <c r="O84" s="269">
        <f t="shared" si="11"/>
        <v>73</v>
      </c>
      <c r="P84" s="269">
        <f t="shared" si="11"/>
        <v>70</v>
      </c>
      <c r="Q84" s="269">
        <f t="shared" si="11"/>
        <v>76</v>
      </c>
      <c r="R84" s="269">
        <f t="shared" si="11"/>
        <v>75</v>
      </c>
      <c r="S84" s="269"/>
      <c r="T84" s="269">
        <f t="shared" si="14"/>
        <v>66</v>
      </c>
      <c r="U84" s="269">
        <f t="shared" si="15"/>
        <v>67</v>
      </c>
      <c r="V84" s="269">
        <f t="shared" si="16"/>
        <v>70</v>
      </c>
      <c r="W84" s="269">
        <f t="shared" si="17"/>
        <v>72</v>
      </c>
      <c r="X84" s="269">
        <f t="shared" si="18"/>
        <v>73</v>
      </c>
      <c r="Y84" s="269">
        <f t="shared" si="19"/>
        <v>74</v>
      </c>
      <c r="Z84" s="269">
        <f t="shared" si="20"/>
        <v>75</v>
      </c>
      <c r="AA84" s="269">
        <f t="shared" si="21"/>
        <v>76</v>
      </c>
    </row>
    <row r="85" spans="1:27">
      <c r="A85" s="104">
        <v>84</v>
      </c>
      <c r="B85" s="104" t="str">
        <f t="shared" si="12"/>
        <v>BCFGIJKL</v>
      </c>
      <c r="C85" s="104" t="s">
        <v>258</v>
      </c>
      <c r="D85" s="104" t="s">
        <v>231</v>
      </c>
      <c r="E85" s="104" t="s">
        <v>144</v>
      </c>
      <c r="F85" s="104" t="s">
        <v>145</v>
      </c>
      <c r="G85" s="104" t="s">
        <v>232</v>
      </c>
      <c r="H85" s="104" t="s">
        <v>152</v>
      </c>
      <c r="I85" s="104" t="s">
        <v>259</v>
      </c>
      <c r="J85" s="104" t="s">
        <v>246</v>
      </c>
      <c r="K85" s="269">
        <f t="shared" si="13"/>
        <v>73</v>
      </c>
      <c r="L85" s="269">
        <f t="shared" si="13"/>
        <v>71</v>
      </c>
      <c r="M85" s="269">
        <f t="shared" si="13"/>
        <v>66</v>
      </c>
      <c r="N85" s="269">
        <f t="shared" si="13"/>
        <v>67</v>
      </c>
      <c r="O85" s="269">
        <f t="shared" si="11"/>
        <v>74</v>
      </c>
      <c r="P85" s="269">
        <f t="shared" si="11"/>
        <v>70</v>
      </c>
      <c r="Q85" s="269">
        <f t="shared" si="11"/>
        <v>76</v>
      </c>
      <c r="R85" s="269">
        <f t="shared" si="11"/>
        <v>75</v>
      </c>
      <c r="S85" s="269"/>
      <c r="T85" s="269">
        <f t="shared" si="14"/>
        <v>66</v>
      </c>
      <c r="U85" s="269">
        <f t="shared" si="15"/>
        <v>67</v>
      </c>
      <c r="V85" s="269">
        <f t="shared" si="16"/>
        <v>70</v>
      </c>
      <c r="W85" s="269">
        <f t="shared" si="17"/>
        <v>71</v>
      </c>
      <c r="X85" s="269">
        <f t="shared" si="18"/>
        <v>73</v>
      </c>
      <c r="Y85" s="269">
        <f t="shared" si="19"/>
        <v>74</v>
      </c>
      <c r="Z85" s="269">
        <f t="shared" si="20"/>
        <v>75</v>
      </c>
      <c r="AA85" s="269">
        <f t="shared" si="21"/>
        <v>76</v>
      </c>
    </row>
    <row r="86" spans="1:27">
      <c r="A86" s="104">
        <v>85</v>
      </c>
      <c r="B86" s="104" t="str">
        <f t="shared" si="12"/>
        <v>BCFGHJKL</v>
      </c>
      <c r="C86" s="104" t="s">
        <v>245</v>
      </c>
      <c r="D86" s="104" t="s">
        <v>231</v>
      </c>
      <c r="E86" s="104" t="s">
        <v>144</v>
      </c>
      <c r="F86" s="104" t="s">
        <v>145</v>
      </c>
      <c r="G86" s="104" t="s">
        <v>232</v>
      </c>
      <c r="H86" s="104" t="s">
        <v>152</v>
      </c>
      <c r="I86" s="104" t="s">
        <v>259</v>
      </c>
      <c r="J86" s="104" t="s">
        <v>246</v>
      </c>
      <c r="K86" s="269">
        <f t="shared" si="13"/>
        <v>72</v>
      </c>
      <c r="L86" s="269">
        <f t="shared" si="13"/>
        <v>71</v>
      </c>
      <c r="M86" s="269">
        <f t="shared" si="13"/>
        <v>66</v>
      </c>
      <c r="N86" s="269">
        <f t="shared" si="13"/>
        <v>67</v>
      </c>
      <c r="O86" s="269">
        <f t="shared" si="11"/>
        <v>74</v>
      </c>
      <c r="P86" s="269">
        <f t="shared" si="11"/>
        <v>70</v>
      </c>
      <c r="Q86" s="269">
        <f t="shared" si="11"/>
        <v>76</v>
      </c>
      <c r="R86" s="269">
        <f t="shared" si="11"/>
        <v>75</v>
      </c>
      <c r="S86" s="269"/>
      <c r="T86" s="269">
        <f t="shared" si="14"/>
        <v>66</v>
      </c>
      <c r="U86" s="269">
        <f t="shared" si="15"/>
        <v>67</v>
      </c>
      <c r="V86" s="269">
        <f t="shared" si="16"/>
        <v>70</v>
      </c>
      <c r="W86" s="269">
        <f t="shared" si="17"/>
        <v>71</v>
      </c>
      <c r="X86" s="269">
        <f t="shared" si="18"/>
        <v>72</v>
      </c>
      <c r="Y86" s="269">
        <f t="shared" si="19"/>
        <v>74</v>
      </c>
      <c r="Z86" s="269">
        <f t="shared" si="20"/>
        <v>75</v>
      </c>
      <c r="AA86" s="269">
        <f t="shared" si="21"/>
        <v>76</v>
      </c>
    </row>
    <row r="87" spans="1:27">
      <c r="A87" s="104">
        <v>86</v>
      </c>
      <c r="B87" s="104" t="str">
        <f t="shared" si="12"/>
        <v>BCFGHIKL</v>
      </c>
      <c r="C87" s="104" t="s">
        <v>245</v>
      </c>
      <c r="D87" s="104" t="s">
        <v>231</v>
      </c>
      <c r="E87" s="104" t="s">
        <v>144</v>
      </c>
      <c r="F87" s="104" t="s">
        <v>145</v>
      </c>
      <c r="G87" s="104" t="s">
        <v>258</v>
      </c>
      <c r="H87" s="104" t="s">
        <v>152</v>
      </c>
      <c r="I87" s="104" t="s">
        <v>259</v>
      </c>
      <c r="J87" s="104" t="s">
        <v>246</v>
      </c>
      <c r="K87" s="269">
        <f t="shared" si="13"/>
        <v>72</v>
      </c>
      <c r="L87" s="269">
        <f t="shared" si="13"/>
        <v>71</v>
      </c>
      <c r="M87" s="269">
        <f t="shared" si="13"/>
        <v>66</v>
      </c>
      <c r="N87" s="269">
        <f t="shared" si="13"/>
        <v>67</v>
      </c>
      <c r="O87" s="269">
        <f t="shared" si="11"/>
        <v>73</v>
      </c>
      <c r="P87" s="269">
        <f t="shared" si="11"/>
        <v>70</v>
      </c>
      <c r="Q87" s="269">
        <f t="shared" si="11"/>
        <v>76</v>
      </c>
      <c r="R87" s="269">
        <f t="shared" si="11"/>
        <v>75</v>
      </c>
      <c r="S87" s="269"/>
      <c r="T87" s="269">
        <f t="shared" si="14"/>
        <v>66</v>
      </c>
      <c r="U87" s="269">
        <f t="shared" si="15"/>
        <v>67</v>
      </c>
      <c r="V87" s="269">
        <f t="shared" si="16"/>
        <v>70</v>
      </c>
      <c r="W87" s="269">
        <f t="shared" si="17"/>
        <v>71</v>
      </c>
      <c r="X87" s="269">
        <f t="shared" si="18"/>
        <v>72</v>
      </c>
      <c r="Y87" s="269">
        <f t="shared" si="19"/>
        <v>73</v>
      </c>
      <c r="Z87" s="269">
        <f t="shared" si="20"/>
        <v>75</v>
      </c>
      <c r="AA87" s="269">
        <f t="shared" si="21"/>
        <v>76</v>
      </c>
    </row>
    <row r="88" spans="1:27">
      <c r="A88" s="104">
        <v>87</v>
      </c>
      <c r="B88" s="104" t="str">
        <f t="shared" si="12"/>
        <v>BCFGHIJL</v>
      </c>
      <c r="C88" s="104" t="s">
        <v>245</v>
      </c>
      <c r="D88" s="104" t="s">
        <v>231</v>
      </c>
      <c r="E88" s="104" t="s">
        <v>144</v>
      </c>
      <c r="F88" s="104" t="s">
        <v>145</v>
      </c>
      <c r="G88" s="104" t="s">
        <v>232</v>
      </c>
      <c r="H88" s="104" t="s">
        <v>152</v>
      </c>
      <c r="I88" s="104" t="s">
        <v>259</v>
      </c>
      <c r="J88" s="104" t="s">
        <v>258</v>
      </c>
      <c r="K88" s="269">
        <f t="shared" si="13"/>
        <v>72</v>
      </c>
      <c r="L88" s="269">
        <f t="shared" si="13"/>
        <v>71</v>
      </c>
      <c r="M88" s="269">
        <f t="shared" si="13"/>
        <v>66</v>
      </c>
      <c r="N88" s="269">
        <f t="shared" si="13"/>
        <v>67</v>
      </c>
      <c r="O88" s="269">
        <f t="shared" si="11"/>
        <v>74</v>
      </c>
      <c r="P88" s="269">
        <f t="shared" si="11"/>
        <v>70</v>
      </c>
      <c r="Q88" s="269">
        <f t="shared" si="11"/>
        <v>76</v>
      </c>
      <c r="R88" s="269">
        <f t="shared" si="11"/>
        <v>73</v>
      </c>
      <c r="S88" s="269"/>
      <c r="T88" s="269">
        <f t="shared" si="14"/>
        <v>66</v>
      </c>
      <c r="U88" s="269">
        <f t="shared" si="15"/>
        <v>67</v>
      </c>
      <c r="V88" s="269">
        <f t="shared" si="16"/>
        <v>70</v>
      </c>
      <c r="W88" s="269">
        <f t="shared" si="17"/>
        <v>71</v>
      </c>
      <c r="X88" s="269">
        <f t="shared" si="18"/>
        <v>72</v>
      </c>
      <c r="Y88" s="269">
        <f t="shared" si="19"/>
        <v>73</v>
      </c>
      <c r="Z88" s="269">
        <f t="shared" si="20"/>
        <v>74</v>
      </c>
      <c r="AA88" s="269">
        <f t="shared" si="21"/>
        <v>76</v>
      </c>
    </row>
    <row r="89" spans="1:27">
      <c r="A89" s="104">
        <v>88</v>
      </c>
      <c r="B89" s="104" t="str">
        <f t="shared" si="12"/>
        <v>BCFGHIJK</v>
      </c>
      <c r="C89" s="104" t="s">
        <v>245</v>
      </c>
      <c r="D89" s="104" t="s">
        <v>231</v>
      </c>
      <c r="E89" s="104" t="s">
        <v>144</v>
      </c>
      <c r="F89" s="104" t="s">
        <v>145</v>
      </c>
      <c r="G89" s="104" t="s">
        <v>232</v>
      </c>
      <c r="H89" s="104" t="s">
        <v>152</v>
      </c>
      <c r="I89" s="104" t="s">
        <v>258</v>
      </c>
      <c r="J89" s="104" t="s">
        <v>246</v>
      </c>
      <c r="K89" s="269">
        <f t="shared" si="13"/>
        <v>72</v>
      </c>
      <c r="L89" s="269">
        <f t="shared" si="13"/>
        <v>71</v>
      </c>
      <c r="M89" s="269">
        <f t="shared" si="13"/>
        <v>66</v>
      </c>
      <c r="N89" s="269">
        <f t="shared" si="13"/>
        <v>67</v>
      </c>
      <c r="O89" s="269">
        <f t="shared" si="11"/>
        <v>74</v>
      </c>
      <c r="P89" s="269">
        <f t="shared" si="11"/>
        <v>70</v>
      </c>
      <c r="Q89" s="269">
        <f t="shared" si="11"/>
        <v>73</v>
      </c>
      <c r="R89" s="269">
        <f t="shared" si="11"/>
        <v>75</v>
      </c>
      <c r="S89" s="269"/>
      <c r="T89" s="269">
        <f t="shared" si="14"/>
        <v>66</v>
      </c>
      <c r="U89" s="269">
        <f t="shared" si="15"/>
        <v>67</v>
      </c>
      <c r="V89" s="269">
        <f t="shared" si="16"/>
        <v>70</v>
      </c>
      <c r="W89" s="269">
        <f t="shared" si="17"/>
        <v>71</v>
      </c>
      <c r="X89" s="269">
        <f t="shared" si="18"/>
        <v>72</v>
      </c>
      <c r="Y89" s="269">
        <f t="shared" si="19"/>
        <v>73</v>
      </c>
      <c r="Z89" s="269">
        <f t="shared" si="20"/>
        <v>74</v>
      </c>
      <c r="AA89" s="269">
        <f t="shared" si="21"/>
        <v>75</v>
      </c>
    </row>
    <row r="90" spans="1:27">
      <c r="A90" s="104">
        <v>89</v>
      </c>
      <c r="B90" s="104" t="str">
        <f t="shared" si="12"/>
        <v>BCEHIJKL</v>
      </c>
      <c r="C90" s="104" t="s">
        <v>151</v>
      </c>
      <c r="D90" s="104" t="s">
        <v>232</v>
      </c>
      <c r="E90" s="104" t="s">
        <v>144</v>
      </c>
      <c r="F90" s="104" t="s">
        <v>145</v>
      </c>
      <c r="G90" s="104" t="s">
        <v>258</v>
      </c>
      <c r="H90" s="104" t="s">
        <v>245</v>
      </c>
      <c r="I90" s="104" t="s">
        <v>259</v>
      </c>
      <c r="J90" s="104" t="s">
        <v>246</v>
      </c>
      <c r="K90" s="269">
        <f t="shared" si="13"/>
        <v>69</v>
      </c>
      <c r="L90" s="269">
        <f t="shared" si="13"/>
        <v>74</v>
      </c>
      <c r="M90" s="269">
        <f t="shared" si="13"/>
        <v>66</v>
      </c>
      <c r="N90" s="269">
        <f t="shared" si="13"/>
        <v>67</v>
      </c>
      <c r="O90" s="269">
        <f t="shared" si="11"/>
        <v>73</v>
      </c>
      <c r="P90" s="269">
        <f t="shared" si="11"/>
        <v>72</v>
      </c>
      <c r="Q90" s="269">
        <f t="shared" si="11"/>
        <v>76</v>
      </c>
      <c r="R90" s="269">
        <f t="shared" si="11"/>
        <v>75</v>
      </c>
      <c r="S90" s="269"/>
      <c r="T90" s="269">
        <f t="shared" si="14"/>
        <v>66</v>
      </c>
      <c r="U90" s="269">
        <f t="shared" si="15"/>
        <v>67</v>
      </c>
      <c r="V90" s="269">
        <f t="shared" si="16"/>
        <v>69</v>
      </c>
      <c r="W90" s="269">
        <f t="shared" si="17"/>
        <v>72</v>
      </c>
      <c r="X90" s="269">
        <f t="shared" si="18"/>
        <v>73</v>
      </c>
      <c r="Y90" s="269">
        <f t="shared" si="19"/>
        <v>74</v>
      </c>
      <c r="Z90" s="269">
        <f t="shared" si="20"/>
        <v>75</v>
      </c>
      <c r="AA90" s="269">
        <f t="shared" si="21"/>
        <v>76</v>
      </c>
    </row>
    <row r="91" spans="1:27">
      <c r="A91" s="104">
        <v>90</v>
      </c>
      <c r="B91" s="104" t="str">
        <f t="shared" si="12"/>
        <v>BCEGIJKL</v>
      </c>
      <c r="C91" s="104" t="s">
        <v>151</v>
      </c>
      <c r="D91" s="104" t="s">
        <v>232</v>
      </c>
      <c r="E91" s="104" t="s">
        <v>144</v>
      </c>
      <c r="F91" s="104" t="s">
        <v>145</v>
      </c>
      <c r="G91" s="104" t="s">
        <v>258</v>
      </c>
      <c r="H91" s="104" t="s">
        <v>231</v>
      </c>
      <c r="I91" s="104" t="s">
        <v>259</v>
      </c>
      <c r="J91" s="104" t="s">
        <v>246</v>
      </c>
      <c r="K91" s="269">
        <f t="shared" si="13"/>
        <v>69</v>
      </c>
      <c r="L91" s="269">
        <f t="shared" si="13"/>
        <v>74</v>
      </c>
      <c r="M91" s="269">
        <f t="shared" si="13"/>
        <v>66</v>
      </c>
      <c r="N91" s="269">
        <f t="shared" si="13"/>
        <v>67</v>
      </c>
      <c r="O91" s="269">
        <f t="shared" si="11"/>
        <v>73</v>
      </c>
      <c r="P91" s="269">
        <f t="shared" si="11"/>
        <v>71</v>
      </c>
      <c r="Q91" s="269">
        <f t="shared" si="11"/>
        <v>76</v>
      </c>
      <c r="R91" s="269">
        <f t="shared" si="11"/>
        <v>75</v>
      </c>
      <c r="S91" s="269"/>
      <c r="T91" s="269">
        <f t="shared" si="14"/>
        <v>66</v>
      </c>
      <c r="U91" s="269">
        <f t="shared" si="15"/>
        <v>67</v>
      </c>
      <c r="V91" s="269">
        <f t="shared" si="16"/>
        <v>69</v>
      </c>
      <c r="W91" s="269">
        <f t="shared" si="17"/>
        <v>71</v>
      </c>
      <c r="X91" s="269">
        <f t="shared" si="18"/>
        <v>73</v>
      </c>
      <c r="Y91" s="269">
        <f t="shared" si="19"/>
        <v>74</v>
      </c>
      <c r="Z91" s="269">
        <f t="shared" si="20"/>
        <v>75</v>
      </c>
      <c r="AA91" s="269">
        <f t="shared" si="21"/>
        <v>76</v>
      </c>
    </row>
    <row r="92" spans="1:27">
      <c r="A92" s="104">
        <v>91</v>
      </c>
      <c r="B92" s="104" t="str">
        <f t="shared" si="12"/>
        <v>BCEGHJKL</v>
      </c>
      <c r="C92" s="104" t="s">
        <v>151</v>
      </c>
      <c r="D92" s="104" t="s">
        <v>232</v>
      </c>
      <c r="E92" s="104" t="s">
        <v>144</v>
      </c>
      <c r="F92" s="104" t="s">
        <v>145</v>
      </c>
      <c r="G92" s="104" t="s">
        <v>245</v>
      </c>
      <c r="H92" s="104" t="s">
        <v>231</v>
      </c>
      <c r="I92" s="104" t="s">
        <v>259</v>
      </c>
      <c r="J92" s="104" t="s">
        <v>246</v>
      </c>
      <c r="K92" s="269">
        <f t="shared" si="13"/>
        <v>69</v>
      </c>
      <c r="L92" s="269">
        <f t="shared" si="13"/>
        <v>74</v>
      </c>
      <c r="M92" s="269">
        <f t="shared" si="13"/>
        <v>66</v>
      </c>
      <c r="N92" s="269">
        <f t="shared" si="13"/>
        <v>67</v>
      </c>
      <c r="O92" s="269">
        <f t="shared" si="11"/>
        <v>72</v>
      </c>
      <c r="P92" s="269">
        <f t="shared" si="11"/>
        <v>71</v>
      </c>
      <c r="Q92" s="269">
        <f t="shared" si="11"/>
        <v>76</v>
      </c>
      <c r="R92" s="269">
        <f t="shared" si="11"/>
        <v>75</v>
      </c>
      <c r="S92" s="269"/>
      <c r="T92" s="269">
        <f t="shared" si="14"/>
        <v>66</v>
      </c>
      <c r="U92" s="269">
        <f t="shared" si="15"/>
        <v>67</v>
      </c>
      <c r="V92" s="269">
        <f t="shared" si="16"/>
        <v>69</v>
      </c>
      <c r="W92" s="269">
        <f t="shared" si="17"/>
        <v>71</v>
      </c>
      <c r="X92" s="269">
        <f t="shared" si="18"/>
        <v>72</v>
      </c>
      <c r="Y92" s="269">
        <f t="shared" si="19"/>
        <v>74</v>
      </c>
      <c r="Z92" s="269">
        <f t="shared" si="20"/>
        <v>75</v>
      </c>
      <c r="AA92" s="269">
        <f t="shared" si="21"/>
        <v>76</v>
      </c>
    </row>
    <row r="93" spans="1:27">
      <c r="A93" s="104">
        <v>92</v>
      </c>
      <c r="B93" s="104" t="str">
        <f t="shared" si="12"/>
        <v>BCEGHIKL</v>
      </c>
      <c r="C93" s="104" t="s">
        <v>151</v>
      </c>
      <c r="D93" s="104" t="s">
        <v>231</v>
      </c>
      <c r="E93" s="104" t="s">
        <v>144</v>
      </c>
      <c r="F93" s="104" t="s">
        <v>145</v>
      </c>
      <c r="G93" s="104" t="s">
        <v>258</v>
      </c>
      <c r="H93" s="104" t="s">
        <v>245</v>
      </c>
      <c r="I93" s="104" t="s">
        <v>259</v>
      </c>
      <c r="J93" s="104" t="s">
        <v>246</v>
      </c>
      <c r="K93" s="269">
        <f t="shared" si="13"/>
        <v>69</v>
      </c>
      <c r="L93" s="269">
        <f t="shared" si="13"/>
        <v>71</v>
      </c>
      <c r="M93" s="269">
        <f t="shared" si="13"/>
        <v>66</v>
      </c>
      <c r="N93" s="269">
        <f t="shared" si="13"/>
        <v>67</v>
      </c>
      <c r="O93" s="269">
        <f t="shared" si="11"/>
        <v>73</v>
      </c>
      <c r="P93" s="269">
        <f t="shared" si="11"/>
        <v>72</v>
      </c>
      <c r="Q93" s="269">
        <f t="shared" si="11"/>
        <v>76</v>
      </c>
      <c r="R93" s="269">
        <f t="shared" si="11"/>
        <v>75</v>
      </c>
      <c r="S93" s="269"/>
      <c r="T93" s="269">
        <f t="shared" si="14"/>
        <v>66</v>
      </c>
      <c r="U93" s="269">
        <f t="shared" si="15"/>
        <v>67</v>
      </c>
      <c r="V93" s="269">
        <f t="shared" si="16"/>
        <v>69</v>
      </c>
      <c r="W93" s="269">
        <f t="shared" si="17"/>
        <v>71</v>
      </c>
      <c r="X93" s="269">
        <f t="shared" si="18"/>
        <v>72</v>
      </c>
      <c r="Y93" s="269">
        <f t="shared" si="19"/>
        <v>73</v>
      </c>
      <c r="Z93" s="269">
        <f t="shared" si="20"/>
        <v>75</v>
      </c>
      <c r="AA93" s="269">
        <f t="shared" si="21"/>
        <v>76</v>
      </c>
    </row>
    <row r="94" spans="1:27">
      <c r="A94" s="104">
        <v>93</v>
      </c>
      <c r="B94" s="104" t="str">
        <f t="shared" si="12"/>
        <v>BCEGHIJL</v>
      </c>
      <c r="C94" s="104" t="s">
        <v>151</v>
      </c>
      <c r="D94" s="104" t="s">
        <v>232</v>
      </c>
      <c r="E94" s="104" t="s">
        <v>144</v>
      </c>
      <c r="F94" s="104" t="s">
        <v>145</v>
      </c>
      <c r="G94" s="104" t="s">
        <v>245</v>
      </c>
      <c r="H94" s="104" t="s">
        <v>231</v>
      </c>
      <c r="I94" s="104" t="s">
        <v>259</v>
      </c>
      <c r="J94" s="104" t="s">
        <v>258</v>
      </c>
      <c r="K94" s="269">
        <f t="shared" si="13"/>
        <v>69</v>
      </c>
      <c r="L94" s="269">
        <f t="shared" si="13"/>
        <v>74</v>
      </c>
      <c r="M94" s="269">
        <f t="shared" si="13"/>
        <v>66</v>
      </c>
      <c r="N94" s="269">
        <f t="shared" si="13"/>
        <v>67</v>
      </c>
      <c r="O94" s="269">
        <f t="shared" si="11"/>
        <v>72</v>
      </c>
      <c r="P94" s="269">
        <f t="shared" si="11"/>
        <v>71</v>
      </c>
      <c r="Q94" s="269">
        <f t="shared" si="11"/>
        <v>76</v>
      </c>
      <c r="R94" s="269">
        <f t="shared" si="11"/>
        <v>73</v>
      </c>
      <c r="S94" s="269"/>
      <c r="T94" s="269">
        <f t="shared" si="14"/>
        <v>66</v>
      </c>
      <c r="U94" s="269">
        <f t="shared" si="15"/>
        <v>67</v>
      </c>
      <c r="V94" s="269">
        <f t="shared" si="16"/>
        <v>69</v>
      </c>
      <c r="W94" s="269">
        <f t="shared" si="17"/>
        <v>71</v>
      </c>
      <c r="X94" s="269">
        <f t="shared" si="18"/>
        <v>72</v>
      </c>
      <c r="Y94" s="269">
        <f t="shared" si="19"/>
        <v>73</v>
      </c>
      <c r="Z94" s="269">
        <f t="shared" si="20"/>
        <v>74</v>
      </c>
      <c r="AA94" s="269">
        <f t="shared" si="21"/>
        <v>76</v>
      </c>
    </row>
    <row r="95" spans="1:27">
      <c r="A95" s="104">
        <v>94</v>
      </c>
      <c r="B95" s="104" t="str">
        <f t="shared" si="12"/>
        <v>BCEGHIJK</v>
      </c>
      <c r="C95" s="104" t="s">
        <v>151</v>
      </c>
      <c r="D95" s="104" t="s">
        <v>232</v>
      </c>
      <c r="E95" s="104" t="s">
        <v>144</v>
      </c>
      <c r="F95" s="104" t="s">
        <v>145</v>
      </c>
      <c r="G95" s="104" t="s">
        <v>245</v>
      </c>
      <c r="H95" s="104" t="s">
        <v>231</v>
      </c>
      <c r="I95" s="104" t="s">
        <v>258</v>
      </c>
      <c r="J95" s="104" t="s">
        <v>246</v>
      </c>
      <c r="K95" s="269">
        <f t="shared" si="13"/>
        <v>69</v>
      </c>
      <c r="L95" s="269">
        <f t="shared" si="13"/>
        <v>74</v>
      </c>
      <c r="M95" s="269">
        <f t="shared" si="13"/>
        <v>66</v>
      </c>
      <c r="N95" s="269">
        <f t="shared" si="13"/>
        <v>67</v>
      </c>
      <c r="O95" s="269">
        <f t="shared" si="11"/>
        <v>72</v>
      </c>
      <c r="P95" s="269">
        <f t="shared" si="11"/>
        <v>71</v>
      </c>
      <c r="Q95" s="269">
        <f t="shared" si="11"/>
        <v>73</v>
      </c>
      <c r="R95" s="269">
        <f t="shared" si="11"/>
        <v>75</v>
      </c>
      <c r="S95" s="269"/>
      <c r="T95" s="269">
        <f t="shared" si="14"/>
        <v>66</v>
      </c>
      <c r="U95" s="269">
        <f t="shared" si="15"/>
        <v>67</v>
      </c>
      <c r="V95" s="269">
        <f t="shared" si="16"/>
        <v>69</v>
      </c>
      <c r="W95" s="269">
        <f t="shared" si="17"/>
        <v>71</v>
      </c>
      <c r="X95" s="269">
        <f t="shared" si="18"/>
        <v>72</v>
      </c>
      <c r="Y95" s="269">
        <f t="shared" si="19"/>
        <v>73</v>
      </c>
      <c r="Z95" s="269">
        <f t="shared" si="20"/>
        <v>74</v>
      </c>
      <c r="AA95" s="269">
        <f t="shared" si="21"/>
        <v>75</v>
      </c>
    </row>
    <row r="96" spans="1:27">
      <c r="A96" s="104">
        <v>95</v>
      </c>
      <c r="B96" s="104" t="str">
        <f t="shared" si="12"/>
        <v>BCEFIJKL</v>
      </c>
      <c r="C96" s="104" t="s">
        <v>151</v>
      </c>
      <c r="D96" s="104" t="s">
        <v>232</v>
      </c>
      <c r="E96" s="104" t="s">
        <v>144</v>
      </c>
      <c r="F96" s="104" t="s">
        <v>145</v>
      </c>
      <c r="G96" s="104" t="s">
        <v>258</v>
      </c>
      <c r="H96" s="104" t="s">
        <v>152</v>
      </c>
      <c r="I96" s="104" t="s">
        <v>259</v>
      </c>
      <c r="J96" s="104" t="s">
        <v>246</v>
      </c>
      <c r="K96" s="269">
        <f t="shared" si="13"/>
        <v>69</v>
      </c>
      <c r="L96" s="269">
        <f t="shared" si="13"/>
        <v>74</v>
      </c>
      <c r="M96" s="269">
        <f t="shared" si="13"/>
        <v>66</v>
      </c>
      <c r="N96" s="269">
        <f t="shared" si="13"/>
        <v>67</v>
      </c>
      <c r="O96" s="269">
        <f t="shared" si="11"/>
        <v>73</v>
      </c>
      <c r="P96" s="269">
        <f t="shared" si="11"/>
        <v>70</v>
      </c>
      <c r="Q96" s="269">
        <f t="shared" si="11"/>
        <v>76</v>
      </c>
      <c r="R96" s="269">
        <f t="shared" si="11"/>
        <v>75</v>
      </c>
      <c r="S96" s="269"/>
      <c r="T96" s="269">
        <f t="shared" si="14"/>
        <v>66</v>
      </c>
      <c r="U96" s="269">
        <f t="shared" si="15"/>
        <v>67</v>
      </c>
      <c r="V96" s="269">
        <f t="shared" si="16"/>
        <v>69</v>
      </c>
      <c r="W96" s="269">
        <f t="shared" si="17"/>
        <v>70</v>
      </c>
      <c r="X96" s="269">
        <f t="shared" si="18"/>
        <v>73</v>
      </c>
      <c r="Y96" s="269">
        <f t="shared" si="19"/>
        <v>74</v>
      </c>
      <c r="Z96" s="269">
        <f t="shared" si="20"/>
        <v>75</v>
      </c>
      <c r="AA96" s="269">
        <f t="shared" si="21"/>
        <v>76</v>
      </c>
    </row>
    <row r="97" spans="1:27">
      <c r="A97" s="104">
        <v>96</v>
      </c>
      <c r="B97" s="104" t="str">
        <f t="shared" si="12"/>
        <v>BCEFHJKL</v>
      </c>
      <c r="C97" s="104" t="s">
        <v>151</v>
      </c>
      <c r="D97" s="104" t="s">
        <v>232</v>
      </c>
      <c r="E97" s="104" t="s">
        <v>144</v>
      </c>
      <c r="F97" s="104" t="s">
        <v>145</v>
      </c>
      <c r="G97" s="104" t="s">
        <v>245</v>
      </c>
      <c r="H97" s="104" t="s">
        <v>152</v>
      </c>
      <c r="I97" s="104" t="s">
        <v>259</v>
      </c>
      <c r="J97" s="104" t="s">
        <v>246</v>
      </c>
      <c r="K97" s="269">
        <f t="shared" si="13"/>
        <v>69</v>
      </c>
      <c r="L97" s="269">
        <f t="shared" si="13"/>
        <v>74</v>
      </c>
      <c r="M97" s="269">
        <f t="shared" si="13"/>
        <v>66</v>
      </c>
      <c r="N97" s="269">
        <f t="shared" si="13"/>
        <v>67</v>
      </c>
      <c r="O97" s="269">
        <f t="shared" si="11"/>
        <v>72</v>
      </c>
      <c r="P97" s="269">
        <f t="shared" si="11"/>
        <v>70</v>
      </c>
      <c r="Q97" s="269">
        <f t="shared" si="11"/>
        <v>76</v>
      </c>
      <c r="R97" s="269">
        <f t="shared" si="11"/>
        <v>75</v>
      </c>
      <c r="S97" s="269"/>
      <c r="T97" s="269">
        <f t="shared" si="14"/>
        <v>66</v>
      </c>
      <c r="U97" s="269">
        <f t="shared" si="15"/>
        <v>67</v>
      </c>
      <c r="V97" s="269">
        <f t="shared" si="16"/>
        <v>69</v>
      </c>
      <c r="W97" s="269">
        <f t="shared" si="17"/>
        <v>70</v>
      </c>
      <c r="X97" s="269">
        <f t="shared" si="18"/>
        <v>72</v>
      </c>
      <c r="Y97" s="269">
        <f t="shared" si="19"/>
        <v>74</v>
      </c>
      <c r="Z97" s="269">
        <f t="shared" si="20"/>
        <v>75</v>
      </c>
      <c r="AA97" s="269">
        <f t="shared" si="21"/>
        <v>76</v>
      </c>
    </row>
    <row r="98" spans="1:27">
      <c r="A98" s="104">
        <v>97</v>
      </c>
      <c r="B98" s="104" t="str">
        <f t="shared" si="12"/>
        <v>BCEFHIKL</v>
      </c>
      <c r="C98" s="104" t="s">
        <v>151</v>
      </c>
      <c r="D98" s="104" t="s">
        <v>258</v>
      </c>
      <c r="E98" s="104" t="s">
        <v>144</v>
      </c>
      <c r="F98" s="104" t="s">
        <v>145</v>
      </c>
      <c r="G98" s="104" t="s">
        <v>245</v>
      </c>
      <c r="H98" s="104" t="s">
        <v>152</v>
      </c>
      <c r="I98" s="104" t="s">
        <v>259</v>
      </c>
      <c r="J98" s="104" t="s">
        <v>246</v>
      </c>
      <c r="K98" s="269">
        <f t="shared" si="13"/>
        <v>69</v>
      </c>
      <c r="L98" s="269">
        <f t="shared" si="13"/>
        <v>73</v>
      </c>
      <c r="M98" s="269">
        <f t="shared" si="13"/>
        <v>66</v>
      </c>
      <c r="N98" s="269">
        <f t="shared" si="13"/>
        <v>67</v>
      </c>
      <c r="O98" s="269">
        <f t="shared" si="11"/>
        <v>72</v>
      </c>
      <c r="P98" s="269">
        <f t="shared" si="11"/>
        <v>70</v>
      </c>
      <c r="Q98" s="269">
        <f t="shared" si="11"/>
        <v>76</v>
      </c>
      <c r="R98" s="269">
        <f t="shared" si="11"/>
        <v>75</v>
      </c>
      <c r="S98" s="269"/>
      <c r="T98" s="269">
        <f t="shared" si="14"/>
        <v>66</v>
      </c>
      <c r="U98" s="269">
        <f t="shared" si="15"/>
        <v>67</v>
      </c>
      <c r="V98" s="269">
        <f t="shared" si="16"/>
        <v>69</v>
      </c>
      <c r="W98" s="269">
        <f t="shared" si="17"/>
        <v>70</v>
      </c>
      <c r="X98" s="269">
        <f t="shared" si="18"/>
        <v>72</v>
      </c>
      <c r="Y98" s="269">
        <f t="shared" si="19"/>
        <v>73</v>
      </c>
      <c r="Z98" s="269">
        <f t="shared" si="20"/>
        <v>75</v>
      </c>
      <c r="AA98" s="269">
        <f t="shared" si="21"/>
        <v>76</v>
      </c>
    </row>
    <row r="99" spans="1:27">
      <c r="A99" s="104">
        <v>98</v>
      </c>
      <c r="B99" s="104" t="str">
        <f t="shared" si="12"/>
        <v>BCEFHIJL</v>
      </c>
      <c r="C99" s="104" t="s">
        <v>151</v>
      </c>
      <c r="D99" s="104" t="s">
        <v>232</v>
      </c>
      <c r="E99" s="104" t="s">
        <v>144</v>
      </c>
      <c r="F99" s="104" t="s">
        <v>145</v>
      </c>
      <c r="G99" s="104" t="s">
        <v>245</v>
      </c>
      <c r="H99" s="104" t="s">
        <v>152</v>
      </c>
      <c r="I99" s="104" t="s">
        <v>259</v>
      </c>
      <c r="J99" s="104" t="s">
        <v>258</v>
      </c>
      <c r="K99" s="269">
        <f t="shared" si="13"/>
        <v>69</v>
      </c>
      <c r="L99" s="269">
        <f t="shared" si="13"/>
        <v>74</v>
      </c>
      <c r="M99" s="269">
        <f t="shared" si="13"/>
        <v>66</v>
      </c>
      <c r="N99" s="269">
        <f t="shared" si="13"/>
        <v>67</v>
      </c>
      <c r="O99" s="269">
        <f t="shared" si="11"/>
        <v>72</v>
      </c>
      <c r="P99" s="269">
        <f t="shared" si="11"/>
        <v>70</v>
      </c>
      <c r="Q99" s="269">
        <f t="shared" si="11"/>
        <v>76</v>
      </c>
      <c r="R99" s="269">
        <f t="shared" si="11"/>
        <v>73</v>
      </c>
      <c r="S99" s="269"/>
      <c r="T99" s="269">
        <f t="shared" si="14"/>
        <v>66</v>
      </c>
      <c r="U99" s="269">
        <f t="shared" si="15"/>
        <v>67</v>
      </c>
      <c r="V99" s="269">
        <f t="shared" si="16"/>
        <v>69</v>
      </c>
      <c r="W99" s="269">
        <f t="shared" si="17"/>
        <v>70</v>
      </c>
      <c r="X99" s="269">
        <f t="shared" si="18"/>
        <v>72</v>
      </c>
      <c r="Y99" s="269">
        <f t="shared" si="19"/>
        <v>73</v>
      </c>
      <c r="Z99" s="269">
        <f t="shared" si="20"/>
        <v>74</v>
      </c>
      <c r="AA99" s="269">
        <f t="shared" si="21"/>
        <v>76</v>
      </c>
    </row>
    <row r="100" spans="1:27">
      <c r="A100" s="104">
        <v>99</v>
      </c>
      <c r="B100" s="104" t="str">
        <f t="shared" si="12"/>
        <v>BCEFHIJK</v>
      </c>
      <c r="C100" s="104" t="s">
        <v>151</v>
      </c>
      <c r="D100" s="104" t="s">
        <v>232</v>
      </c>
      <c r="E100" s="104" t="s">
        <v>144</v>
      </c>
      <c r="F100" s="104" t="s">
        <v>145</v>
      </c>
      <c r="G100" s="104" t="s">
        <v>245</v>
      </c>
      <c r="H100" s="104" t="s">
        <v>152</v>
      </c>
      <c r="I100" s="104" t="s">
        <v>258</v>
      </c>
      <c r="J100" s="104" t="s">
        <v>246</v>
      </c>
      <c r="K100" s="269">
        <f t="shared" si="13"/>
        <v>69</v>
      </c>
      <c r="L100" s="269">
        <f t="shared" si="13"/>
        <v>74</v>
      </c>
      <c r="M100" s="269">
        <f t="shared" si="13"/>
        <v>66</v>
      </c>
      <c r="N100" s="269">
        <f t="shared" si="13"/>
        <v>67</v>
      </c>
      <c r="O100" s="269">
        <f t="shared" si="11"/>
        <v>72</v>
      </c>
      <c r="P100" s="269">
        <f t="shared" si="11"/>
        <v>70</v>
      </c>
      <c r="Q100" s="269">
        <f t="shared" si="11"/>
        <v>73</v>
      </c>
      <c r="R100" s="269">
        <f t="shared" si="11"/>
        <v>75</v>
      </c>
      <c r="S100" s="269"/>
      <c r="T100" s="269">
        <f t="shared" si="14"/>
        <v>66</v>
      </c>
      <c r="U100" s="269">
        <f t="shared" si="15"/>
        <v>67</v>
      </c>
      <c r="V100" s="269">
        <f t="shared" si="16"/>
        <v>69</v>
      </c>
      <c r="W100" s="269">
        <f t="shared" si="17"/>
        <v>70</v>
      </c>
      <c r="X100" s="269">
        <f t="shared" si="18"/>
        <v>72</v>
      </c>
      <c r="Y100" s="269">
        <f t="shared" si="19"/>
        <v>73</v>
      </c>
      <c r="Z100" s="269">
        <f t="shared" si="20"/>
        <v>74</v>
      </c>
      <c r="AA100" s="269">
        <f t="shared" si="21"/>
        <v>75</v>
      </c>
    </row>
    <row r="101" spans="1:27">
      <c r="A101" s="104">
        <v>100</v>
      </c>
      <c r="B101" s="104" t="str">
        <f t="shared" si="12"/>
        <v>BCEFGJKL</v>
      </c>
      <c r="C101" s="104" t="s">
        <v>151</v>
      </c>
      <c r="D101" s="104" t="s">
        <v>231</v>
      </c>
      <c r="E101" s="104" t="s">
        <v>144</v>
      </c>
      <c r="F101" s="104" t="s">
        <v>145</v>
      </c>
      <c r="G101" s="104" t="s">
        <v>232</v>
      </c>
      <c r="H101" s="104" t="s">
        <v>152</v>
      </c>
      <c r="I101" s="104" t="s">
        <v>259</v>
      </c>
      <c r="J101" s="104" t="s">
        <v>246</v>
      </c>
      <c r="K101" s="269">
        <f t="shared" si="13"/>
        <v>69</v>
      </c>
      <c r="L101" s="269">
        <f t="shared" si="13"/>
        <v>71</v>
      </c>
      <c r="M101" s="269">
        <f t="shared" si="13"/>
        <v>66</v>
      </c>
      <c r="N101" s="269">
        <f t="shared" si="13"/>
        <v>67</v>
      </c>
      <c r="O101" s="269">
        <f t="shared" si="11"/>
        <v>74</v>
      </c>
      <c r="P101" s="269">
        <f t="shared" si="11"/>
        <v>70</v>
      </c>
      <c r="Q101" s="269">
        <f t="shared" si="11"/>
        <v>76</v>
      </c>
      <c r="R101" s="269">
        <f t="shared" ref="R101:R164" si="22">CODE(MID(J101,2,1))</f>
        <v>75</v>
      </c>
      <c r="S101" s="269"/>
      <c r="T101" s="269">
        <f t="shared" si="14"/>
        <v>66</v>
      </c>
      <c r="U101" s="269">
        <f t="shared" si="15"/>
        <v>67</v>
      </c>
      <c r="V101" s="269">
        <f t="shared" si="16"/>
        <v>69</v>
      </c>
      <c r="W101" s="269">
        <f t="shared" si="17"/>
        <v>70</v>
      </c>
      <c r="X101" s="269">
        <f t="shared" si="18"/>
        <v>71</v>
      </c>
      <c r="Y101" s="269">
        <f t="shared" si="19"/>
        <v>74</v>
      </c>
      <c r="Z101" s="269">
        <f t="shared" si="20"/>
        <v>75</v>
      </c>
      <c r="AA101" s="269">
        <f t="shared" si="21"/>
        <v>76</v>
      </c>
    </row>
    <row r="102" spans="1:27">
      <c r="A102" s="104">
        <v>101</v>
      </c>
      <c r="B102" s="104" t="str">
        <f t="shared" si="12"/>
        <v>BCEFGIKL</v>
      </c>
      <c r="C102" s="104" t="s">
        <v>151</v>
      </c>
      <c r="D102" s="104" t="s">
        <v>231</v>
      </c>
      <c r="E102" s="104" t="s">
        <v>144</v>
      </c>
      <c r="F102" s="104" t="s">
        <v>145</v>
      </c>
      <c r="G102" s="104" t="s">
        <v>258</v>
      </c>
      <c r="H102" s="104" t="s">
        <v>152</v>
      </c>
      <c r="I102" s="104" t="s">
        <v>259</v>
      </c>
      <c r="J102" s="104" t="s">
        <v>246</v>
      </c>
      <c r="K102" s="269">
        <f t="shared" si="13"/>
        <v>69</v>
      </c>
      <c r="L102" s="269">
        <f t="shared" si="13"/>
        <v>71</v>
      </c>
      <c r="M102" s="269">
        <f t="shared" si="13"/>
        <v>66</v>
      </c>
      <c r="N102" s="269">
        <f t="shared" si="13"/>
        <v>67</v>
      </c>
      <c r="O102" s="269">
        <f t="shared" si="13"/>
        <v>73</v>
      </c>
      <c r="P102" s="269">
        <f t="shared" si="13"/>
        <v>70</v>
      </c>
      <c r="Q102" s="269">
        <f t="shared" si="13"/>
        <v>76</v>
      </c>
      <c r="R102" s="269">
        <f t="shared" si="22"/>
        <v>75</v>
      </c>
      <c r="S102" s="269"/>
      <c r="T102" s="269">
        <f t="shared" si="14"/>
        <v>66</v>
      </c>
      <c r="U102" s="269">
        <f t="shared" si="15"/>
        <v>67</v>
      </c>
      <c r="V102" s="269">
        <f t="shared" si="16"/>
        <v>69</v>
      </c>
      <c r="W102" s="269">
        <f t="shared" si="17"/>
        <v>70</v>
      </c>
      <c r="X102" s="269">
        <f t="shared" si="18"/>
        <v>71</v>
      </c>
      <c r="Y102" s="269">
        <f t="shared" si="19"/>
        <v>73</v>
      </c>
      <c r="Z102" s="269">
        <f t="shared" si="20"/>
        <v>75</v>
      </c>
      <c r="AA102" s="269">
        <f t="shared" si="21"/>
        <v>76</v>
      </c>
    </row>
    <row r="103" spans="1:27">
      <c r="A103" s="104">
        <v>102</v>
      </c>
      <c r="B103" s="104" t="str">
        <f t="shared" si="12"/>
        <v>BCEFGIJL</v>
      </c>
      <c r="C103" s="104" t="s">
        <v>151</v>
      </c>
      <c r="D103" s="104" t="s">
        <v>231</v>
      </c>
      <c r="E103" s="104" t="s">
        <v>144</v>
      </c>
      <c r="F103" s="104" t="s">
        <v>145</v>
      </c>
      <c r="G103" s="104" t="s">
        <v>232</v>
      </c>
      <c r="H103" s="104" t="s">
        <v>152</v>
      </c>
      <c r="I103" s="104" t="s">
        <v>259</v>
      </c>
      <c r="J103" s="104" t="s">
        <v>258</v>
      </c>
      <c r="K103" s="269">
        <f t="shared" si="13"/>
        <v>69</v>
      </c>
      <c r="L103" s="269">
        <f t="shared" si="13"/>
        <v>71</v>
      </c>
      <c r="M103" s="269">
        <f t="shared" si="13"/>
        <v>66</v>
      </c>
      <c r="N103" s="269">
        <f t="shared" si="13"/>
        <v>67</v>
      </c>
      <c r="O103" s="269">
        <f t="shared" si="13"/>
        <v>74</v>
      </c>
      <c r="P103" s="269">
        <f t="shared" si="13"/>
        <v>70</v>
      </c>
      <c r="Q103" s="269">
        <f t="shared" si="13"/>
        <v>76</v>
      </c>
      <c r="R103" s="269">
        <f t="shared" si="22"/>
        <v>73</v>
      </c>
      <c r="S103" s="269"/>
      <c r="T103" s="269">
        <f t="shared" si="14"/>
        <v>66</v>
      </c>
      <c r="U103" s="269">
        <f t="shared" si="15"/>
        <v>67</v>
      </c>
      <c r="V103" s="269">
        <f t="shared" si="16"/>
        <v>69</v>
      </c>
      <c r="W103" s="269">
        <f t="shared" si="17"/>
        <v>70</v>
      </c>
      <c r="X103" s="269">
        <f t="shared" si="18"/>
        <v>71</v>
      </c>
      <c r="Y103" s="269">
        <f t="shared" si="19"/>
        <v>73</v>
      </c>
      <c r="Z103" s="269">
        <f t="shared" si="20"/>
        <v>74</v>
      </c>
      <c r="AA103" s="269">
        <f t="shared" si="21"/>
        <v>76</v>
      </c>
    </row>
    <row r="104" spans="1:27">
      <c r="A104" s="104">
        <v>103</v>
      </c>
      <c r="B104" s="104" t="str">
        <f t="shared" si="12"/>
        <v>BCEFGIJK</v>
      </c>
      <c r="C104" s="104" t="s">
        <v>151</v>
      </c>
      <c r="D104" s="104" t="s">
        <v>231</v>
      </c>
      <c r="E104" s="104" t="s">
        <v>144</v>
      </c>
      <c r="F104" s="104" t="s">
        <v>145</v>
      </c>
      <c r="G104" s="104" t="s">
        <v>232</v>
      </c>
      <c r="H104" s="104" t="s">
        <v>152</v>
      </c>
      <c r="I104" s="104" t="s">
        <v>258</v>
      </c>
      <c r="J104" s="104" t="s">
        <v>246</v>
      </c>
      <c r="K104" s="269">
        <f t="shared" si="13"/>
        <v>69</v>
      </c>
      <c r="L104" s="269">
        <f t="shared" si="13"/>
        <v>71</v>
      </c>
      <c r="M104" s="269">
        <f t="shared" si="13"/>
        <v>66</v>
      </c>
      <c r="N104" s="269">
        <f t="shared" si="13"/>
        <v>67</v>
      </c>
      <c r="O104" s="269">
        <f t="shared" si="13"/>
        <v>74</v>
      </c>
      <c r="P104" s="269">
        <f t="shared" si="13"/>
        <v>70</v>
      </c>
      <c r="Q104" s="269">
        <f t="shared" si="13"/>
        <v>73</v>
      </c>
      <c r="R104" s="269">
        <f t="shared" si="22"/>
        <v>75</v>
      </c>
      <c r="S104" s="269"/>
      <c r="T104" s="269">
        <f t="shared" si="14"/>
        <v>66</v>
      </c>
      <c r="U104" s="269">
        <f t="shared" si="15"/>
        <v>67</v>
      </c>
      <c r="V104" s="269">
        <f t="shared" si="16"/>
        <v>69</v>
      </c>
      <c r="W104" s="269">
        <f t="shared" si="17"/>
        <v>70</v>
      </c>
      <c r="X104" s="269">
        <f t="shared" si="18"/>
        <v>71</v>
      </c>
      <c r="Y104" s="269">
        <f t="shared" si="19"/>
        <v>73</v>
      </c>
      <c r="Z104" s="269">
        <f t="shared" si="20"/>
        <v>74</v>
      </c>
      <c r="AA104" s="269">
        <f t="shared" si="21"/>
        <v>75</v>
      </c>
    </row>
    <row r="105" spans="1:27">
      <c r="A105" s="104">
        <v>104</v>
      </c>
      <c r="B105" s="104" t="str">
        <f t="shared" si="12"/>
        <v>BCEFGHKL</v>
      </c>
      <c r="C105" s="104" t="s">
        <v>151</v>
      </c>
      <c r="D105" s="104" t="s">
        <v>231</v>
      </c>
      <c r="E105" s="104" t="s">
        <v>144</v>
      </c>
      <c r="F105" s="104" t="s">
        <v>145</v>
      </c>
      <c r="G105" s="104" t="s">
        <v>245</v>
      </c>
      <c r="H105" s="104" t="s">
        <v>152</v>
      </c>
      <c r="I105" s="104" t="s">
        <v>259</v>
      </c>
      <c r="J105" s="104" t="s">
        <v>246</v>
      </c>
      <c r="K105" s="269">
        <f t="shared" si="13"/>
        <v>69</v>
      </c>
      <c r="L105" s="269">
        <f t="shared" si="13"/>
        <v>71</v>
      </c>
      <c r="M105" s="269">
        <f t="shared" si="13"/>
        <v>66</v>
      </c>
      <c r="N105" s="269">
        <f t="shared" si="13"/>
        <v>67</v>
      </c>
      <c r="O105" s="269">
        <f t="shared" si="13"/>
        <v>72</v>
      </c>
      <c r="P105" s="269">
        <f t="shared" si="13"/>
        <v>70</v>
      </c>
      <c r="Q105" s="269">
        <f t="shared" si="13"/>
        <v>76</v>
      </c>
      <c r="R105" s="269">
        <f t="shared" si="22"/>
        <v>75</v>
      </c>
      <c r="S105" s="269"/>
      <c r="T105" s="269">
        <f t="shared" si="14"/>
        <v>66</v>
      </c>
      <c r="U105" s="269">
        <f t="shared" si="15"/>
        <v>67</v>
      </c>
      <c r="V105" s="269">
        <f t="shared" si="16"/>
        <v>69</v>
      </c>
      <c r="W105" s="269">
        <f t="shared" si="17"/>
        <v>70</v>
      </c>
      <c r="X105" s="269">
        <f t="shared" si="18"/>
        <v>71</v>
      </c>
      <c r="Y105" s="269">
        <f t="shared" si="19"/>
        <v>72</v>
      </c>
      <c r="Z105" s="269">
        <f t="shared" si="20"/>
        <v>75</v>
      </c>
      <c r="AA105" s="269">
        <f t="shared" si="21"/>
        <v>76</v>
      </c>
    </row>
    <row r="106" spans="1:27">
      <c r="A106" s="104">
        <v>105</v>
      </c>
      <c r="B106" s="104" t="str">
        <f t="shared" si="12"/>
        <v>BCEFGHJL</v>
      </c>
      <c r="C106" s="104" t="s">
        <v>245</v>
      </c>
      <c r="D106" s="104" t="s">
        <v>231</v>
      </c>
      <c r="E106" s="104" t="s">
        <v>144</v>
      </c>
      <c r="F106" s="104" t="s">
        <v>145</v>
      </c>
      <c r="G106" s="104" t="s">
        <v>232</v>
      </c>
      <c r="H106" s="104" t="s">
        <v>152</v>
      </c>
      <c r="I106" s="104" t="s">
        <v>259</v>
      </c>
      <c r="J106" s="104" t="s">
        <v>151</v>
      </c>
      <c r="K106" s="269">
        <f t="shared" si="13"/>
        <v>72</v>
      </c>
      <c r="L106" s="269">
        <f t="shared" si="13"/>
        <v>71</v>
      </c>
      <c r="M106" s="269">
        <f t="shared" si="13"/>
        <v>66</v>
      </c>
      <c r="N106" s="269">
        <f t="shared" si="13"/>
        <v>67</v>
      </c>
      <c r="O106" s="269">
        <f t="shared" si="13"/>
        <v>74</v>
      </c>
      <c r="P106" s="269">
        <f t="shared" si="13"/>
        <v>70</v>
      </c>
      <c r="Q106" s="269">
        <f t="shared" si="13"/>
        <v>76</v>
      </c>
      <c r="R106" s="269">
        <f t="shared" si="22"/>
        <v>69</v>
      </c>
      <c r="S106" s="269"/>
      <c r="T106" s="269">
        <f t="shared" si="14"/>
        <v>66</v>
      </c>
      <c r="U106" s="269">
        <f t="shared" si="15"/>
        <v>67</v>
      </c>
      <c r="V106" s="269">
        <f t="shared" si="16"/>
        <v>69</v>
      </c>
      <c r="W106" s="269">
        <f t="shared" si="17"/>
        <v>70</v>
      </c>
      <c r="X106" s="269">
        <f t="shared" si="18"/>
        <v>71</v>
      </c>
      <c r="Y106" s="269">
        <f t="shared" si="19"/>
        <v>72</v>
      </c>
      <c r="Z106" s="269">
        <f t="shared" si="20"/>
        <v>74</v>
      </c>
      <c r="AA106" s="269">
        <f t="shared" si="21"/>
        <v>76</v>
      </c>
    </row>
    <row r="107" spans="1:27">
      <c r="A107" s="104">
        <v>106</v>
      </c>
      <c r="B107" s="104" t="str">
        <f t="shared" si="12"/>
        <v>BCEFGHJK</v>
      </c>
      <c r="C107" s="104" t="s">
        <v>245</v>
      </c>
      <c r="D107" s="104" t="s">
        <v>231</v>
      </c>
      <c r="E107" s="104" t="s">
        <v>144</v>
      </c>
      <c r="F107" s="104" t="s">
        <v>145</v>
      </c>
      <c r="G107" s="104" t="s">
        <v>232</v>
      </c>
      <c r="H107" s="104" t="s">
        <v>152</v>
      </c>
      <c r="I107" s="104" t="s">
        <v>151</v>
      </c>
      <c r="J107" s="104" t="s">
        <v>246</v>
      </c>
      <c r="K107" s="269">
        <f t="shared" si="13"/>
        <v>72</v>
      </c>
      <c r="L107" s="269">
        <f t="shared" si="13"/>
        <v>71</v>
      </c>
      <c r="M107" s="269">
        <f t="shared" si="13"/>
        <v>66</v>
      </c>
      <c r="N107" s="269">
        <f t="shared" si="13"/>
        <v>67</v>
      </c>
      <c r="O107" s="269">
        <f t="shared" si="13"/>
        <v>74</v>
      </c>
      <c r="P107" s="269">
        <f t="shared" si="13"/>
        <v>70</v>
      </c>
      <c r="Q107" s="269">
        <f t="shared" si="13"/>
        <v>69</v>
      </c>
      <c r="R107" s="269">
        <f t="shared" si="22"/>
        <v>75</v>
      </c>
      <c r="S107" s="269"/>
      <c r="T107" s="269">
        <f t="shared" si="14"/>
        <v>66</v>
      </c>
      <c r="U107" s="269">
        <f t="shared" si="15"/>
        <v>67</v>
      </c>
      <c r="V107" s="269">
        <f t="shared" si="16"/>
        <v>69</v>
      </c>
      <c r="W107" s="269">
        <f t="shared" si="17"/>
        <v>70</v>
      </c>
      <c r="X107" s="269">
        <f t="shared" si="18"/>
        <v>71</v>
      </c>
      <c r="Y107" s="269">
        <f t="shared" si="19"/>
        <v>72</v>
      </c>
      <c r="Z107" s="269">
        <f t="shared" si="20"/>
        <v>74</v>
      </c>
      <c r="AA107" s="269">
        <f t="shared" si="21"/>
        <v>75</v>
      </c>
    </row>
    <row r="108" spans="1:27">
      <c r="A108" s="104">
        <v>107</v>
      </c>
      <c r="B108" s="104" t="str">
        <f t="shared" si="12"/>
        <v>BCEFGHIL</v>
      </c>
      <c r="C108" s="104" t="s">
        <v>151</v>
      </c>
      <c r="D108" s="104" t="s">
        <v>231</v>
      </c>
      <c r="E108" s="104" t="s">
        <v>144</v>
      </c>
      <c r="F108" s="104" t="s">
        <v>145</v>
      </c>
      <c r="G108" s="104" t="s">
        <v>245</v>
      </c>
      <c r="H108" s="104" t="s">
        <v>152</v>
      </c>
      <c r="I108" s="104" t="s">
        <v>259</v>
      </c>
      <c r="J108" s="104" t="s">
        <v>258</v>
      </c>
      <c r="K108" s="269">
        <f t="shared" si="13"/>
        <v>69</v>
      </c>
      <c r="L108" s="269">
        <f t="shared" si="13"/>
        <v>71</v>
      </c>
      <c r="M108" s="269">
        <f t="shared" si="13"/>
        <v>66</v>
      </c>
      <c r="N108" s="269">
        <f t="shared" si="13"/>
        <v>67</v>
      </c>
      <c r="O108" s="269">
        <f t="shared" si="13"/>
        <v>72</v>
      </c>
      <c r="P108" s="269">
        <f t="shared" si="13"/>
        <v>70</v>
      </c>
      <c r="Q108" s="269">
        <f t="shared" si="13"/>
        <v>76</v>
      </c>
      <c r="R108" s="269">
        <f t="shared" si="22"/>
        <v>73</v>
      </c>
      <c r="S108" s="269"/>
      <c r="T108" s="269">
        <f t="shared" si="14"/>
        <v>66</v>
      </c>
      <c r="U108" s="269">
        <f t="shared" si="15"/>
        <v>67</v>
      </c>
      <c r="V108" s="269">
        <f t="shared" si="16"/>
        <v>69</v>
      </c>
      <c r="W108" s="269">
        <f t="shared" si="17"/>
        <v>70</v>
      </c>
      <c r="X108" s="269">
        <f t="shared" si="18"/>
        <v>71</v>
      </c>
      <c r="Y108" s="269">
        <f t="shared" si="19"/>
        <v>72</v>
      </c>
      <c r="Z108" s="269">
        <f t="shared" si="20"/>
        <v>73</v>
      </c>
      <c r="AA108" s="269">
        <f t="shared" si="21"/>
        <v>76</v>
      </c>
    </row>
    <row r="109" spans="1:27">
      <c r="A109" s="104">
        <v>108</v>
      </c>
      <c r="B109" s="104" t="str">
        <f t="shared" si="12"/>
        <v>BCEFGHIK</v>
      </c>
      <c r="C109" s="104" t="s">
        <v>151</v>
      </c>
      <c r="D109" s="104" t="s">
        <v>231</v>
      </c>
      <c r="E109" s="104" t="s">
        <v>144</v>
      </c>
      <c r="F109" s="104" t="s">
        <v>145</v>
      </c>
      <c r="G109" s="104" t="s">
        <v>245</v>
      </c>
      <c r="H109" s="104" t="s">
        <v>152</v>
      </c>
      <c r="I109" s="104" t="s">
        <v>258</v>
      </c>
      <c r="J109" s="104" t="s">
        <v>246</v>
      </c>
      <c r="K109" s="269">
        <f t="shared" si="13"/>
        <v>69</v>
      </c>
      <c r="L109" s="269">
        <f t="shared" si="13"/>
        <v>71</v>
      </c>
      <c r="M109" s="269">
        <f t="shared" si="13"/>
        <v>66</v>
      </c>
      <c r="N109" s="269">
        <f t="shared" si="13"/>
        <v>67</v>
      </c>
      <c r="O109" s="269">
        <f t="shared" si="13"/>
        <v>72</v>
      </c>
      <c r="P109" s="269">
        <f t="shared" si="13"/>
        <v>70</v>
      </c>
      <c r="Q109" s="269">
        <f t="shared" si="13"/>
        <v>73</v>
      </c>
      <c r="R109" s="269">
        <f t="shared" si="22"/>
        <v>75</v>
      </c>
      <c r="S109" s="269"/>
      <c r="T109" s="269">
        <f t="shared" si="14"/>
        <v>66</v>
      </c>
      <c r="U109" s="269">
        <f t="shared" si="15"/>
        <v>67</v>
      </c>
      <c r="V109" s="269">
        <f t="shared" si="16"/>
        <v>69</v>
      </c>
      <c r="W109" s="269">
        <f t="shared" si="17"/>
        <v>70</v>
      </c>
      <c r="X109" s="269">
        <f t="shared" si="18"/>
        <v>71</v>
      </c>
      <c r="Y109" s="269">
        <f t="shared" si="19"/>
        <v>72</v>
      </c>
      <c r="Z109" s="269">
        <f t="shared" si="20"/>
        <v>73</v>
      </c>
      <c r="AA109" s="269">
        <f t="shared" si="21"/>
        <v>75</v>
      </c>
    </row>
    <row r="110" spans="1:27">
      <c r="A110" s="104">
        <v>109</v>
      </c>
      <c r="B110" s="104" t="str">
        <f t="shared" si="12"/>
        <v>BCEFGHIJ</v>
      </c>
      <c r="C110" s="104" t="s">
        <v>245</v>
      </c>
      <c r="D110" s="104" t="s">
        <v>231</v>
      </c>
      <c r="E110" s="104" t="s">
        <v>144</v>
      </c>
      <c r="F110" s="104" t="s">
        <v>145</v>
      </c>
      <c r="G110" s="104" t="s">
        <v>232</v>
      </c>
      <c r="H110" s="104" t="s">
        <v>152</v>
      </c>
      <c r="I110" s="104" t="s">
        <v>151</v>
      </c>
      <c r="J110" s="104" t="s">
        <v>258</v>
      </c>
      <c r="K110" s="269">
        <f t="shared" si="13"/>
        <v>72</v>
      </c>
      <c r="L110" s="269">
        <f t="shared" si="13"/>
        <v>71</v>
      </c>
      <c r="M110" s="269">
        <f t="shared" si="13"/>
        <v>66</v>
      </c>
      <c r="N110" s="269">
        <f t="shared" si="13"/>
        <v>67</v>
      </c>
      <c r="O110" s="269">
        <f t="shared" si="13"/>
        <v>74</v>
      </c>
      <c r="P110" s="269">
        <f t="shared" si="13"/>
        <v>70</v>
      </c>
      <c r="Q110" s="269">
        <f t="shared" si="13"/>
        <v>69</v>
      </c>
      <c r="R110" s="269">
        <f t="shared" si="22"/>
        <v>73</v>
      </c>
      <c r="S110" s="269"/>
      <c r="T110" s="269">
        <f t="shared" si="14"/>
        <v>66</v>
      </c>
      <c r="U110" s="269">
        <f t="shared" si="15"/>
        <v>67</v>
      </c>
      <c r="V110" s="269">
        <f t="shared" si="16"/>
        <v>69</v>
      </c>
      <c r="W110" s="269">
        <f t="shared" si="17"/>
        <v>70</v>
      </c>
      <c r="X110" s="269">
        <f t="shared" si="18"/>
        <v>71</v>
      </c>
      <c r="Y110" s="269">
        <f t="shared" si="19"/>
        <v>72</v>
      </c>
      <c r="Z110" s="269">
        <f t="shared" si="20"/>
        <v>73</v>
      </c>
      <c r="AA110" s="269">
        <f t="shared" si="21"/>
        <v>74</v>
      </c>
    </row>
    <row r="111" spans="1:27">
      <c r="A111" s="104">
        <v>110</v>
      </c>
      <c r="B111" s="104" t="str">
        <f t="shared" si="12"/>
        <v>BCDHIJKL</v>
      </c>
      <c r="C111" s="104" t="s">
        <v>245</v>
      </c>
      <c r="D111" s="104" t="s">
        <v>232</v>
      </c>
      <c r="E111" s="104" t="s">
        <v>144</v>
      </c>
      <c r="F111" s="104" t="s">
        <v>145</v>
      </c>
      <c r="G111" s="104" t="s">
        <v>258</v>
      </c>
      <c r="H111" s="104" t="s">
        <v>150</v>
      </c>
      <c r="I111" s="104" t="s">
        <v>259</v>
      </c>
      <c r="J111" s="104" t="s">
        <v>246</v>
      </c>
      <c r="K111" s="269">
        <f t="shared" si="13"/>
        <v>72</v>
      </c>
      <c r="L111" s="269">
        <f t="shared" si="13"/>
        <v>74</v>
      </c>
      <c r="M111" s="269">
        <f t="shared" si="13"/>
        <v>66</v>
      </c>
      <c r="N111" s="269">
        <f t="shared" si="13"/>
        <v>67</v>
      </c>
      <c r="O111" s="269">
        <f t="shared" si="13"/>
        <v>73</v>
      </c>
      <c r="P111" s="269">
        <f t="shared" si="13"/>
        <v>68</v>
      </c>
      <c r="Q111" s="269">
        <f t="shared" si="13"/>
        <v>76</v>
      </c>
      <c r="R111" s="269">
        <f t="shared" si="22"/>
        <v>75</v>
      </c>
      <c r="S111" s="269"/>
      <c r="T111" s="269">
        <f t="shared" si="14"/>
        <v>66</v>
      </c>
      <c r="U111" s="269">
        <f t="shared" si="15"/>
        <v>67</v>
      </c>
      <c r="V111" s="269">
        <f t="shared" si="16"/>
        <v>68</v>
      </c>
      <c r="W111" s="269">
        <f t="shared" si="17"/>
        <v>72</v>
      </c>
      <c r="X111" s="269">
        <f t="shared" si="18"/>
        <v>73</v>
      </c>
      <c r="Y111" s="269">
        <f t="shared" si="19"/>
        <v>74</v>
      </c>
      <c r="Z111" s="269">
        <f t="shared" si="20"/>
        <v>75</v>
      </c>
      <c r="AA111" s="269">
        <f t="shared" si="21"/>
        <v>76</v>
      </c>
    </row>
    <row r="112" spans="1:27">
      <c r="A112" s="104">
        <v>111</v>
      </c>
      <c r="B112" s="104" t="str">
        <f t="shared" si="12"/>
        <v>BCDGIJKL</v>
      </c>
      <c r="C112" s="104" t="s">
        <v>258</v>
      </c>
      <c r="D112" s="104" t="s">
        <v>231</v>
      </c>
      <c r="E112" s="104" t="s">
        <v>144</v>
      </c>
      <c r="F112" s="104" t="s">
        <v>145</v>
      </c>
      <c r="G112" s="104" t="s">
        <v>232</v>
      </c>
      <c r="H112" s="104" t="s">
        <v>150</v>
      </c>
      <c r="I112" s="104" t="s">
        <v>259</v>
      </c>
      <c r="J112" s="104" t="s">
        <v>246</v>
      </c>
      <c r="K112" s="269">
        <f t="shared" si="13"/>
        <v>73</v>
      </c>
      <c r="L112" s="269">
        <f t="shared" si="13"/>
        <v>71</v>
      </c>
      <c r="M112" s="269">
        <f t="shared" si="13"/>
        <v>66</v>
      </c>
      <c r="N112" s="269">
        <f t="shared" si="13"/>
        <v>67</v>
      </c>
      <c r="O112" s="269">
        <f t="shared" si="13"/>
        <v>74</v>
      </c>
      <c r="P112" s="269">
        <f t="shared" si="13"/>
        <v>68</v>
      </c>
      <c r="Q112" s="269">
        <f t="shared" si="13"/>
        <v>76</v>
      </c>
      <c r="R112" s="269">
        <f t="shared" si="22"/>
        <v>75</v>
      </c>
      <c r="S112" s="269"/>
      <c r="T112" s="269">
        <f t="shared" si="14"/>
        <v>66</v>
      </c>
      <c r="U112" s="269">
        <f t="shared" si="15"/>
        <v>67</v>
      </c>
      <c r="V112" s="269">
        <f t="shared" si="16"/>
        <v>68</v>
      </c>
      <c r="W112" s="269">
        <f t="shared" si="17"/>
        <v>71</v>
      </c>
      <c r="X112" s="269">
        <f t="shared" si="18"/>
        <v>73</v>
      </c>
      <c r="Y112" s="269">
        <f t="shared" si="19"/>
        <v>74</v>
      </c>
      <c r="Z112" s="269">
        <f t="shared" si="20"/>
        <v>75</v>
      </c>
      <c r="AA112" s="269">
        <f t="shared" si="21"/>
        <v>76</v>
      </c>
    </row>
    <row r="113" spans="1:27">
      <c r="A113" s="104">
        <v>112</v>
      </c>
      <c r="B113" s="104" t="str">
        <f t="shared" si="12"/>
        <v>BCDGHJKL</v>
      </c>
      <c r="C113" s="104" t="s">
        <v>245</v>
      </c>
      <c r="D113" s="104" t="s">
        <v>231</v>
      </c>
      <c r="E113" s="104" t="s">
        <v>144</v>
      </c>
      <c r="F113" s="104" t="s">
        <v>145</v>
      </c>
      <c r="G113" s="104" t="s">
        <v>232</v>
      </c>
      <c r="H113" s="104" t="s">
        <v>150</v>
      </c>
      <c r="I113" s="104" t="s">
        <v>259</v>
      </c>
      <c r="J113" s="104" t="s">
        <v>246</v>
      </c>
      <c r="K113" s="269">
        <f t="shared" si="13"/>
        <v>72</v>
      </c>
      <c r="L113" s="269">
        <f t="shared" si="13"/>
        <v>71</v>
      </c>
      <c r="M113" s="269">
        <f t="shared" si="13"/>
        <v>66</v>
      </c>
      <c r="N113" s="269">
        <f t="shared" si="13"/>
        <v>67</v>
      </c>
      <c r="O113" s="269">
        <f t="shared" si="13"/>
        <v>74</v>
      </c>
      <c r="P113" s="269">
        <f t="shared" si="13"/>
        <v>68</v>
      </c>
      <c r="Q113" s="269">
        <f t="shared" si="13"/>
        <v>76</v>
      </c>
      <c r="R113" s="269">
        <f t="shared" si="22"/>
        <v>75</v>
      </c>
      <c r="S113" s="269"/>
      <c r="T113" s="269">
        <f t="shared" si="14"/>
        <v>66</v>
      </c>
      <c r="U113" s="269">
        <f t="shared" si="15"/>
        <v>67</v>
      </c>
      <c r="V113" s="269">
        <f t="shared" si="16"/>
        <v>68</v>
      </c>
      <c r="W113" s="269">
        <f t="shared" si="17"/>
        <v>71</v>
      </c>
      <c r="X113" s="269">
        <f t="shared" si="18"/>
        <v>72</v>
      </c>
      <c r="Y113" s="269">
        <f t="shared" si="19"/>
        <v>74</v>
      </c>
      <c r="Z113" s="269">
        <f t="shared" si="20"/>
        <v>75</v>
      </c>
      <c r="AA113" s="269">
        <f t="shared" si="21"/>
        <v>76</v>
      </c>
    </row>
    <row r="114" spans="1:27">
      <c r="A114" s="104">
        <v>113</v>
      </c>
      <c r="B114" s="104" t="str">
        <f t="shared" si="12"/>
        <v>BCDGHIKL</v>
      </c>
      <c r="C114" s="104" t="s">
        <v>245</v>
      </c>
      <c r="D114" s="104" t="s">
        <v>231</v>
      </c>
      <c r="E114" s="104" t="s">
        <v>144</v>
      </c>
      <c r="F114" s="104" t="s">
        <v>145</v>
      </c>
      <c r="G114" s="104" t="s">
        <v>258</v>
      </c>
      <c r="H114" s="104" t="s">
        <v>150</v>
      </c>
      <c r="I114" s="104" t="s">
        <v>259</v>
      </c>
      <c r="J114" s="104" t="s">
        <v>246</v>
      </c>
      <c r="K114" s="269">
        <f t="shared" si="13"/>
        <v>72</v>
      </c>
      <c r="L114" s="269">
        <f t="shared" si="13"/>
        <v>71</v>
      </c>
      <c r="M114" s="269">
        <f t="shared" si="13"/>
        <v>66</v>
      </c>
      <c r="N114" s="269">
        <f t="shared" si="13"/>
        <v>67</v>
      </c>
      <c r="O114" s="269">
        <f t="shared" si="13"/>
        <v>73</v>
      </c>
      <c r="P114" s="269">
        <f t="shared" si="13"/>
        <v>68</v>
      </c>
      <c r="Q114" s="269">
        <f t="shared" si="13"/>
        <v>76</v>
      </c>
      <c r="R114" s="269">
        <f t="shared" si="22"/>
        <v>75</v>
      </c>
      <c r="S114" s="269"/>
      <c r="T114" s="269">
        <f t="shared" si="14"/>
        <v>66</v>
      </c>
      <c r="U114" s="269">
        <f t="shared" si="15"/>
        <v>67</v>
      </c>
      <c r="V114" s="269">
        <f t="shared" si="16"/>
        <v>68</v>
      </c>
      <c r="W114" s="269">
        <f t="shared" si="17"/>
        <v>71</v>
      </c>
      <c r="X114" s="269">
        <f t="shared" si="18"/>
        <v>72</v>
      </c>
      <c r="Y114" s="269">
        <f t="shared" si="19"/>
        <v>73</v>
      </c>
      <c r="Z114" s="269">
        <f t="shared" si="20"/>
        <v>75</v>
      </c>
      <c r="AA114" s="269">
        <f t="shared" si="21"/>
        <v>76</v>
      </c>
    </row>
    <row r="115" spans="1:27">
      <c r="A115" s="104">
        <v>114</v>
      </c>
      <c r="B115" s="104" t="str">
        <f t="shared" si="12"/>
        <v>BCDGHIJL</v>
      </c>
      <c r="C115" s="104" t="s">
        <v>245</v>
      </c>
      <c r="D115" s="104" t="s">
        <v>231</v>
      </c>
      <c r="E115" s="104" t="s">
        <v>144</v>
      </c>
      <c r="F115" s="104" t="s">
        <v>145</v>
      </c>
      <c r="G115" s="104" t="s">
        <v>232</v>
      </c>
      <c r="H115" s="104" t="s">
        <v>150</v>
      </c>
      <c r="I115" s="104" t="s">
        <v>259</v>
      </c>
      <c r="J115" s="104" t="s">
        <v>258</v>
      </c>
      <c r="K115" s="269">
        <f t="shared" si="13"/>
        <v>72</v>
      </c>
      <c r="L115" s="269">
        <f t="shared" si="13"/>
        <v>71</v>
      </c>
      <c r="M115" s="269">
        <f t="shared" si="13"/>
        <v>66</v>
      </c>
      <c r="N115" s="269">
        <f t="shared" si="13"/>
        <v>67</v>
      </c>
      <c r="O115" s="269">
        <f t="shared" si="13"/>
        <v>74</v>
      </c>
      <c r="P115" s="269">
        <f t="shared" si="13"/>
        <v>68</v>
      </c>
      <c r="Q115" s="269">
        <f t="shared" si="13"/>
        <v>76</v>
      </c>
      <c r="R115" s="269">
        <f t="shared" si="22"/>
        <v>73</v>
      </c>
      <c r="S115" s="269"/>
      <c r="T115" s="269">
        <f t="shared" si="14"/>
        <v>66</v>
      </c>
      <c r="U115" s="269">
        <f t="shared" si="15"/>
        <v>67</v>
      </c>
      <c r="V115" s="269">
        <f t="shared" si="16"/>
        <v>68</v>
      </c>
      <c r="W115" s="269">
        <f t="shared" si="17"/>
        <v>71</v>
      </c>
      <c r="X115" s="269">
        <f t="shared" si="18"/>
        <v>72</v>
      </c>
      <c r="Y115" s="269">
        <f t="shared" si="19"/>
        <v>73</v>
      </c>
      <c r="Z115" s="269">
        <f t="shared" si="20"/>
        <v>74</v>
      </c>
      <c r="AA115" s="269">
        <f t="shared" si="21"/>
        <v>76</v>
      </c>
    </row>
    <row r="116" spans="1:27">
      <c r="A116" s="104">
        <v>115</v>
      </c>
      <c r="B116" s="104" t="str">
        <f t="shared" si="12"/>
        <v>BCDGHIJK</v>
      </c>
      <c r="C116" s="104" t="s">
        <v>245</v>
      </c>
      <c r="D116" s="104" t="s">
        <v>231</v>
      </c>
      <c r="E116" s="104" t="s">
        <v>144</v>
      </c>
      <c r="F116" s="104" t="s">
        <v>145</v>
      </c>
      <c r="G116" s="104" t="s">
        <v>232</v>
      </c>
      <c r="H116" s="104" t="s">
        <v>150</v>
      </c>
      <c r="I116" s="104" t="s">
        <v>258</v>
      </c>
      <c r="J116" s="104" t="s">
        <v>246</v>
      </c>
      <c r="K116" s="269">
        <f t="shared" si="13"/>
        <v>72</v>
      </c>
      <c r="L116" s="269">
        <f t="shared" si="13"/>
        <v>71</v>
      </c>
      <c r="M116" s="269">
        <f t="shared" si="13"/>
        <v>66</v>
      </c>
      <c r="N116" s="269">
        <f t="shared" si="13"/>
        <v>67</v>
      </c>
      <c r="O116" s="269">
        <f t="shared" si="13"/>
        <v>74</v>
      </c>
      <c r="P116" s="269">
        <f t="shared" si="13"/>
        <v>68</v>
      </c>
      <c r="Q116" s="269">
        <f t="shared" si="13"/>
        <v>73</v>
      </c>
      <c r="R116" s="269">
        <f t="shared" si="22"/>
        <v>75</v>
      </c>
      <c r="S116" s="269"/>
      <c r="T116" s="269">
        <f t="shared" si="14"/>
        <v>66</v>
      </c>
      <c r="U116" s="269">
        <f t="shared" si="15"/>
        <v>67</v>
      </c>
      <c r="V116" s="269">
        <f t="shared" si="16"/>
        <v>68</v>
      </c>
      <c r="W116" s="269">
        <f t="shared" si="17"/>
        <v>71</v>
      </c>
      <c r="X116" s="269">
        <f t="shared" si="18"/>
        <v>72</v>
      </c>
      <c r="Y116" s="269">
        <f t="shared" si="19"/>
        <v>73</v>
      </c>
      <c r="Z116" s="269">
        <f t="shared" si="20"/>
        <v>74</v>
      </c>
      <c r="AA116" s="269">
        <f t="shared" si="21"/>
        <v>75</v>
      </c>
    </row>
    <row r="117" spans="1:27">
      <c r="A117" s="104">
        <v>116</v>
      </c>
      <c r="B117" s="104" t="str">
        <f t="shared" si="12"/>
        <v>BCDFIJKL</v>
      </c>
      <c r="C117" s="104" t="s">
        <v>145</v>
      </c>
      <c r="D117" s="104" t="s">
        <v>232</v>
      </c>
      <c r="E117" s="104" t="s">
        <v>144</v>
      </c>
      <c r="F117" s="104" t="s">
        <v>150</v>
      </c>
      <c r="G117" s="104" t="s">
        <v>258</v>
      </c>
      <c r="H117" s="104" t="s">
        <v>152</v>
      </c>
      <c r="I117" s="104" t="s">
        <v>259</v>
      </c>
      <c r="J117" s="104" t="s">
        <v>246</v>
      </c>
      <c r="K117" s="269">
        <f t="shared" si="13"/>
        <v>67</v>
      </c>
      <c r="L117" s="269">
        <f t="shared" si="13"/>
        <v>74</v>
      </c>
      <c r="M117" s="269">
        <f t="shared" si="13"/>
        <v>66</v>
      </c>
      <c r="N117" s="269">
        <f t="shared" si="13"/>
        <v>68</v>
      </c>
      <c r="O117" s="269">
        <f t="shared" si="13"/>
        <v>73</v>
      </c>
      <c r="P117" s="269">
        <f t="shared" si="13"/>
        <v>70</v>
      </c>
      <c r="Q117" s="269">
        <f t="shared" si="13"/>
        <v>76</v>
      </c>
      <c r="R117" s="269">
        <f t="shared" si="22"/>
        <v>75</v>
      </c>
      <c r="S117" s="269"/>
      <c r="T117" s="269">
        <f t="shared" si="14"/>
        <v>66</v>
      </c>
      <c r="U117" s="269">
        <f t="shared" si="15"/>
        <v>67</v>
      </c>
      <c r="V117" s="269">
        <f t="shared" si="16"/>
        <v>68</v>
      </c>
      <c r="W117" s="269">
        <f t="shared" si="17"/>
        <v>70</v>
      </c>
      <c r="X117" s="269">
        <f t="shared" si="18"/>
        <v>73</v>
      </c>
      <c r="Y117" s="269">
        <f t="shared" si="19"/>
        <v>74</v>
      </c>
      <c r="Z117" s="269">
        <f t="shared" si="20"/>
        <v>75</v>
      </c>
      <c r="AA117" s="269">
        <f t="shared" si="21"/>
        <v>76</v>
      </c>
    </row>
    <row r="118" spans="1:27">
      <c r="A118" s="104">
        <v>117</v>
      </c>
      <c r="B118" s="104" t="str">
        <f t="shared" si="12"/>
        <v>BCDFHJKL</v>
      </c>
      <c r="C118" s="104" t="s">
        <v>145</v>
      </c>
      <c r="D118" s="104" t="s">
        <v>232</v>
      </c>
      <c r="E118" s="104" t="s">
        <v>144</v>
      </c>
      <c r="F118" s="104" t="s">
        <v>150</v>
      </c>
      <c r="G118" s="104" t="s">
        <v>245</v>
      </c>
      <c r="H118" s="104" t="s">
        <v>152</v>
      </c>
      <c r="I118" s="104" t="s">
        <v>259</v>
      </c>
      <c r="J118" s="104" t="s">
        <v>246</v>
      </c>
      <c r="K118" s="269">
        <f t="shared" si="13"/>
        <v>67</v>
      </c>
      <c r="L118" s="269">
        <f t="shared" si="13"/>
        <v>74</v>
      </c>
      <c r="M118" s="269">
        <f t="shared" si="13"/>
        <v>66</v>
      </c>
      <c r="N118" s="269">
        <f t="shared" ref="N118:R178" si="23">CODE(MID(F118,2,1))</f>
        <v>68</v>
      </c>
      <c r="O118" s="269">
        <f t="shared" si="23"/>
        <v>72</v>
      </c>
      <c r="P118" s="269">
        <f t="shared" si="23"/>
        <v>70</v>
      </c>
      <c r="Q118" s="269">
        <f t="shared" si="23"/>
        <v>76</v>
      </c>
      <c r="R118" s="269">
        <f t="shared" si="22"/>
        <v>75</v>
      </c>
      <c r="S118" s="269"/>
      <c r="T118" s="269">
        <f t="shared" si="14"/>
        <v>66</v>
      </c>
      <c r="U118" s="269">
        <f t="shared" si="15"/>
        <v>67</v>
      </c>
      <c r="V118" s="269">
        <f t="shared" si="16"/>
        <v>68</v>
      </c>
      <c r="W118" s="269">
        <f t="shared" si="17"/>
        <v>70</v>
      </c>
      <c r="X118" s="269">
        <f t="shared" si="18"/>
        <v>72</v>
      </c>
      <c r="Y118" s="269">
        <f t="shared" si="19"/>
        <v>74</v>
      </c>
      <c r="Z118" s="269">
        <f t="shared" si="20"/>
        <v>75</v>
      </c>
      <c r="AA118" s="269">
        <f t="shared" si="21"/>
        <v>76</v>
      </c>
    </row>
    <row r="119" spans="1:27">
      <c r="A119" s="104">
        <v>118</v>
      </c>
      <c r="B119" s="104" t="str">
        <f t="shared" si="12"/>
        <v>BCDFHIKL</v>
      </c>
      <c r="C119" s="104" t="s">
        <v>145</v>
      </c>
      <c r="D119" s="104" t="s">
        <v>258</v>
      </c>
      <c r="E119" s="104" t="s">
        <v>144</v>
      </c>
      <c r="F119" s="104" t="s">
        <v>150</v>
      </c>
      <c r="G119" s="104" t="s">
        <v>245</v>
      </c>
      <c r="H119" s="104" t="s">
        <v>152</v>
      </c>
      <c r="I119" s="104" t="s">
        <v>259</v>
      </c>
      <c r="J119" s="104" t="s">
        <v>246</v>
      </c>
      <c r="K119" s="269">
        <f t="shared" ref="K119:O182" si="24">CODE(MID(C119,2,1))</f>
        <v>67</v>
      </c>
      <c r="L119" s="269">
        <f t="shared" si="24"/>
        <v>73</v>
      </c>
      <c r="M119" s="269">
        <f t="shared" si="24"/>
        <v>66</v>
      </c>
      <c r="N119" s="269">
        <f t="shared" si="23"/>
        <v>68</v>
      </c>
      <c r="O119" s="269">
        <f t="shared" si="23"/>
        <v>72</v>
      </c>
      <c r="P119" s="269">
        <f t="shared" si="23"/>
        <v>70</v>
      </c>
      <c r="Q119" s="269">
        <f t="shared" si="23"/>
        <v>76</v>
      </c>
      <c r="R119" s="269">
        <f t="shared" si="22"/>
        <v>75</v>
      </c>
      <c r="S119" s="269"/>
      <c r="T119" s="269">
        <f t="shared" si="14"/>
        <v>66</v>
      </c>
      <c r="U119" s="269">
        <f t="shared" si="15"/>
        <v>67</v>
      </c>
      <c r="V119" s="269">
        <f t="shared" si="16"/>
        <v>68</v>
      </c>
      <c r="W119" s="269">
        <f t="shared" si="17"/>
        <v>70</v>
      </c>
      <c r="X119" s="269">
        <f t="shared" si="18"/>
        <v>72</v>
      </c>
      <c r="Y119" s="269">
        <f t="shared" si="19"/>
        <v>73</v>
      </c>
      <c r="Z119" s="269">
        <f t="shared" si="20"/>
        <v>75</v>
      </c>
      <c r="AA119" s="269">
        <f t="shared" si="21"/>
        <v>76</v>
      </c>
    </row>
    <row r="120" spans="1:27">
      <c r="A120" s="104">
        <v>119</v>
      </c>
      <c r="B120" s="104" t="str">
        <f t="shared" si="12"/>
        <v>BCDFHIJL</v>
      </c>
      <c r="C120" s="104" t="s">
        <v>145</v>
      </c>
      <c r="D120" s="104" t="s">
        <v>232</v>
      </c>
      <c r="E120" s="104" t="s">
        <v>144</v>
      </c>
      <c r="F120" s="104" t="s">
        <v>150</v>
      </c>
      <c r="G120" s="104" t="s">
        <v>245</v>
      </c>
      <c r="H120" s="104" t="s">
        <v>152</v>
      </c>
      <c r="I120" s="104" t="s">
        <v>259</v>
      </c>
      <c r="J120" s="104" t="s">
        <v>258</v>
      </c>
      <c r="K120" s="269">
        <f t="shared" si="24"/>
        <v>67</v>
      </c>
      <c r="L120" s="269">
        <f t="shared" si="24"/>
        <v>74</v>
      </c>
      <c r="M120" s="269">
        <f t="shared" si="24"/>
        <v>66</v>
      </c>
      <c r="N120" s="269">
        <f t="shared" si="23"/>
        <v>68</v>
      </c>
      <c r="O120" s="269">
        <f t="shared" si="23"/>
        <v>72</v>
      </c>
      <c r="P120" s="269">
        <f t="shared" si="23"/>
        <v>70</v>
      </c>
      <c r="Q120" s="269">
        <f t="shared" si="23"/>
        <v>76</v>
      </c>
      <c r="R120" s="269">
        <f t="shared" si="22"/>
        <v>73</v>
      </c>
      <c r="S120" s="269"/>
      <c r="T120" s="269">
        <f t="shared" si="14"/>
        <v>66</v>
      </c>
      <c r="U120" s="269">
        <f t="shared" si="15"/>
        <v>67</v>
      </c>
      <c r="V120" s="269">
        <f t="shared" si="16"/>
        <v>68</v>
      </c>
      <c r="W120" s="269">
        <f t="shared" si="17"/>
        <v>70</v>
      </c>
      <c r="X120" s="269">
        <f t="shared" si="18"/>
        <v>72</v>
      </c>
      <c r="Y120" s="269">
        <f t="shared" si="19"/>
        <v>73</v>
      </c>
      <c r="Z120" s="269">
        <f t="shared" si="20"/>
        <v>74</v>
      </c>
      <c r="AA120" s="269">
        <f t="shared" si="21"/>
        <v>76</v>
      </c>
    </row>
    <row r="121" spans="1:27">
      <c r="A121" s="104">
        <v>120</v>
      </c>
      <c r="B121" s="104" t="str">
        <f t="shared" si="12"/>
        <v>BCDFHIJK</v>
      </c>
      <c r="C121" s="104" t="s">
        <v>145</v>
      </c>
      <c r="D121" s="104" t="s">
        <v>232</v>
      </c>
      <c r="E121" s="104" t="s">
        <v>144</v>
      </c>
      <c r="F121" s="104" t="s">
        <v>150</v>
      </c>
      <c r="G121" s="104" t="s">
        <v>245</v>
      </c>
      <c r="H121" s="104" t="s">
        <v>152</v>
      </c>
      <c r="I121" s="104" t="s">
        <v>258</v>
      </c>
      <c r="J121" s="104" t="s">
        <v>246</v>
      </c>
      <c r="K121" s="269">
        <f t="shared" si="24"/>
        <v>67</v>
      </c>
      <c r="L121" s="269">
        <f t="shared" si="24"/>
        <v>74</v>
      </c>
      <c r="M121" s="269">
        <f t="shared" si="24"/>
        <v>66</v>
      </c>
      <c r="N121" s="269">
        <f t="shared" si="23"/>
        <v>68</v>
      </c>
      <c r="O121" s="269">
        <f t="shared" si="23"/>
        <v>72</v>
      </c>
      <c r="P121" s="269">
        <f t="shared" si="23"/>
        <v>70</v>
      </c>
      <c r="Q121" s="269">
        <f t="shared" si="23"/>
        <v>73</v>
      </c>
      <c r="R121" s="269">
        <f t="shared" si="22"/>
        <v>75</v>
      </c>
      <c r="S121" s="269"/>
      <c r="T121" s="269">
        <f t="shared" si="14"/>
        <v>66</v>
      </c>
      <c r="U121" s="269">
        <f t="shared" si="15"/>
        <v>67</v>
      </c>
      <c r="V121" s="269">
        <f t="shared" si="16"/>
        <v>68</v>
      </c>
      <c r="W121" s="269">
        <f t="shared" si="17"/>
        <v>70</v>
      </c>
      <c r="X121" s="269">
        <f t="shared" si="18"/>
        <v>72</v>
      </c>
      <c r="Y121" s="269">
        <f t="shared" si="19"/>
        <v>73</v>
      </c>
      <c r="Z121" s="269">
        <f t="shared" si="20"/>
        <v>74</v>
      </c>
      <c r="AA121" s="269">
        <f t="shared" si="21"/>
        <v>75</v>
      </c>
    </row>
    <row r="122" spans="1:27">
      <c r="A122" s="104">
        <v>121</v>
      </c>
      <c r="B122" s="104" t="str">
        <f t="shared" si="12"/>
        <v>BCDFGJKL</v>
      </c>
      <c r="C122" s="104" t="s">
        <v>145</v>
      </c>
      <c r="D122" s="104" t="s">
        <v>231</v>
      </c>
      <c r="E122" s="104" t="s">
        <v>144</v>
      </c>
      <c r="F122" s="104" t="s">
        <v>150</v>
      </c>
      <c r="G122" s="104" t="s">
        <v>232</v>
      </c>
      <c r="H122" s="104" t="s">
        <v>152</v>
      </c>
      <c r="I122" s="104" t="s">
        <v>259</v>
      </c>
      <c r="J122" s="104" t="s">
        <v>246</v>
      </c>
      <c r="K122" s="269">
        <f t="shared" si="24"/>
        <v>67</v>
      </c>
      <c r="L122" s="269">
        <f t="shared" si="24"/>
        <v>71</v>
      </c>
      <c r="M122" s="269">
        <f t="shared" si="24"/>
        <v>66</v>
      </c>
      <c r="N122" s="269">
        <f t="shared" si="23"/>
        <v>68</v>
      </c>
      <c r="O122" s="269">
        <f t="shared" si="23"/>
        <v>74</v>
      </c>
      <c r="P122" s="269">
        <f t="shared" si="23"/>
        <v>70</v>
      </c>
      <c r="Q122" s="269">
        <f t="shared" si="23"/>
        <v>76</v>
      </c>
      <c r="R122" s="269">
        <f t="shared" si="22"/>
        <v>75</v>
      </c>
      <c r="S122" s="269"/>
      <c r="T122" s="269">
        <f t="shared" si="14"/>
        <v>66</v>
      </c>
      <c r="U122" s="269">
        <f t="shared" si="15"/>
        <v>67</v>
      </c>
      <c r="V122" s="269">
        <f t="shared" si="16"/>
        <v>68</v>
      </c>
      <c r="W122" s="269">
        <f t="shared" si="17"/>
        <v>70</v>
      </c>
      <c r="X122" s="269">
        <f t="shared" si="18"/>
        <v>71</v>
      </c>
      <c r="Y122" s="269">
        <f t="shared" si="19"/>
        <v>74</v>
      </c>
      <c r="Z122" s="269">
        <f t="shared" si="20"/>
        <v>75</v>
      </c>
      <c r="AA122" s="269">
        <f t="shared" si="21"/>
        <v>76</v>
      </c>
    </row>
    <row r="123" spans="1:27">
      <c r="A123" s="104">
        <v>122</v>
      </c>
      <c r="B123" s="104" t="str">
        <f t="shared" si="12"/>
        <v>BCDFGIKL</v>
      </c>
      <c r="C123" s="104" t="s">
        <v>145</v>
      </c>
      <c r="D123" s="104" t="s">
        <v>231</v>
      </c>
      <c r="E123" s="104" t="s">
        <v>144</v>
      </c>
      <c r="F123" s="104" t="s">
        <v>150</v>
      </c>
      <c r="G123" s="104" t="s">
        <v>258</v>
      </c>
      <c r="H123" s="104" t="s">
        <v>152</v>
      </c>
      <c r="I123" s="104" t="s">
        <v>259</v>
      </c>
      <c r="J123" s="104" t="s">
        <v>246</v>
      </c>
      <c r="K123" s="269">
        <f t="shared" si="24"/>
        <v>67</v>
      </c>
      <c r="L123" s="269">
        <f t="shared" si="24"/>
        <v>71</v>
      </c>
      <c r="M123" s="269">
        <f t="shared" si="24"/>
        <v>66</v>
      </c>
      <c r="N123" s="269">
        <f t="shared" si="23"/>
        <v>68</v>
      </c>
      <c r="O123" s="269">
        <f t="shared" si="23"/>
        <v>73</v>
      </c>
      <c r="P123" s="269">
        <f t="shared" si="23"/>
        <v>70</v>
      </c>
      <c r="Q123" s="269">
        <f t="shared" si="23"/>
        <v>76</v>
      </c>
      <c r="R123" s="269">
        <f t="shared" si="22"/>
        <v>75</v>
      </c>
      <c r="S123" s="269"/>
      <c r="T123" s="269">
        <f t="shared" si="14"/>
        <v>66</v>
      </c>
      <c r="U123" s="269">
        <f t="shared" si="15"/>
        <v>67</v>
      </c>
      <c r="V123" s="269">
        <f t="shared" si="16"/>
        <v>68</v>
      </c>
      <c r="W123" s="269">
        <f t="shared" si="17"/>
        <v>70</v>
      </c>
      <c r="X123" s="269">
        <f t="shared" si="18"/>
        <v>71</v>
      </c>
      <c r="Y123" s="269">
        <f t="shared" si="19"/>
        <v>73</v>
      </c>
      <c r="Z123" s="269">
        <f t="shared" si="20"/>
        <v>75</v>
      </c>
      <c r="AA123" s="269">
        <f t="shared" si="21"/>
        <v>76</v>
      </c>
    </row>
    <row r="124" spans="1:27">
      <c r="A124" s="104">
        <v>123</v>
      </c>
      <c r="B124" s="104" t="str">
        <f t="shared" si="12"/>
        <v>BCDFGIJL</v>
      </c>
      <c r="C124" s="104" t="s">
        <v>145</v>
      </c>
      <c r="D124" s="104" t="s">
        <v>231</v>
      </c>
      <c r="E124" s="104" t="s">
        <v>144</v>
      </c>
      <c r="F124" s="104" t="s">
        <v>150</v>
      </c>
      <c r="G124" s="104" t="s">
        <v>232</v>
      </c>
      <c r="H124" s="104" t="s">
        <v>152</v>
      </c>
      <c r="I124" s="104" t="s">
        <v>259</v>
      </c>
      <c r="J124" s="104" t="s">
        <v>258</v>
      </c>
      <c r="K124" s="269">
        <f t="shared" si="24"/>
        <v>67</v>
      </c>
      <c r="L124" s="269">
        <f t="shared" si="24"/>
        <v>71</v>
      </c>
      <c r="M124" s="269">
        <f t="shared" si="24"/>
        <v>66</v>
      </c>
      <c r="N124" s="269">
        <f t="shared" si="23"/>
        <v>68</v>
      </c>
      <c r="O124" s="269">
        <f t="shared" si="23"/>
        <v>74</v>
      </c>
      <c r="P124" s="269">
        <f t="shared" si="23"/>
        <v>70</v>
      </c>
      <c r="Q124" s="269">
        <f t="shared" si="23"/>
        <v>76</v>
      </c>
      <c r="R124" s="269">
        <f t="shared" si="22"/>
        <v>73</v>
      </c>
      <c r="S124" s="269"/>
      <c r="T124" s="269">
        <f t="shared" si="14"/>
        <v>66</v>
      </c>
      <c r="U124" s="269">
        <f t="shared" si="15"/>
        <v>67</v>
      </c>
      <c r="V124" s="269">
        <f t="shared" si="16"/>
        <v>68</v>
      </c>
      <c r="W124" s="269">
        <f t="shared" si="17"/>
        <v>70</v>
      </c>
      <c r="X124" s="269">
        <f t="shared" si="18"/>
        <v>71</v>
      </c>
      <c r="Y124" s="269">
        <f t="shared" si="19"/>
        <v>73</v>
      </c>
      <c r="Z124" s="269">
        <f t="shared" si="20"/>
        <v>74</v>
      </c>
      <c r="AA124" s="269">
        <f t="shared" si="21"/>
        <v>76</v>
      </c>
    </row>
    <row r="125" spans="1:27">
      <c r="A125" s="104">
        <v>124</v>
      </c>
      <c r="B125" s="104" t="str">
        <f t="shared" si="12"/>
        <v>BCDFGIJK</v>
      </c>
      <c r="C125" s="104" t="s">
        <v>145</v>
      </c>
      <c r="D125" s="104" t="s">
        <v>231</v>
      </c>
      <c r="E125" s="104" t="s">
        <v>144</v>
      </c>
      <c r="F125" s="104" t="s">
        <v>150</v>
      </c>
      <c r="G125" s="104" t="s">
        <v>232</v>
      </c>
      <c r="H125" s="104" t="s">
        <v>152</v>
      </c>
      <c r="I125" s="104" t="s">
        <v>258</v>
      </c>
      <c r="J125" s="104" t="s">
        <v>246</v>
      </c>
      <c r="K125" s="269">
        <f t="shared" si="24"/>
        <v>67</v>
      </c>
      <c r="L125" s="269">
        <f t="shared" si="24"/>
        <v>71</v>
      </c>
      <c r="M125" s="269">
        <f t="shared" si="24"/>
        <v>66</v>
      </c>
      <c r="N125" s="269">
        <f t="shared" si="23"/>
        <v>68</v>
      </c>
      <c r="O125" s="269">
        <f t="shared" si="23"/>
        <v>74</v>
      </c>
      <c r="P125" s="269">
        <f t="shared" si="23"/>
        <v>70</v>
      </c>
      <c r="Q125" s="269">
        <f t="shared" si="23"/>
        <v>73</v>
      </c>
      <c r="R125" s="269">
        <f t="shared" si="22"/>
        <v>75</v>
      </c>
      <c r="S125" s="269"/>
      <c r="T125" s="269">
        <f t="shared" si="14"/>
        <v>66</v>
      </c>
      <c r="U125" s="269">
        <f t="shared" si="15"/>
        <v>67</v>
      </c>
      <c r="V125" s="269">
        <f t="shared" si="16"/>
        <v>68</v>
      </c>
      <c r="W125" s="269">
        <f t="shared" si="17"/>
        <v>70</v>
      </c>
      <c r="X125" s="269">
        <f t="shared" si="18"/>
        <v>71</v>
      </c>
      <c r="Y125" s="269">
        <f t="shared" si="19"/>
        <v>73</v>
      </c>
      <c r="Z125" s="269">
        <f t="shared" si="20"/>
        <v>74</v>
      </c>
      <c r="AA125" s="269">
        <f t="shared" si="21"/>
        <v>75</v>
      </c>
    </row>
    <row r="126" spans="1:27">
      <c r="A126" s="104">
        <v>125</v>
      </c>
      <c r="B126" s="104" t="str">
        <f t="shared" si="12"/>
        <v>BCDFGHKL</v>
      </c>
      <c r="C126" s="104" t="s">
        <v>145</v>
      </c>
      <c r="D126" s="104" t="s">
        <v>231</v>
      </c>
      <c r="E126" s="104" t="s">
        <v>144</v>
      </c>
      <c r="F126" s="104" t="s">
        <v>150</v>
      </c>
      <c r="G126" s="104" t="s">
        <v>245</v>
      </c>
      <c r="H126" s="104" t="s">
        <v>152</v>
      </c>
      <c r="I126" s="104" t="s">
        <v>259</v>
      </c>
      <c r="J126" s="104" t="s">
        <v>246</v>
      </c>
      <c r="K126" s="269">
        <f t="shared" si="24"/>
        <v>67</v>
      </c>
      <c r="L126" s="269">
        <f t="shared" si="24"/>
        <v>71</v>
      </c>
      <c r="M126" s="269">
        <f t="shared" si="24"/>
        <v>66</v>
      </c>
      <c r="N126" s="269">
        <f t="shared" si="23"/>
        <v>68</v>
      </c>
      <c r="O126" s="269">
        <f t="shared" si="23"/>
        <v>72</v>
      </c>
      <c r="P126" s="269">
        <f t="shared" si="23"/>
        <v>70</v>
      </c>
      <c r="Q126" s="269">
        <f t="shared" si="23"/>
        <v>76</v>
      </c>
      <c r="R126" s="269">
        <f t="shared" si="22"/>
        <v>75</v>
      </c>
      <c r="S126" s="269"/>
      <c r="T126" s="269">
        <f t="shared" si="14"/>
        <v>66</v>
      </c>
      <c r="U126" s="269">
        <f t="shared" si="15"/>
        <v>67</v>
      </c>
      <c r="V126" s="269">
        <f t="shared" si="16"/>
        <v>68</v>
      </c>
      <c r="W126" s="269">
        <f t="shared" si="17"/>
        <v>70</v>
      </c>
      <c r="X126" s="269">
        <f t="shared" si="18"/>
        <v>71</v>
      </c>
      <c r="Y126" s="269">
        <f t="shared" si="19"/>
        <v>72</v>
      </c>
      <c r="Z126" s="269">
        <f t="shared" si="20"/>
        <v>75</v>
      </c>
      <c r="AA126" s="269">
        <f t="shared" si="21"/>
        <v>76</v>
      </c>
    </row>
    <row r="127" spans="1:27">
      <c r="A127" s="104">
        <v>126</v>
      </c>
      <c r="B127" s="104" t="str">
        <f t="shared" si="12"/>
        <v>BCDFGHJL</v>
      </c>
      <c r="C127" s="104" t="s">
        <v>145</v>
      </c>
      <c r="D127" s="104" t="s">
        <v>231</v>
      </c>
      <c r="E127" s="104" t="s">
        <v>144</v>
      </c>
      <c r="F127" s="104" t="s">
        <v>150</v>
      </c>
      <c r="G127" s="104" t="s">
        <v>245</v>
      </c>
      <c r="H127" s="104" t="s">
        <v>152</v>
      </c>
      <c r="I127" s="104" t="s">
        <v>259</v>
      </c>
      <c r="J127" s="104" t="s">
        <v>232</v>
      </c>
      <c r="K127" s="269">
        <f t="shared" si="24"/>
        <v>67</v>
      </c>
      <c r="L127" s="269">
        <f t="shared" si="24"/>
        <v>71</v>
      </c>
      <c r="M127" s="269">
        <f t="shared" si="24"/>
        <v>66</v>
      </c>
      <c r="N127" s="269">
        <f t="shared" si="23"/>
        <v>68</v>
      </c>
      <c r="O127" s="269">
        <f t="shared" si="23"/>
        <v>72</v>
      </c>
      <c r="P127" s="269">
        <f t="shared" si="23"/>
        <v>70</v>
      </c>
      <c r="Q127" s="269">
        <f t="shared" si="23"/>
        <v>76</v>
      </c>
      <c r="R127" s="269">
        <f t="shared" si="22"/>
        <v>74</v>
      </c>
      <c r="S127" s="269"/>
      <c r="T127" s="269">
        <f t="shared" si="14"/>
        <v>66</v>
      </c>
      <c r="U127" s="269">
        <f t="shared" si="15"/>
        <v>67</v>
      </c>
      <c r="V127" s="269">
        <f t="shared" si="16"/>
        <v>68</v>
      </c>
      <c r="W127" s="269">
        <f t="shared" si="17"/>
        <v>70</v>
      </c>
      <c r="X127" s="269">
        <f t="shared" si="18"/>
        <v>71</v>
      </c>
      <c r="Y127" s="269">
        <f t="shared" si="19"/>
        <v>72</v>
      </c>
      <c r="Z127" s="269">
        <f t="shared" si="20"/>
        <v>74</v>
      </c>
      <c r="AA127" s="269">
        <f t="shared" si="21"/>
        <v>76</v>
      </c>
    </row>
    <row r="128" spans="1:27">
      <c r="A128" s="104">
        <v>127</v>
      </c>
      <c r="B128" s="104" t="str">
        <f t="shared" si="12"/>
        <v>BCDFGHJK</v>
      </c>
      <c r="C128" s="104" t="s">
        <v>245</v>
      </c>
      <c r="D128" s="104" t="s">
        <v>231</v>
      </c>
      <c r="E128" s="104" t="s">
        <v>144</v>
      </c>
      <c r="F128" s="104" t="s">
        <v>145</v>
      </c>
      <c r="G128" s="104" t="s">
        <v>232</v>
      </c>
      <c r="H128" s="104" t="s">
        <v>152</v>
      </c>
      <c r="I128" s="104" t="s">
        <v>150</v>
      </c>
      <c r="J128" s="104" t="s">
        <v>246</v>
      </c>
      <c r="K128" s="269">
        <f t="shared" si="24"/>
        <v>72</v>
      </c>
      <c r="L128" s="269">
        <f t="shared" si="24"/>
        <v>71</v>
      </c>
      <c r="M128" s="269">
        <f t="shared" si="24"/>
        <v>66</v>
      </c>
      <c r="N128" s="269">
        <f t="shared" si="23"/>
        <v>67</v>
      </c>
      <c r="O128" s="269">
        <f t="shared" si="23"/>
        <v>74</v>
      </c>
      <c r="P128" s="269">
        <f t="shared" si="23"/>
        <v>70</v>
      </c>
      <c r="Q128" s="269">
        <f t="shared" si="23"/>
        <v>68</v>
      </c>
      <c r="R128" s="269">
        <f t="shared" si="22"/>
        <v>75</v>
      </c>
      <c r="S128" s="269"/>
      <c r="T128" s="269">
        <f t="shared" si="14"/>
        <v>66</v>
      </c>
      <c r="U128" s="269">
        <f t="shared" si="15"/>
        <v>67</v>
      </c>
      <c r="V128" s="269">
        <f t="shared" si="16"/>
        <v>68</v>
      </c>
      <c r="W128" s="269">
        <f t="shared" si="17"/>
        <v>70</v>
      </c>
      <c r="X128" s="269">
        <f t="shared" si="18"/>
        <v>71</v>
      </c>
      <c r="Y128" s="269">
        <f t="shared" si="19"/>
        <v>72</v>
      </c>
      <c r="Z128" s="269">
        <f t="shared" si="20"/>
        <v>74</v>
      </c>
      <c r="AA128" s="269">
        <f t="shared" si="21"/>
        <v>75</v>
      </c>
    </row>
    <row r="129" spans="1:27">
      <c r="A129" s="104">
        <v>128</v>
      </c>
      <c r="B129" s="104" t="str">
        <f t="shared" si="12"/>
        <v>BCDFGHIL</v>
      </c>
      <c r="C129" s="104" t="s">
        <v>145</v>
      </c>
      <c r="D129" s="104" t="s">
        <v>231</v>
      </c>
      <c r="E129" s="104" t="s">
        <v>144</v>
      </c>
      <c r="F129" s="104" t="s">
        <v>150</v>
      </c>
      <c r="G129" s="104" t="s">
        <v>245</v>
      </c>
      <c r="H129" s="104" t="s">
        <v>152</v>
      </c>
      <c r="I129" s="104" t="s">
        <v>259</v>
      </c>
      <c r="J129" s="104" t="s">
        <v>258</v>
      </c>
      <c r="K129" s="269">
        <f t="shared" si="24"/>
        <v>67</v>
      </c>
      <c r="L129" s="269">
        <f t="shared" si="24"/>
        <v>71</v>
      </c>
      <c r="M129" s="269">
        <f t="shared" si="24"/>
        <v>66</v>
      </c>
      <c r="N129" s="269">
        <f t="shared" si="23"/>
        <v>68</v>
      </c>
      <c r="O129" s="269">
        <f t="shared" si="23"/>
        <v>72</v>
      </c>
      <c r="P129" s="269">
        <f t="shared" si="23"/>
        <v>70</v>
      </c>
      <c r="Q129" s="269">
        <f t="shared" si="23"/>
        <v>76</v>
      </c>
      <c r="R129" s="269">
        <f t="shared" si="22"/>
        <v>73</v>
      </c>
      <c r="S129" s="269"/>
      <c r="T129" s="269">
        <f t="shared" si="14"/>
        <v>66</v>
      </c>
      <c r="U129" s="269">
        <f t="shared" si="15"/>
        <v>67</v>
      </c>
      <c r="V129" s="269">
        <f t="shared" si="16"/>
        <v>68</v>
      </c>
      <c r="W129" s="269">
        <f t="shared" si="17"/>
        <v>70</v>
      </c>
      <c r="X129" s="269">
        <f t="shared" si="18"/>
        <v>71</v>
      </c>
      <c r="Y129" s="269">
        <f t="shared" si="19"/>
        <v>72</v>
      </c>
      <c r="Z129" s="269">
        <f t="shared" si="20"/>
        <v>73</v>
      </c>
      <c r="AA129" s="269">
        <f t="shared" si="21"/>
        <v>76</v>
      </c>
    </row>
    <row r="130" spans="1:27">
      <c r="A130" s="104">
        <v>129</v>
      </c>
      <c r="B130" s="104" t="str">
        <f t="shared" si="12"/>
        <v>BCDFGHIK</v>
      </c>
      <c r="C130" s="104" t="s">
        <v>145</v>
      </c>
      <c r="D130" s="104" t="s">
        <v>231</v>
      </c>
      <c r="E130" s="104" t="s">
        <v>144</v>
      </c>
      <c r="F130" s="104" t="s">
        <v>150</v>
      </c>
      <c r="G130" s="104" t="s">
        <v>245</v>
      </c>
      <c r="H130" s="104" t="s">
        <v>152</v>
      </c>
      <c r="I130" s="104" t="s">
        <v>258</v>
      </c>
      <c r="J130" s="104" t="s">
        <v>246</v>
      </c>
      <c r="K130" s="269">
        <f t="shared" si="24"/>
        <v>67</v>
      </c>
      <c r="L130" s="269">
        <f t="shared" si="24"/>
        <v>71</v>
      </c>
      <c r="M130" s="269">
        <f t="shared" si="24"/>
        <v>66</v>
      </c>
      <c r="N130" s="269">
        <f t="shared" si="23"/>
        <v>68</v>
      </c>
      <c r="O130" s="269">
        <f t="shared" si="23"/>
        <v>72</v>
      </c>
      <c r="P130" s="269">
        <f t="shared" si="23"/>
        <v>70</v>
      </c>
      <c r="Q130" s="269">
        <f t="shared" si="23"/>
        <v>73</v>
      </c>
      <c r="R130" s="269">
        <f t="shared" si="22"/>
        <v>75</v>
      </c>
      <c r="S130" s="269"/>
      <c r="T130" s="269">
        <f t="shared" si="14"/>
        <v>66</v>
      </c>
      <c r="U130" s="269">
        <f t="shared" si="15"/>
        <v>67</v>
      </c>
      <c r="V130" s="269">
        <f t="shared" si="16"/>
        <v>68</v>
      </c>
      <c r="W130" s="269">
        <f t="shared" si="17"/>
        <v>70</v>
      </c>
      <c r="X130" s="269">
        <f t="shared" si="18"/>
        <v>71</v>
      </c>
      <c r="Y130" s="269">
        <f t="shared" si="19"/>
        <v>72</v>
      </c>
      <c r="Z130" s="269">
        <f t="shared" si="20"/>
        <v>73</v>
      </c>
      <c r="AA130" s="269">
        <f t="shared" si="21"/>
        <v>75</v>
      </c>
    </row>
    <row r="131" spans="1:27">
      <c r="A131" s="104">
        <v>130</v>
      </c>
      <c r="B131" s="104" t="str">
        <f t="shared" ref="B131:B194" si="25">CONCATENATE(CHAR(T131),CHAR(U131),CHAR(V131),CHAR(W131),CHAR(X131),CHAR(Y131),CHAR(Z131),CHAR(AA131))</f>
        <v>BCDFGHIJ</v>
      </c>
      <c r="C131" s="104" t="s">
        <v>245</v>
      </c>
      <c r="D131" s="104" t="s">
        <v>231</v>
      </c>
      <c r="E131" s="104" t="s">
        <v>144</v>
      </c>
      <c r="F131" s="104" t="s">
        <v>145</v>
      </c>
      <c r="G131" s="104" t="s">
        <v>232</v>
      </c>
      <c r="H131" s="104" t="s">
        <v>152</v>
      </c>
      <c r="I131" s="104" t="s">
        <v>150</v>
      </c>
      <c r="J131" s="104" t="s">
        <v>258</v>
      </c>
      <c r="K131" s="269">
        <f t="shared" si="24"/>
        <v>72</v>
      </c>
      <c r="L131" s="269">
        <f t="shared" si="24"/>
        <v>71</v>
      </c>
      <c r="M131" s="269">
        <f t="shared" si="24"/>
        <v>66</v>
      </c>
      <c r="N131" s="269">
        <f t="shared" si="23"/>
        <v>67</v>
      </c>
      <c r="O131" s="269">
        <f t="shared" si="23"/>
        <v>74</v>
      </c>
      <c r="P131" s="269">
        <f t="shared" si="23"/>
        <v>70</v>
      </c>
      <c r="Q131" s="269">
        <f t="shared" si="23"/>
        <v>68</v>
      </c>
      <c r="R131" s="269">
        <f t="shared" si="22"/>
        <v>73</v>
      </c>
      <c r="S131" s="269"/>
      <c r="T131" s="269">
        <f t="shared" ref="T131:T194" si="26">SMALL($K131:$R131,1)</f>
        <v>66</v>
      </c>
      <c r="U131" s="269">
        <f t="shared" ref="U131:U194" si="27">SMALL($K131:$R131,2)</f>
        <v>67</v>
      </c>
      <c r="V131" s="269">
        <f t="shared" ref="V131:V194" si="28">SMALL($K131:$R131,3)</f>
        <v>68</v>
      </c>
      <c r="W131" s="269">
        <f t="shared" ref="W131:W194" si="29">SMALL($K131:$R131,4)</f>
        <v>70</v>
      </c>
      <c r="X131" s="269">
        <f t="shared" ref="X131:X194" si="30">SMALL($K131:$R131,5)</f>
        <v>71</v>
      </c>
      <c r="Y131" s="269">
        <f t="shared" ref="Y131:Y194" si="31">SMALL($K131:$R131,6)</f>
        <v>72</v>
      </c>
      <c r="Z131" s="269">
        <f t="shared" ref="Z131:Z194" si="32">SMALL($K131:$R131,7)</f>
        <v>73</v>
      </c>
      <c r="AA131" s="269">
        <f t="shared" ref="AA131:AA194" si="33">SMALL($K131:$R131,8)</f>
        <v>74</v>
      </c>
    </row>
    <row r="132" spans="1:27">
      <c r="A132" s="104">
        <v>131</v>
      </c>
      <c r="B132" s="104" t="str">
        <f t="shared" si="25"/>
        <v>BCDEIJKL</v>
      </c>
      <c r="C132" s="104" t="s">
        <v>151</v>
      </c>
      <c r="D132" s="104" t="s">
        <v>232</v>
      </c>
      <c r="E132" s="104" t="s">
        <v>144</v>
      </c>
      <c r="F132" s="104" t="s">
        <v>145</v>
      </c>
      <c r="G132" s="104" t="s">
        <v>258</v>
      </c>
      <c r="H132" s="104" t="s">
        <v>150</v>
      </c>
      <c r="I132" s="104" t="s">
        <v>259</v>
      </c>
      <c r="J132" s="104" t="s">
        <v>246</v>
      </c>
      <c r="K132" s="269">
        <f t="shared" si="24"/>
        <v>69</v>
      </c>
      <c r="L132" s="269">
        <f t="shared" si="24"/>
        <v>74</v>
      </c>
      <c r="M132" s="269">
        <f t="shared" si="24"/>
        <v>66</v>
      </c>
      <c r="N132" s="269">
        <f t="shared" si="23"/>
        <v>67</v>
      </c>
      <c r="O132" s="269">
        <f t="shared" si="23"/>
        <v>73</v>
      </c>
      <c r="P132" s="269">
        <f t="shared" si="23"/>
        <v>68</v>
      </c>
      <c r="Q132" s="269">
        <f t="shared" si="23"/>
        <v>76</v>
      </c>
      <c r="R132" s="269">
        <f t="shared" si="22"/>
        <v>75</v>
      </c>
      <c r="S132" s="269"/>
      <c r="T132" s="269">
        <f t="shared" si="26"/>
        <v>66</v>
      </c>
      <c r="U132" s="269">
        <f t="shared" si="27"/>
        <v>67</v>
      </c>
      <c r="V132" s="269">
        <f t="shared" si="28"/>
        <v>68</v>
      </c>
      <c r="W132" s="269">
        <f t="shared" si="29"/>
        <v>69</v>
      </c>
      <c r="X132" s="269">
        <f t="shared" si="30"/>
        <v>73</v>
      </c>
      <c r="Y132" s="269">
        <f t="shared" si="31"/>
        <v>74</v>
      </c>
      <c r="Z132" s="269">
        <f t="shared" si="32"/>
        <v>75</v>
      </c>
      <c r="AA132" s="269">
        <f t="shared" si="33"/>
        <v>76</v>
      </c>
    </row>
    <row r="133" spans="1:27">
      <c r="A133" s="104">
        <v>132</v>
      </c>
      <c r="B133" s="104" t="str">
        <f t="shared" si="25"/>
        <v>BCDEHJKL</v>
      </c>
      <c r="C133" s="104" t="s">
        <v>151</v>
      </c>
      <c r="D133" s="104" t="s">
        <v>232</v>
      </c>
      <c r="E133" s="104" t="s">
        <v>144</v>
      </c>
      <c r="F133" s="104" t="s">
        <v>145</v>
      </c>
      <c r="G133" s="104" t="s">
        <v>245</v>
      </c>
      <c r="H133" s="104" t="s">
        <v>150</v>
      </c>
      <c r="I133" s="104" t="s">
        <v>259</v>
      </c>
      <c r="J133" s="104" t="s">
        <v>246</v>
      </c>
      <c r="K133" s="269">
        <f t="shared" si="24"/>
        <v>69</v>
      </c>
      <c r="L133" s="269">
        <f t="shared" si="24"/>
        <v>74</v>
      </c>
      <c r="M133" s="269">
        <f t="shared" si="24"/>
        <v>66</v>
      </c>
      <c r="N133" s="269">
        <f t="shared" si="23"/>
        <v>67</v>
      </c>
      <c r="O133" s="269">
        <f t="shared" si="23"/>
        <v>72</v>
      </c>
      <c r="P133" s="269">
        <f t="shared" si="23"/>
        <v>68</v>
      </c>
      <c r="Q133" s="269">
        <f t="shared" si="23"/>
        <v>76</v>
      </c>
      <c r="R133" s="269">
        <f t="shared" si="22"/>
        <v>75</v>
      </c>
      <c r="S133" s="269"/>
      <c r="T133" s="269">
        <f t="shared" si="26"/>
        <v>66</v>
      </c>
      <c r="U133" s="269">
        <f t="shared" si="27"/>
        <v>67</v>
      </c>
      <c r="V133" s="269">
        <f t="shared" si="28"/>
        <v>68</v>
      </c>
      <c r="W133" s="269">
        <f t="shared" si="29"/>
        <v>69</v>
      </c>
      <c r="X133" s="269">
        <f t="shared" si="30"/>
        <v>72</v>
      </c>
      <c r="Y133" s="269">
        <f t="shared" si="31"/>
        <v>74</v>
      </c>
      <c r="Z133" s="269">
        <f t="shared" si="32"/>
        <v>75</v>
      </c>
      <c r="AA133" s="269">
        <f t="shared" si="33"/>
        <v>76</v>
      </c>
    </row>
    <row r="134" spans="1:27">
      <c r="A134" s="104">
        <v>133</v>
      </c>
      <c r="B134" s="104" t="str">
        <f t="shared" si="25"/>
        <v>BCDEHIKL</v>
      </c>
      <c r="C134" s="104" t="s">
        <v>151</v>
      </c>
      <c r="D134" s="104" t="s">
        <v>258</v>
      </c>
      <c r="E134" s="104" t="s">
        <v>144</v>
      </c>
      <c r="F134" s="104" t="s">
        <v>145</v>
      </c>
      <c r="G134" s="104" t="s">
        <v>245</v>
      </c>
      <c r="H134" s="104" t="s">
        <v>150</v>
      </c>
      <c r="I134" s="104" t="s">
        <v>259</v>
      </c>
      <c r="J134" s="104" t="s">
        <v>246</v>
      </c>
      <c r="K134" s="269">
        <f t="shared" si="24"/>
        <v>69</v>
      </c>
      <c r="L134" s="269">
        <f t="shared" si="24"/>
        <v>73</v>
      </c>
      <c r="M134" s="269">
        <f t="shared" si="24"/>
        <v>66</v>
      </c>
      <c r="N134" s="269">
        <f t="shared" si="23"/>
        <v>67</v>
      </c>
      <c r="O134" s="269">
        <f t="shared" si="23"/>
        <v>72</v>
      </c>
      <c r="P134" s="269">
        <f t="shared" si="23"/>
        <v>68</v>
      </c>
      <c r="Q134" s="269">
        <f t="shared" si="23"/>
        <v>76</v>
      </c>
      <c r="R134" s="269">
        <f t="shared" si="22"/>
        <v>75</v>
      </c>
      <c r="S134" s="269"/>
      <c r="T134" s="269">
        <f t="shared" si="26"/>
        <v>66</v>
      </c>
      <c r="U134" s="269">
        <f t="shared" si="27"/>
        <v>67</v>
      </c>
      <c r="V134" s="269">
        <f t="shared" si="28"/>
        <v>68</v>
      </c>
      <c r="W134" s="269">
        <f t="shared" si="29"/>
        <v>69</v>
      </c>
      <c r="X134" s="269">
        <f t="shared" si="30"/>
        <v>72</v>
      </c>
      <c r="Y134" s="269">
        <f t="shared" si="31"/>
        <v>73</v>
      </c>
      <c r="Z134" s="269">
        <f t="shared" si="32"/>
        <v>75</v>
      </c>
      <c r="AA134" s="269">
        <f t="shared" si="33"/>
        <v>76</v>
      </c>
    </row>
    <row r="135" spans="1:27">
      <c r="A135" s="104">
        <v>134</v>
      </c>
      <c r="B135" s="104" t="str">
        <f t="shared" si="25"/>
        <v>BCDEHIJL</v>
      </c>
      <c r="C135" s="104" t="s">
        <v>151</v>
      </c>
      <c r="D135" s="104" t="s">
        <v>232</v>
      </c>
      <c r="E135" s="104" t="s">
        <v>144</v>
      </c>
      <c r="F135" s="104" t="s">
        <v>145</v>
      </c>
      <c r="G135" s="104" t="s">
        <v>245</v>
      </c>
      <c r="H135" s="104" t="s">
        <v>150</v>
      </c>
      <c r="I135" s="104" t="s">
        <v>259</v>
      </c>
      <c r="J135" s="104" t="s">
        <v>258</v>
      </c>
      <c r="K135" s="269">
        <f t="shared" si="24"/>
        <v>69</v>
      </c>
      <c r="L135" s="269">
        <f t="shared" si="24"/>
        <v>74</v>
      </c>
      <c r="M135" s="269">
        <f t="shared" si="24"/>
        <v>66</v>
      </c>
      <c r="N135" s="269">
        <f t="shared" si="23"/>
        <v>67</v>
      </c>
      <c r="O135" s="269">
        <f t="shared" si="23"/>
        <v>72</v>
      </c>
      <c r="P135" s="269">
        <f t="shared" si="23"/>
        <v>68</v>
      </c>
      <c r="Q135" s="269">
        <f t="shared" si="23"/>
        <v>76</v>
      </c>
      <c r="R135" s="269">
        <f t="shared" si="22"/>
        <v>73</v>
      </c>
      <c r="S135" s="269"/>
      <c r="T135" s="269">
        <f t="shared" si="26"/>
        <v>66</v>
      </c>
      <c r="U135" s="269">
        <f t="shared" si="27"/>
        <v>67</v>
      </c>
      <c r="V135" s="269">
        <f t="shared" si="28"/>
        <v>68</v>
      </c>
      <c r="W135" s="269">
        <f t="shared" si="29"/>
        <v>69</v>
      </c>
      <c r="X135" s="269">
        <f t="shared" si="30"/>
        <v>72</v>
      </c>
      <c r="Y135" s="269">
        <f t="shared" si="31"/>
        <v>73</v>
      </c>
      <c r="Z135" s="269">
        <f t="shared" si="32"/>
        <v>74</v>
      </c>
      <c r="AA135" s="269">
        <f t="shared" si="33"/>
        <v>76</v>
      </c>
    </row>
    <row r="136" spans="1:27">
      <c r="A136" s="104">
        <v>135</v>
      </c>
      <c r="B136" s="104" t="str">
        <f t="shared" si="25"/>
        <v>BCDEHIJK</v>
      </c>
      <c r="C136" s="104" t="s">
        <v>151</v>
      </c>
      <c r="D136" s="104" t="s">
        <v>232</v>
      </c>
      <c r="E136" s="104" t="s">
        <v>144</v>
      </c>
      <c r="F136" s="104" t="s">
        <v>145</v>
      </c>
      <c r="G136" s="104" t="s">
        <v>245</v>
      </c>
      <c r="H136" s="104" t="s">
        <v>150</v>
      </c>
      <c r="I136" s="104" t="s">
        <v>258</v>
      </c>
      <c r="J136" s="104" t="s">
        <v>246</v>
      </c>
      <c r="K136" s="269">
        <f t="shared" si="24"/>
        <v>69</v>
      </c>
      <c r="L136" s="269">
        <f t="shared" si="24"/>
        <v>74</v>
      </c>
      <c r="M136" s="269">
        <f t="shared" si="24"/>
        <v>66</v>
      </c>
      <c r="N136" s="269">
        <f t="shared" si="23"/>
        <v>67</v>
      </c>
      <c r="O136" s="269">
        <f t="shared" si="23"/>
        <v>72</v>
      </c>
      <c r="P136" s="269">
        <f t="shared" si="23"/>
        <v>68</v>
      </c>
      <c r="Q136" s="269">
        <f t="shared" si="23"/>
        <v>73</v>
      </c>
      <c r="R136" s="269">
        <f t="shared" si="22"/>
        <v>75</v>
      </c>
      <c r="S136" s="269"/>
      <c r="T136" s="269">
        <f t="shared" si="26"/>
        <v>66</v>
      </c>
      <c r="U136" s="269">
        <f t="shared" si="27"/>
        <v>67</v>
      </c>
      <c r="V136" s="269">
        <f t="shared" si="28"/>
        <v>68</v>
      </c>
      <c r="W136" s="269">
        <f t="shared" si="29"/>
        <v>69</v>
      </c>
      <c r="X136" s="269">
        <f t="shared" si="30"/>
        <v>72</v>
      </c>
      <c r="Y136" s="269">
        <f t="shared" si="31"/>
        <v>73</v>
      </c>
      <c r="Z136" s="269">
        <f t="shared" si="32"/>
        <v>74</v>
      </c>
      <c r="AA136" s="269">
        <f t="shared" si="33"/>
        <v>75</v>
      </c>
    </row>
    <row r="137" spans="1:27">
      <c r="A137" s="104">
        <v>136</v>
      </c>
      <c r="B137" s="104" t="str">
        <f t="shared" si="25"/>
        <v>BCDEGJKL</v>
      </c>
      <c r="C137" s="104" t="s">
        <v>151</v>
      </c>
      <c r="D137" s="104" t="s">
        <v>231</v>
      </c>
      <c r="E137" s="104" t="s">
        <v>144</v>
      </c>
      <c r="F137" s="104" t="s">
        <v>145</v>
      </c>
      <c r="G137" s="104" t="s">
        <v>232</v>
      </c>
      <c r="H137" s="104" t="s">
        <v>150</v>
      </c>
      <c r="I137" s="104" t="s">
        <v>259</v>
      </c>
      <c r="J137" s="104" t="s">
        <v>246</v>
      </c>
      <c r="K137" s="269">
        <f t="shared" si="24"/>
        <v>69</v>
      </c>
      <c r="L137" s="269">
        <f t="shared" si="24"/>
        <v>71</v>
      </c>
      <c r="M137" s="269">
        <f t="shared" si="24"/>
        <v>66</v>
      </c>
      <c r="N137" s="269">
        <f t="shared" si="23"/>
        <v>67</v>
      </c>
      <c r="O137" s="269">
        <f t="shared" si="23"/>
        <v>74</v>
      </c>
      <c r="P137" s="269">
        <f t="shared" si="23"/>
        <v>68</v>
      </c>
      <c r="Q137" s="269">
        <f t="shared" si="23"/>
        <v>76</v>
      </c>
      <c r="R137" s="269">
        <f t="shared" si="22"/>
        <v>75</v>
      </c>
      <c r="S137" s="269"/>
      <c r="T137" s="269">
        <f t="shared" si="26"/>
        <v>66</v>
      </c>
      <c r="U137" s="269">
        <f t="shared" si="27"/>
        <v>67</v>
      </c>
      <c r="V137" s="269">
        <f t="shared" si="28"/>
        <v>68</v>
      </c>
      <c r="W137" s="269">
        <f t="shared" si="29"/>
        <v>69</v>
      </c>
      <c r="X137" s="269">
        <f t="shared" si="30"/>
        <v>71</v>
      </c>
      <c r="Y137" s="269">
        <f t="shared" si="31"/>
        <v>74</v>
      </c>
      <c r="Z137" s="269">
        <f t="shared" si="32"/>
        <v>75</v>
      </c>
      <c r="AA137" s="269">
        <f t="shared" si="33"/>
        <v>76</v>
      </c>
    </row>
    <row r="138" spans="1:27">
      <c r="A138" s="104">
        <v>137</v>
      </c>
      <c r="B138" s="104" t="str">
        <f t="shared" si="25"/>
        <v>BCDEGIKL</v>
      </c>
      <c r="C138" s="104" t="s">
        <v>151</v>
      </c>
      <c r="D138" s="104" t="s">
        <v>231</v>
      </c>
      <c r="E138" s="104" t="s">
        <v>144</v>
      </c>
      <c r="F138" s="104" t="s">
        <v>145</v>
      </c>
      <c r="G138" s="104" t="s">
        <v>258</v>
      </c>
      <c r="H138" s="104" t="s">
        <v>150</v>
      </c>
      <c r="I138" s="104" t="s">
        <v>259</v>
      </c>
      <c r="J138" s="104" t="s">
        <v>246</v>
      </c>
      <c r="K138" s="269">
        <f t="shared" si="24"/>
        <v>69</v>
      </c>
      <c r="L138" s="269">
        <f t="shared" si="24"/>
        <v>71</v>
      </c>
      <c r="M138" s="269">
        <f t="shared" si="24"/>
        <v>66</v>
      </c>
      <c r="N138" s="269">
        <f t="shared" si="23"/>
        <v>67</v>
      </c>
      <c r="O138" s="269">
        <f t="shared" si="23"/>
        <v>73</v>
      </c>
      <c r="P138" s="269">
        <f t="shared" si="23"/>
        <v>68</v>
      </c>
      <c r="Q138" s="269">
        <f t="shared" si="23"/>
        <v>76</v>
      </c>
      <c r="R138" s="269">
        <f t="shared" si="22"/>
        <v>75</v>
      </c>
      <c r="S138" s="269"/>
      <c r="T138" s="269">
        <f t="shared" si="26"/>
        <v>66</v>
      </c>
      <c r="U138" s="269">
        <f t="shared" si="27"/>
        <v>67</v>
      </c>
      <c r="V138" s="269">
        <f t="shared" si="28"/>
        <v>68</v>
      </c>
      <c r="W138" s="269">
        <f t="shared" si="29"/>
        <v>69</v>
      </c>
      <c r="X138" s="269">
        <f t="shared" si="30"/>
        <v>71</v>
      </c>
      <c r="Y138" s="269">
        <f t="shared" si="31"/>
        <v>73</v>
      </c>
      <c r="Z138" s="269">
        <f t="shared" si="32"/>
        <v>75</v>
      </c>
      <c r="AA138" s="269">
        <f t="shared" si="33"/>
        <v>76</v>
      </c>
    </row>
    <row r="139" spans="1:27">
      <c r="A139" s="104">
        <v>138</v>
      </c>
      <c r="B139" s="104" t="str">
        <f t="shared" si="25"/>
        <v>BCDEGIJL</v>
      </c>
      <c r="C139" s="104" t="s">
        <v>151</v>
      </c>
      <c r="D139" s="104" t="s">
        <v>231</v>
      </c>
      <c r="E139" s="104" t="s">
        <v>144</v>
      </c>
      <c r="F139" s="104" t="s">
        <v>145</v>
      </c>
      <c r="G139" s="104" t="s">
        <v>232</v>
      </c>
      <c r="H139" s="104" t="s">
        <v>150</v>
      </c>
      <c r="I139" s="104" t="s">
        <v>259</v>
      </c>
      <c r="J139" s="104" t="s">
        <v>258</v>
      </c>
      <c r="K139" s="269">
        <f t="shared" si="24"/>
        <v>69</v>
      </c>
      <c r="L139" s="269">
        <f t="shared" si="24"/>
        <v>71</v>
      </c>
      <c r="M139" s="269">
        <f t="shared" si="24"/>
        <v>66</v>
      </c>
      <c r="N139" s="269">
        <f t="shared" si="23"/>
        <v>67</v>
      </c>
      <c r="O139" s="269">
        <f t="shared" si="23"/>
        <v>74</v>
      </c>
      <c r="P139" s="269">
        <f t="shared" si="23"/>
        <v>68</v>
      </c>
      <c r="Q139" s="269">
        <f t="shared" si="23"/>
        <v>76</v>
      </c>
      <c r="R139" s="269">
        <f t="shared" si="22"/>
        <v>73</v>
      </c>
      <c r="S139" s="269"/>
      <c r="T139" s="269">
        <f t="shared" si="26"/>
        <v>66</v>
      </c>
      <c r="U139" s="269">
        <f t="shared" si="27"/>
        <v>67</v>
      </c>
      <c r="V139" s="269">
        <f t="shared" si="28"/>
        <v>68</v>
      </c>
      <c r="W139" s="269">
        <f t="shared" si="29"/>
        <v>69</v>
      </c>
      <c r="X139" s="269">
        <f t="shared" si="30"/>
        <v>71</v>
      </c>
      <c r="Y139" s="269">
        <f t="shared" si="31"/>
        <v>73</v>
      </c>
      <c r="Z139" s="269">
        <f t="shared" si="32"/>
        <v>74</v>
      </c>
      <c r="AA139" s="269">
        <f t="shared" si="33"/>
        <v>76</v>
      </c>
    </row>
    <row r="140" spans="1:27">
      <c r="A140" s="104">
        <v>139</v>
      </c>
      <c r="B140" s="104" t="str">
        <f t="shared" si="25"/>
        <v>BCDEGIJK</v>
      </c>
      <c r="C140" s="104" t="s">
        <v>151</v>
      </c>
      <c r="D140" s="104" t="s">
        <v>231</v>
      </c>
      <c r="E140" s="104" t="s">
        <v>144</v>
      </c>
      <c r="F140" s="104" t="s">
        <v>145</v>
      </c>
      <c r="G140" s="104" t="s">
        <v>232</v>
      </c>
      <c r="H140" s="104" t="s">
        <v>150</v>
      </c>
      <c r="I140" s="104" t="s">
        <v>258</v>
      </c>
      <c r="J140" s="104" t="s">
        <v>246</v>
      </c>
      <c r="K140" s="269">
        <f t="shared" si="24"/>
        <v>69</v>
      </c>
      <c r="L140" s="269">
        <f t="shared" si="24"/>
        <v>71</v>
      </c>
      <c r="M140" s="269">
        <f t="shared" si="24"/>
        <v>66</v>
      </c>
      <c r="N140" s="269">
        <f t="shared" si="23"/>
        <v>67</v>
      </c>
      <c r="O140" s="269">
        <f t="shared" si="23"/>
        <v>74</v>
      </c>
      <c r="P140" s="269">
        <f t="shared" si="23"/>
        <v>68</v>
      </c>
      <c r="Q140" s="269">
        <f t="shared" si="23"/>
        <v>73</v>
      </c>
      <c r="R140" s="269">
        <f t="shared" si="22"/>
        <v>75</v>
      </c>
      <c r="S140" s="269"/>
      <c r="T140" s="269">
        <f t="shared" si="26"/>
        <v>66</v>
      </c>
      <c r="U140" s="269">
        <f t="shared" si="27"/>
        <v>67</v>
      </c>
      <c r="V140" s="269">
        <f t="shared" si="28"/>
        <v>68</v>
      </c>
      <c r="W140" s="269">
        <f t="shared" si="29"/>
        <v>69</v>
      </c>
      <c r="X140" s="269">
        <f t="shared" si="30"/>
        <v>71</v>
      </c>
      <c r="Y140" s="269">
        <f t="shared" si="31"/>
        <v>73</v>
      </c>
      <c r="Z140" s="269">
        <f t="shared" si="32"/>
        <v>74</v>
      </c>
      <c r="AA140" s="269">
        <f t="shared" si="33"/>
        <v>75</v>
      </c>
    </row>
    <row r="141" spans="1:27">
      <c r="A141" s="104">
        <v>140</v>
      </c>
      <c r="B141" s="104" t="str">
        <f t="shared" si="25"/>
        <v>BCDEGHKL</v>
      </c>
      <c r="C141" s="104" t="s">
        <v>151</v>
      </c>
      <c r="D141" s="104" t="s">
        <v>231</v>
      </c>
      <c r="E141" s="104" t="s">
        <v>144</v>
      </c>
      <c r="F141" s="104" t="s">
        <v>145</v>
      </c>
      <c r="G141" s="104" t="s">
        <v>245</v>
      </c>
      <c r="H141" s="104" t="s">
        <v>150</v>
      </c>
      <c r="I141" s="104" t="s">
        <v>259</v>
      </c>
      <c r="J141" s="104" t="s">
        <v>246</v>
      </c>
      <c r="K141" s="269">
        <f t="shared" si="24"/>
        <v>69</v>
      </c>
      <c r="L141" s="269">
        <f t="shared" si="24"/>
        <v>71</v>
      </c>
      <c r="M141" s="269">
        <f t="shared" si="24"/>
        <v>66</v>
      </c>
      <c r="N141" s="269">
        <f t="shared" si="23"/>
        <v>67</v>
      </c>
      <c r="O141" s="269">
        <f t="shared" si="23"/>
        <v>72</v>
      </c>
      <c r="P141" s="269">
        <f t="shared" si="23"/>
        <v>68</v>
      </c>
      <c r="Q141" s="269">
        <f t="shared" si="23"/>
        <v>76</v>
      </c>
      <c r="R141" s="269">
        <f t="shared" si="22"/>
        <v>75</v>
      </c>
      <c r="S141" s="269"/>
      <c r="T141" s="269">
        <f t="shared" si="26"/>
        <v>66</v>
      </c>
      <c r="U141" s="269">
        <f t="shared" si="27"/>
        <v>67</v>
      </c>
      <c r="V141" s="269">
        <f t="shared" si="28"/>
        <v>68</v>
      </c>
      <c r="W141" s="269">
        <f t="shared" si="29"/>
        <v>69</v>
      </c>
      <c r="X141" s="269">
        <f t="shared" si="30"/>
        <v>71</v>
      </c>
      <c r="Y141" s="269">
        <f t="shared" si="31"/>
        <v>72</v>
      </c>
      <c r="Z141" s="269">
        <f t="shared" si="32"/>
        <v>75</v>
      </c>
      <c r="AA141" s="269">
        <f t="shared" si="33"/>
        <v>76</v>
      </c>
    </row>
    <row r="142" spans="1:27">
      <c r="A142" s="104">
        <v>141</v>
      </c>
      <c r="B142" s="104" t="str">
        <f t="shared" si="25"/>
        <v>BCDEGHJL</v>
      </c>
      <c r="C142" s="104" t="s">
        <v>245</v>
      </c>
      <c r="D142" s="104" t="s">
        <v>231</v>
      </c>
      <c r="E142" s="104" t="s">
        <v>144</v>
      </c>
      <c r="F142" s="104" t="s">
        <v>145</v>
      </c>
      <c r="G142" s="104" t="s">
        <v>232</v>
      </c>
      <c r="H142" s="104" t="s">
        <v>150</v>
      </c>
      <c r="I142" s="104" t="s">
        <v>259</v>
      </c>
      <c r="J142" s="104" t="s">
        <v>151</v>
      </c>
      <c r="K142" s="269">
        <f t="shared" si="24"/>
        <v>72</v>
      </c>
      <c r="L142" s="269">
        <f t="shared" si="24"/>
        <v>71</v>
      </c>
      <c r="M142" s="269">
        <f t="shared" si="24"/>
        <v>66</v>
      </c>
      <c r="N142" s="269">
        <f t="shared" si="23"/>
        <v>67</v>
      </c>
      <c r="O142" s="269">
        <f t="shared" si="23"/>
        <v>74</v>
      </c>
      <c r="P142" s="269">
        <f t="shared" si="23"/>
        <v>68</v>
      </c>
      <c r="Q142" s="269">
        <f t="shared" si="23"/>
        <v>76</v>
      </c>
      <c r="R142" s="269">
        <f t="shared" si="22"/>
        <v>69</v>
      </c>
      <c r="S142" s="269"/>
      <c r="T142" s="269">
        <f t="shared" si="26"/>
        <v>66</v>
      </c>
      <c r="U142" s="269">
        <f t="shared" si="27"/>
        <v>67</v>
      </c>
      <c r="V142" s="269">
        <f t="shared" si="28"/>
        <v>68</v>
      </c>
      <c r="W142" s="269">
        <f t="shared" si="29"/>
        <v>69</v>
      </c>
      <c r="X142" s="269">
        <f t="shared" si="30"/>
        <v>71</v>
      </c>
      <c r="Y142" s="269">
        <f t="shared" si="31"/>
        <v>72</v>
      </c>
      <c r="Z142" s="269">
        <f t="shared" si="32"/>
        <v>74</v>
      </c>
      <c r="AA142" s="269">
        <f t="shared" si="33"/>
        <v>76</v>
      </c>
    </row>
    <row r="143" spans="1:27">
      <c r="A143" s="104">
        <v>142</v>
      </c>
      <c r="B143" s="104" t="str">
        <f t="shared" si="25"/>
        <v>BCDEGHJK</v>
      </c>
      <c r="C143" s="104" t="s">
        <v>245</v>
      </c>
      <c r="D143" s="104" t="s">
        <v>231</v>
      </c>
      <c r="E143" s="104" t="s">
        <v>144</v>
      </c>
      <c r="F143" s="104" t="s">
        <v>145</v>
      </c>
      <c r="G143" s="104" t="s">
        <v>232</v>
      </c>
      <c r="H143" s="104" t="s">
        <v>150</v>
      </c>
      <c r="I143" s="104" t="s">
        <v>151</v>
      </c>
      <c r="J143" s="104" t="s">
        <v>246</v>
      </c>
      <c r="K143" s="269">
        <f t="shared" si="24"/>
        <v>72</v>
      </c>
      <c r="L143" s="269">
        <f t="shared" si="24"/>
        <v>71</v>
      </c>
      <c r="M143" s="269">
        <f t="shared" si="24"/>
        <v>66</v>
      </c>
      <c r="N143" s="269">
        <f t="shared" si="23"/>
        <v>67</v>
      </c>
      <c r="O143" s="269">
        <f t="shared" si="23"/>
        <v>74</v>
      </c>
      <c r="P143" s="269">
        <f t="shared" si="23"/>
        <v>68</v>
      </c>
      <c r="Q143" s="269">
        <f t="shared" si="23"/>
        <v>69</v>
      </c>
      <c r="R143" s="269">
        <f t="shared" si="22"/>
        <v>75</v>
      </c>
      <c r="S143" s="269"/>
      <c r="T143" s="269">
        <f t="shared" si="26"/>
        <v>66</v>
      </c>
      <c r="U143" s="269">
        <f t="shared" si="27"/>
        <v>67</v>
      </c>
      <c r="V143" s="269">
        <f t="shared" si="28"/>
        <v>68</v>
      </c>
      <c r="W143" s="269">
        <f t="shared" si="29"/>
        <v>69</v>
      </c>
      <c r="X143" s="269">
        <f t="shared" si="30"/>
        <v>71</v>
      </c>
      <c r="Y143" s="269">
        <f t="shared" si="31"/>
        <v>72</v>
      </c>
      <c r="Z143" s="269">
        <f t="shared" si="32"/>
        <v>74</v>
      </c>
      <c r="AA143" s="269">
        <f t="shared" si="33"/>
        <v>75</v>
      </c>
    </row>
    <row r="144" spans="1:27">
      <c r="A144" s="104">
        <v>143</v>
      </c>
      <c r="B144" s="104" t="str">
        <f t="shared" si="25"/>
        <v>BCDEGHIL</v>
      </c>
      <c r="C144" s="104" t="s">
        <v>151</v>
      </c>
      <c r="D144" s="104" t="s">
        <v>231</v>
      </c>
      <c r="E144" s="104" t="s">
        <v>144</v>
      </c>
      <c r="F144" s="104" t="s">
        <v>145</v>
      </c>
      <c r="G144" s="104" t="s">
        <v>245</v>
      </c>
      <c r="H144" s="104" t="s">
        <v>150</v>
      </c>
      <c r="I144" s="104" t="s">
        <v>259</v>
      </c>
      <c r="J144" s="104" t="s">
        <v>258</v>
      </c>
      <c r="K144" s="269">
        <f t="shared" si="24"/>
        <v>69</v>
      </c>
      <c r="L144" s="269">
        <f t="shared" si="24"/>
        <v>71</v>
      </c>
      <c r="M144" s="269">
        <f t="shared" si="24"/>
        <v>66</v>
      </c>
      <c r="N144" s="269">
        <f t="shared" si="23"/>
        <v>67</v>
      </c>
      <c r="O144" s="269">
        <f t="shared" si="23"/>
        <v>72</v>
      </c>
      <c r="P144" s="269">
        <f t="shared" si="23"/>
        <v>68</v>
      </c>
      <c r="Q144" s="269">
        <f t="shared" si="23"/>
        <v>76</v>
      </c>
      <c r="R144" s="269">
        <f t="shared" si="22"/>
        <v>73</v>
      </c>
      <c r="S144" s="269"/>
      <c r="T144" s="269">
        <f t="shared" si="26"/>
        <v>66</v>
      </c>
      <c r="U144" s="269">
        <f t="shared" si="27"/>
        <v>67</v>
      </c>
      <c r="V144" s="269">
        <f t="shared" si="28"/>
        <v>68</v>
      </c>
      <c r="W144" s="269">
        <f t="shared" si="29"/>
        <v>69</v>
      </c>
      <c r="X144" s="269">
        <f t="shared" si="30"/>
        <v>71</v>
      </c>
      <c r="Y144" s="269">
        <f t="shared" si="31"/>
        <v>72</v>
      </c>
      <c r="Z144" s="269">
        <f t="shared" si="32"/>
        <v>73</v>
      </c>
      <c r="AA144" s="269">
        <f t="shared" si="33"/>
        <v>76</v>
      </c>
    </row>
    <row r="145" spans="1:27">
      <c r="A145" s="104">
        <v>144</v>
      </c>
      <c r="B145" s="104" t="str">
        <f t="shared" si="25"/>
        <v>BCDEGHIK</v>
      </c>
      <c r="C145" s="104" t="s">
        <v>151</v>
      </c>
      <c r="D145" s="104" t="s">
        <v>231</v>
      </c>
      <c r="E145" s="104" t="s">
        <v>144</v>
      </c>
      <c r="F145" s="104" t="s">
        <v>145</v>
      </c>
      <c r="G145" s="104" t="s">
        <v>245</v>
      </c>
      <c r="H145" s="104" t="s">
        <v>150</v>
      </c>
      <c r="I145" s="104" t="s">
        <v>258</v>
      </c>
      <c r="J145" s="104" t="s">
        <v>246</v>
      </c>
      <c r="K145" s="269">
        <f t="shared" si="24"/>
        <v>69</v>
      </c>
      <c r="L145" s="269">
        <f t="shared" si="24"/>
        <v>71</v>
      </c>
      <c r="M145" s="269">
        <f t="shared" si="24"/>
        <v>66</v>
      </c>
      <c r="N145" s="269">
        <f t="shared" si="23"/>
        <v>67</v>
      </c>
      <c r="O145" s="269">
        <f t="shared" si="23"/>
        <v>72</v>
      </c>
      <c r="P145" s="269">
        <f t="shared" si="23"/>
        <v>68</v>
      </c>
      <c r="Q145" s="269">
        <f t="shared" si="23"/>
        <v>73</v>
      </c>
      <c r="R145" s="269">
        <f t="shared" si="22"/>
        <v>75</v>
      </c>
      <c r="S145" s="269"/>
      <c r="T145" s="269">
        <f t="shared" si="26"/>
        <v>66</v>
      </c>
      <c r="U145" s="269">
        <f t="shared" si="27"/>
        <v>67</v>
      </c>
      <c r="V145" s="269">
        <f t="shared" si="28"/>
        <v>68</v>
      </c>
      <c r="W145" s="269">
        <f t="shared" si="29"/>
        <v>69</v>
      </c>
      <c r="X145" s="269">
        <f t="shared" si="30"/>
        <v>71</v>
      </c>
      <c r="Y145" s="269">
        <f t="shared" si="31"/>
        <v>72</v>
      </c>
      <c r="Z145" s="269">
        <f t="shared" si="32"/>
        <v>73</v>
      </c>
      <c r="AA145" s="269">
        <f t="shared" si="33"/>
        <v>75</v>
      </c>
    </row>
    <row r="146" spans="1:27">
      <c r="A146" s="104">
        <v>145</v>
      </c>
      <c r="B146" s="104" t="str">
        <f t="shared" si="25"/>
        <v>BCDEGHIJ</v>
      </c>
      <c r="C146" s="104" t="s">
        <v>245</v>
      </c>
      <c r="D146" s="104" t="s">
        <v>231</v>
      </c>
      <c r="E146" s="104" t="s">
        <v>144</v>
      </c>
      <c r="F146" s="104" t="s">
        <v>145</v>
      </c>
      <c r="G146" s="104" t="s">
        <v>232</v>
      </c>
      <c r="H146" s="104" t="s">
        <v>150</v>
      </c>
      <c r="I146" s="104" t="s">
        <v>151</v>
      </c>
      <c r="J146" s="104" t="s">
        <v>258</v>
      </c>
      <c r="K146" s="269">
        <f t="shared" si="24"/>
        <v>72</v>
      </c>
      <c r="L146" s="269">
        <f t="shared" si="24"/>
        <v>71</v>
      </c>
      <c r="M146" s="269">
        <f t="shared" si="24"/>
        <v>66</v>
      </c>
      <c r="N146" s="269">
        <f t="shared" si="23"/>
        <v>67</v>
      </c>
      <c r="O146" s="269">
        <f t="shared" si="23"/>
        <v>74</v>
      </c>
      <c r="P146" s="269">
        <f t="shared" si="23"/>
        <v>68</v>
      </c>
      <c r="Q146" s="269">
        <f t="shared" si="23"/>
        <v>69</v>
      </c>
      <c r="R146" s="269">
        <f t="shared" si="22"/>
        <v>73</v>
      </c>
      <c r="S146" s="269"/>
      <c r="T146" s="269">
        <f t="shared" si="26"/>
        <v>66</v>
      </c>
      <c r="U146" s="269">
        <f t="shared" si="27"/>
        <v>67</v>
      </c>
      <c r="V146" s="269">
        <f t="shared" si="28"/>
        <v>68</v>
      </c>
      <c r="W146" s="269">
        <f t="shared" si="29"/>
        <v>69</v>
      </c>
      <c r="X146" s="269">
        <f t="shared" si="30"/>
        <v>71</v>
      </c>
      <c r="Y146" s="269">
        <f t="shared" si="31"/>
        <v>72</v>
      </c>
      <c r="Z146" s="269">
        <f t="shared" si="32"/>
        <v>73</v>
      </c>
      <c r="AA146" s="269">
        <f t="shared" si="33"/>
        <v>74</v>
      </c>
    </row>
    <row r="147" spans="1:27">
      <c r="A147" s="104">
        <v>146</v>
      </c>
      <c r="B147" s="104" t="str">
        <f t="shared" si="25"/>
        <v>BCDEFJKL</v>
      </c>
      <c r="C147" s="104" t="s">
        <v>145</v>
      </c>
      <c r="D147" s="104" t="s">
        <v>232</v>
      </c>
      <c r="E147" s="104" t="s">
        <v>144</v>
      </c>
      <c r="F147" s="104" t="s">
        <v>150</v>
      </c>
      <c r="G147" s="104" t="s">
        <v>151</v>
      </c>
      <c r="H147" s="104" t="s">
        <v>152</v>
      </c>
      <c r="I147" s="104" t="s">
        <v>259</v>
      </c>
      <c r="J147" s="104" t="s">
        <v>246</v>
      </c>
      <c r="K147" s="269">
        <f t="shared" si="24"/>
        <v>67</v>
      </c>
      <c r="L147" s="269">
        <f t="shared" si="24"/>
        <v>74</v>
      </c>
      <c r="M147" s="269">
        <f t="shared" si="24"/>
        <v>66</v>
      </c>
      <c r="N147" s="269">
        <f t="shared" si="23"/>
        <v>68</v>
      </c>
      <c r="O147" s="269">
        <f t="shared" si="23"/>
        <v>69</v>
      </c>
      <c r="P147" s="269">
        <f t="shared" si="23"/>
        <v>70</v>
      </c>
      <c r="Q147" s="269">
        <f t="shared" si="23"/>
        <v>76</v>
      </c>
      <c r="R147" s="269">
        <f t="shared" si="22"/>
        <v>75</v>
      </c>
      <c r="S147" s="269"/>
      <c r="T147" s="269">
        <f t="shared" si="26"/>
        <v>66</v>
      </c>
      <c r="U147" s="269">
        <f t="shared" si="27"/>
        <v>67</v>
      </c>
      <c r="V147" s="269">
        <f t="shared" si="28"/>
        <v>68</v>
      </c>
      <c r="W147" s="269">
        <f t="shared" si="29"/>
        <v>69</v>
      </c>
      <c r="X147" s="269">
        <f t="shared" si="30"/>
        <v>70</v>
      </c>
      <c r="Y147" s="269">
        <f t="shared" si="31"/>
        <v>74</v>
      </c>
      <c r="Z147" s="269">
        <f t="shared" si="32"/>
        <v>75</v>
      </c>
      <c r="AA147" s="269">
        <f t="shared" si="33"/>
        <v>76</v>
      </c>
    </row>
    <row r="148" spans="1:27">
      <c r="A148" s="104">
        <v>147</v>
      </c>
      <c r="B148" s="104" t="str">
        <f t="shared" si="25"/>
        <v>BCDEFIKL</v>
      </c>
      <c r="C148" s="104" t="s">
        <v>145</v>
      </c>
      <c r="D148" s="104" t="s">
        <v>151</v>
      </c>
      <c r="E148" s="104" t="s">
        <v>144</v>
      </c>
      <c r="F148" s="104" t="s">
        <v>150</v>
      </c>
      <c r="G148" s="104" t="s">
        <v>258</v>
      </c>
      <c r="H148" s="104" t="s">
        <v>152</v>
      </c>
      <c r="I148" s="104" t="s">
        <v>259</v>
      </c>
      <c r="J148" s="104" t="s">
        <v>246</v>
      </c>
      <c r="K148" s="269">
        <f t="shared" si="24"/>
        <v>67</v>
      </c>
      <c r="L148" s="269">
        <f t="shared" si="24"/>
        <v>69</v>
      </c>
      <c r="M148" s="269">
        <f t="shared" si="24"/>
        <v>66</v>
      </c>
      <c r="N148" s="269">
        <f t="shared" si="23"/>
        <v>68</v>
      </c>
      <c r="O148" s="269">
        <f t="shared" si="23"/>
        <v>73</v>
      </c>
      <c r="P148" s="269">
        <f t="shared" si="23"/>
        <v>70</v>
      </c>
      <c r="Q148" s="269">
        <f t="shared" si="23"/>
        <v>76</v>
      </c>
      <c r="R148" s="269">
        <f t="shared" si="22"/>
        <v>75</v>
      </c>
      <c r="S148" s="269"/>
      <c r="T148" s="269">
        <f t="shared" si="26"/>
        <v>66</v>
      </c>
      <c r="U148" s="269">
        <f t="shared" si="27"/>
        <v>67</v>
      </c>
      <c r="V148" s="269">
        <f t="shared" si="28"/>
        <v>68</v>
      </c>
      <c r="W148" s="269">
        <f t="shared" si="29"/>
        <v>69</v>
      </c>
      <c r="X148" s="269">
        <f t="shared" si="30"/>
        <v>70</v>
      </c>
      <c r="Y148" s="269">
        <f t="shared" si="31"/>
        <v>73</v>
      </c>
      <c r="Z148" s="269">
        <f t="shared" si="32"/>
        <v>75</v>
      </c>
      <c r="AA148" s="269">
        <f t="shared" si="33"/>
        <v>76</v>
      </c>
    </row>
    <row r="149" spans="1:27">
      <c r="A149" s="104">
        <v>148</v>
      </c>
      <c r="B149" s="104" t="str">
        <f t="shared" si="25"/>
        <v>BCDEFIJL</v>
      </c>
      <c r="C149" s="104" t="s">
        <v>145</v>
      </c>
      <c r="D149" s="104" t="s">
        <v>232</v>
      </c>
      <c r="E149" s="104" t="s">
        <v>144</v>
      </c>
      <c r="F149" s="104" t="s">
        <v>150</v>
      </c>
      <c r="G149" s="104" t="s">
        <v>151</v>
      </c>
      <c r="H149" s="104" t="s">
        <v>152</v>
      </c>
      <c r="I149" s="104" t="s">
        <v>259</v>
      </c>
      <c r="J149" s="104" t="s">
        <v>258</v>
      </c>
      <c r="K149" s="269">
        <f t="shared" si="24"/>
        <v>67</v>
      </c>
      <c r="L149" s="269">
        <f t="shared" si="24"/>
        <v>74</v>
      </c>
      <c r="M149" s="269">
        <f t="shared" si="24"/>
        <v>66</v>
      </c>
      <c r="N149" s="269">
        <f t="shared" si="23"/>
        <v>68</v>
      </c>
      <c r="O149" s="269">
        <f t="shared" si="23"/>
        <v>69</v>
      </c>
      <c r="P149" s="269">
        <f t="shared" si="23"/>
        <v>70</v>
      </c>
      <c r="Q149" s="269">
        <f t="shared" si="23"/>
        <v>76</v>
      </c>
      <c r="R149" s="269">
        <f t="shared" si="22"/>
        <v>73</v>
      </c>
      <c r="S149" s="269"/>
      <c r="T149" s="269">
        <f t="shared" si="26"/>
        <v>66</v>
      </c>
      <c r="U149" s="269">
        <f t="shared" si="27"/>
        <v>67</v>
      </c>
      <c r="V149" s="269">
        <f t="shared" si="28"/>
        <v>68</v>
      </c>
      <c r="W149" s="269">
        <f t="shared" si="29"/>
        <v>69</v>
      </c>
      <c r="X149" s="269">
        <f t="shared" si="30"/>
        <v>70</v>
      </c>
      <c r="Y149" s="269">
        <f t="shared" si="31"/>
        <v>73</v>
      </c>
      <c r="Z149" s="269">
        <f t="shared" si="32"/>
        <v>74</v>
      </c>
      <c r="AA149" s="269">
        <f t="shared" si="33"/>
        <v>76</v>
      </c>
    </row>
    <row r="150" spans="1:27">
      <c r="A150" s="104">
        <v>149</v>
      </c>
      <c r="B150" s="104" t="str">
        <f t="shared" si="25"/>
        <v>BCDEFIJK</v>
      </c>
      <c r="C150" s="104" t="s">
        <v>145</v>
      </c>
      <c r="D150" s="104" t="s">
        <v>232</v>
      </c>
      <c r="E150" s="104" t="s">
        <v>144</v>
      </c>
      <c r="F150" s="104" t="s">
        <v>150</v>
      </c>
      <c r="G150" s="104" t="s">
        <v>151</v>
      </c>
      <c r="H150" s="104" t="s">
        <v>152</v>
      </c>
      <c r="I150" s="104" t="s">
        <v>258</v>
      </c>
      <c r="J150" s="104" t="s">
        <v>246</v>
      </c>
      <c r="K150" s="269">
        <f t="shared" si="24"/>
        <v>67</v>
      </c>
      <c r="L150" s="269">
        <f t="shared" si="24"/>
        <v>74</v>
      </c>
      <c r="M150" s="269">
        <f t="shared" si="24"/>
        <v>66</v>
      </c>
      <c r="N150" s="269">
        <f t="shared" si="23"/>
        <v>68</v>
      </c>
      <c r="O150" s="269">
        <f t="shared" si="23"/>
        <v>69</v>
      </c>
      <c r="P150" s="269">
        <f t="shared" si="23"/>
        <v>70</v>
      </c>
      <c r="Q150" s="269">
        <f t="shared" si="23"/>
        <v>73</v>
      </c>
      <c r="R150" s="269">
        <f t="shared" si="22"/>
        <v>75</v>
      </c>
      <c r="S150" s="269"/>
      <c r="T150" s="269">
        <f t="shared" si="26"/>
        <v>66</v>
      </c>
      <c r="U150" s="269">
        <f t="shared" si="27"/>
        <v>67</v>
      </c>
      <c r="V150" s="269">
        <f t="shared" si="28"/>
        <v>68</v>
      </c>
      <c r="W150" s="269">
        <f t="shared" si="29"/>
        <v>69</v>
      </c>
      <c r="X150" s="269">
        <f t="shared" si="30"/>
        <v>70</v>
      </c>
      <c r="Y150" s="269">
        <f t="shared" si="31"/>
        <v>73</v>
      </c>
      <c r="Z150" s="269">
        <f t="shared" si="32"/>
        <v>74</v>
      </c>
      <c r="AA150" s="269">
        <f t="shared" si="33"/>
        <v>75</v>
      </c>
    </row>
    <row r="151" spans="1:27">
      <c r="A151" s="104">
        <v>150</v>
      </c>
      <c r="B151" s="104" t="str">
        <f t="shared" si="25"/>
        <v>BCDEFHKL</v>
      </c>
      <c r="C151" s="104" t="s">
        <v>145</v>
      </c>
      <c r="D151" s="104" t="s">
        <v>151</v>
      </c>
      <c r="E151" s="104" t="s">
        <v>144</v>
      </c>
      <c r="F151" s="104" t="s">
        <v>150</v>
      </c>
      <c r="G151" s="104" t="s">
        <v>245</v>
      </c>
      <c r="H151" s="104" t="s">
        <v>152</v>
      </c>
      <c r="I151" s="104" t="s">
        <v>259</v>
      </c>
      <c r="J151" s="104" t="s">
        <v>246</v>
      </c>
      <c r="K151" s="269">
        <f t="shared" si="24"/>
        <v>67</v>
      </c>
      <c r="L151" s="269">
        <f t="shared" si="24"/>
        <v>69</v>
      </c>
      <c r="M151" s="269">
        <f t="shared" si="24"/>
        <v>66</v>
      </c>
      <c r="N151" s="269">
        <f t="shared" si="23"/>
        <v>68</v>
      </c>
      <c r="O151" s="269">
        <f t="shared" si="23"/>
        <v>72</v>
      </c>
      <c r="P151" s="269">
        <f t="shared" si="23"/>
        <v>70</v>
      </c>
      <c r="Q151" s="269">
        <f t="shared" si="23"/>
        <v>76</v>
      </c>
      <c r="R151" s="269">
        <f t="shared" si="22"/>
        <v>75</v>
      </c>
      <c r="S151" s="269"/>
      <c r="T151" s="269">
        <f t="shared" si="26"/>
        <v>66</v>
      </c>
      <c r="U151" s="269">
        <f t="shared" si="27"/>
        <v>67</v>
      </c>
      <c r="V151" s="269">
        <f t="shared" si="28"/>
        <v>68</v>
      </c>
      <c r="W151" s="269">
        <f t="shared" si="29"/>
        <v>69</v>
      </c>
      <c r="X151" s="269">
        <f t="shared" si="30"/>
        <v>70</v>
      </c>
      <c r="Y151" s="269">
        <f t="shared" si="31"/>
        <v>72</v>
      </c>
      <c r="Z151" s="269">
        <f t="shared" si="32"/>
        <v>75</v>
      </c>
      <c r="AA151" s="269">
        <f t="shared" si="33"/>
        <v>76</v>
      </c>
    </row>
    <row r="152" spans="1:27">
      <c r="A152" s="104">
        <v>151</v>
      </c>
      <c r="B152" s="104" t="str">
        <f t="shared" si="25"/>
        <v>BCDEFHJL</v>
      </c>
      <c r="C152" s="104" t="s">
        <v>145</v>
      </c>
      <c r="D152" s="104" t="s">
        <v>232</v>
      </c>
      <c r="E152" s="104" t="s">
        <v>144</v>
      </c>
      <c r="F152" s="104" t="s">
        <v>150</v>
      </c>
      <c r="G152" s="104" t="s">
        <v>245</v>
      </c>
      <c r="H152" s="104" t="s">
        <v>152</v>
      </c>
      <c r="I152" s="104" t="s">
        <v>259</v>
      </c>
      <c r="J152" s="104" t="s">
        <v>151</v>
      </c>
      <c r="K152" s="269">
        <f t="shared" si="24"/>
        <v>67</v>
      </c>
      <c r="L152" s="269">
        <f t="shared" si="24"/>
        <v>74</v>
      </c>
      <c r="M152" s="269">
        <f t="shared" si="24"/>
        <v>66</v>
      </c>
      <c r="N152" s="269">
        <f t="shared" si="23"/>
        <v>68</v>
      </c>
      <c r="O152" s="269">
        <f t="shared" si="23"/>
        <v>72</v>
      </c>
      <c r="P152" s="269">
        <f t="shared" si="23"/>
        <v>70</v>
      </c>
      <c r="Q152" s="269">
        <f t="shared" si="23"/>
        <v>76</v>
      </c>
      <c r="R152" s="269">
        <f t="shared" si="22"/>
        <v>69</v>
      </c>
      <c r="S152" s="269"/>
      <c r="T152" s="269">
        <f t="shared" si="26"/>
        <v>66</v>
      </c>
      <c r="U152" s="269">
        <f t="shared" si="27"/>
        <v>67</v>
      </c>
      <c r="V152" s="269">
        <f t="shared" si="28"/>
        <v>68</v>
      </c>
      <c r="W152" s="269">
        <f t="shared" si="29"/>
        <v>69</v>
      </c>
      <c r="X152" s="269">
        <f t="shared" si="30"/>
        <v>70</v>
      </c>
      <c r="Y152" s="269">
        <f t="shared" si="31"/>
        <v>72</v>
      </c>
      <c r="Z152" s="269">
        <f t="shared" si="32"/>
        <v>74</v>
      </c>
      <c r="AA152" s="269">
        <f t="shared" si="33"/>
        <v>76</v>
      </c>
    </row>
    <row r="153" spans="1:27">
      <c r="A153" s="104">
        <v>152</v>
      </c>
      <c r="B153" s="104" t="str">
        <f t="shared" si="25"/>
        <v>BCDEFHJK</v>
      </c>
      <c r="C153" s="104" t="s">
        <v>145</v>
      </c>
      <c r="D153" s="104" t="s">
        <v>232</v>
      </c>
      <c r="E153" s="104" t="s">
        <v>144</v>
      </c>
      <c r="F153" s="104" t="s">
        <v>150</v>
      </c>
      <c r="G153" s="104" t="s">
        <v>245</v>
      </c>
      <c r="H153" s="104" t="s">
        <v>152</v>
      </c>
      <c r="I153" s="104" t="s">
        <v>151</v>
      </c>
      <c r="J153" s="104" t="s">
        <v>246</v>
      </c>
      <c r="K153" s="269">
        <f t="shared" si="24"/>
        <v>67</v>
      </c>
      <c r="L153" s="269">
        <f t="shared" si="24"/>
        <v>74</v>
      </c>
      <c r="M153" s="269">
        <f t="shared" si="24"/>
        <v>66</v>
      </c>
      <c r="N153" s="269">
        <f t="shared" si="23"/>
        <v>68</v>
      </c>
      <c r="O153" s="269">
        <f t="shared" si="23"/>
        <v>72</v>
      </c>
      <c r="P153" s="269">
        <f t="shared" si="23"/>
        <v>70</v>
      </c>
      <c r="Q153" s="269">
        <f t="shared" si="23"/>
        <v>69</v>
      </c>
      <c r="R153" s="269">
        <f t="shared" si="22"/>
        <v>75</v>
      </c>
      <c r="S153" s="269"/>
      <c r="T153" s="269">
        <f t="shared" si="26"/>
        <v>66</v>
      </c>
      <c r="U153" s="269">
        <f t="shared" si="27"/>
        <v>67</v>
      </c>
      <c r="V153" s="269">
        <f t="shared" si="28"/>
        <v>68</v>
      </c>
      <c r="W153" s="269">
        <f t="shared" si="29"/>
        <v>69</v>
      </c>
      <c r="X153" s="269">
        <f t="shared" si="30"/>
        <v>70</v>
      </c>
      <c r="Y153" s="269">
        <f t="shared" si="31"/>
        <v>72</v>
      </c>
      <c r="Z153" s="269">
        <f t="shared" si="32"/>
        <v>74</v>
      </c>
      <c r="AA153" s="269">
        <f t="shared" si="33"/>
        <v>75</v>
      </c>
    </row>
    <row r="154" spans="1:27">
      <c r="A154" s="104">
        <v>153</v>
      </c>
      <c r="B154" s="104" t="str">
        <f t="shared" si="25"/>
        <v>BCDEFHIL</v>
      </c>
      <c r="C154" s="104" t="s">
        <v>145</v>
      </c>
      <c r="D154" s="104" t="s">
        <v>151</v>
      </c>
      <c r="E154" s="104" t="s">
        <v>144</v>
      </c>
      <c r="F154" s="104" t="s">
        <v>150</v>
      </c>
      <c r="G154" s="104" t="s">
        <v>245</v>
      </c>
      <c r="H154" s="104" t="s">
        <v>152</v>
      </c>
      <c r="I154" s="104" t="s">
        <v>259</v>
      </c>
      <c r="J154" s="104" t="s">
        <v>258</v>
      </c>
      <c r="K154" s="269">
        <f t="shared" si="24"/>
        <v>67</v>
      </c>
      <c r="L154" s="269">
        <f t="shared" si="24"/>
        <v>69</v>
      </c>
      <c r="M154" s="269">
        <f t="shared" si="24"/>
        <v>66</v>
      </c>
      <c r="N154" s="269">
        <f t="shared" si="23"/>
        <v>68</v>
      </c>
      <c r="O154" s="269">
        <f t="shared" si="23"/>
        <v>72</v>
      </c>
      <c r="P154" s="269">
        <f t="shared" si="23"/>
        <v>70</v>
      </c>
      <c r="Q154" s="269">
        <f t="shared" si="23"/>
        <v>76</v>
      </c>
      <c r="R154" s="269">
        <f t="shared" si="22"/>
        <v>73</v>
      </c>
      <c r="S154" s="269"/>
      <c r="T154" s="269">
        <f t="shared" si="26"/>
        <v>66</v>
      </c>
      <c r="U154" s="269">
        <f t="shared" si="27"/>
        <v>67</v>
      </c>
      <c r="V154" s="269">
        <f t="shared" si="28"/>
        <v>68</v>
      </c>
      <c r="W154" s="269">
        <f t="shared" si="29"/>
        <v>69</v>
      </c>
      <c r="X154" s="269">
        <f t="shared" si="30"/>
        <v>70</v>
      </c>
      <c r="Y154" s="269">
        <f t="shared" si="31"/>
        <v>72</v>
      </c>
      <c r="Z154" s="269">
        <f t="shared" si="32"/>
        <v>73</v>
      </c>
      <c r="AA154" s="269">
        <f t="shared" si="33"/>
        <v>76</v>
      </c>
    </row>
    <row r="155" spans="1:27">
      <c r="A155" s="104">
        <v>154</v>
      </c>
      <c r="B155" s="104" t="str">
        <f t="shared" si="25"/>
        <v>BCDEFHIK</v>
      </c>
      <c r="C155" s="104" t="s">
        <v>145</v>
      </c>
      <c r="D155" s="104" t="s">
        <v>151</v>
      </c>
      <c r="E155" s="104" t="s">
        <v>144</v>
      </c>
      <c r="F155" s="104" t="s">
        <v>150</v>
      </c>
      <c r="G155" s="104" t="s">
        <v>245</v>
      </c>
      <c r="H155" s="104" t="s">
        <v>152</v>
      </c>
      <c r="I155" s="104" t="s">
        <v>258</v>
      </c>
      <c r="J155" s="104" t="s">
        <v>246</v>
      </c>
      <c r="K155" s="269">
        <f t="shared" si="24"/>
        <v>67</v>
      </c>
      <c r="L155" s="269">
        <f t="shared" si="24"/>
        <v>69</v>
      </c>
      <c r="M155" s="269">
        <f t="shared" si="24"/>
        <v>66</v>
      </c>
      <c r="N155" s="269">
        <f t="shared" si="23"/>
        <v>68</v>
      </c>
      <c r="O155" s="269">
        <f t="shared" si="23"/>
        <v>72</v>
      </c>
      <c r="P155" s="269">
        <f t="shared" si="23"/>
        <v>70</v>
      </c>
      <c r="Q155" s="269">
        <f t="shared" si="23"/>
        <v>73</v>
      </c>
      <c r="R155" s="269">
        <f t="shared" si="22"/>
        <v>75</v>
      </c>
      <c r="S155" s="269"/>
      <c r="T155" s="269">
        <f t="shared" si="26"/>
        <v>66</v>
      </c>
      <c r="U155" s="269">
        <f t="shared" si="27"/>
        <v>67</v>
      </c>
      <c r="V155" s="269">
        <f t="shared" si="28"/>
        <v>68</v>
      </c>
      <c r="W155" s="269">
        <f t="shared" si="29"/>
        <v>69</v>
      </c>
      <c r="X155" s="269">
        <f t="shared" si="30"/>
        <v>70</v>
      </c>
      <c r="Y155" s="269">
        <f t="shared" si="31"/>
        <v>72</v>
      </c>
      <c r="Z155" s="269">
        <f t="shared" si="32"/>
        <v>73</v>
      </c>
      <c r="AA155" s="269">
        <f t="shared" si="33"/>
        <v>75</v>
      </c>
    </row>
    <row r="156" spans="1:27">
      <c r="A156" s="104">
        <v>155</v>
      </c>
      <c r="B156" s="104" t="str">
        <f t="shared" si="25"/>
        <v>BCDEFHIJ</v>
      </c>
      <c r="C156" s="104" t="s">
        <v>145</v>
      </c>
      <c r="D156" s="104" t="s">
        <v>232</v>
      </c>
      <c r="E156" s="104" t="s">
        <v>144</v>
      </c>
      <c r="F156" s="104" t="s">
        <v>150</v>
      </c>
      <c r="G156" s="104" t="s">
        <v>245</v>
      </c>
      <c r="H156" s="104" t="s">
        <v>152</v>
      </c>
      <c r="I156" s="104" t="s">
        <v>151</v>
      </c>
      <c r="J156" s="104" t="s">
        <v>258</v>
      </c>
      <c r="K156" s="269">
        <f t="shared" si="24"/>
        <v>67</v>
      </c>
      <c r="L156" s="269">
        <f t="shared" si="24"/>
        <v>74</v>
      </c>
      <c r="M156" s="269">
        <f t="shared" si="24"/>
        <v>66</v>
      </c>
      <c r="N156" s="269">
        <f t="shared" si="23"/>
        <v>68</v>
      </c>
      <c r="O156" s="269">
        <f t="shared" si="23"/>
        <v>72</v>
      </c>
      <c r="P156" s="269">
        <f t="shared" si="23"/>
        <v>70</v>
      </c>
      <c r="Q156" s="269">
        <f t="shared" si="23"/>
        <v>69</v>
      </c>
      <c r="R156" s="269">
        <f t="shared" si="22"/>
        <v>73</v>
      </c>
      <c r="S156" s="269"/>
      <c r="T156" s="269">
        <f t="shared" si="26"/>
        <v>66</v>
      </c>
      <c r="U156" s="269">
        <f t="shared" si="27"/>
        <v>67</v>
      </c>
      <c r="V156" s="269">
        <f t="shared" si="28"/>
        <v>68</v>
      </c>
      <c r="W156" s="269">
        <f t="shared" si="29"/>
        <v>69</v>
      </c>
      <c r="X156" s="269">
        <f t="shared" si="30"/>
        <v>70</v>
      </c>
      <c r="Y156" s="269">
        <f t="shared" si="31"/>
        <v>72</v>
      </c>
      <c r="Z156" s="269">
        <f t="shared" si="32"/>
        <v>73</v>
      </c>
      <c r="AA156" s="269">
        <f t="shared" si="33"/>
        <v>74</v>
      </c>
    </row>
    <row r="157" spans="1:27">
      <c r="A157" s="104">
        <v>156</v>
      </c>
      <c r="B157" s="104" t="str">
        <f t="shared" si="25"/>
        <v>BCDEFGKL</v>
      </c>
      <c r="C157" s="104" t="s">
        <v>145</v>
      </c>
      <c r="D157" s="104" t="s">
        <v>231</v>
      </c>
      <c r="E157" s="104" t="s">
        <v>144</v>
      </c>
      <c r="F157" s="104" t="s">
        <v>150</v>
      </c>
      <c r="G157" s="104" t="s">
        <v>151</v>
      </c>
      <c r="H157" s="104" t="s">
        <v>152</v>
      </c>
      <c r="I157" s="104" t="s">
        <v>259</v>
      </c>
      <c r="J157" s="104" t="s">
        <v>246</v>
      </c>
      <c r="K157" s="269">
        <f t="shared" si="24"/>
        <v>67</v>
      </c>
      <c r="L157" s="269">
        <f t="shared" si="24"/>
        <v>71</v>
      </c>
      <c r="M157" s="269">
        <f t="shared" si="24"/>
        <v>66</v>
      </c>
      <c r="N157" s="269">
        <f t="shared" si="23"/>
        <v>68</v>
      </c>
      <c r="O157" s="269">
        <f t="shared" si="23"/>
        <v>69</v>
      </c>
      <c r="P157" s="269">
        <f t="shared" si="23"/>
        <v>70</v>
      </c>
      <c r="Q157" s="269">
        <f t="shared" si="23"/>
        <v>76</v>
      </c>
      <c r="R157" s="269">
        <f t="shared" si="22"/>
        <v>75</v>
      </c>
      <c r="S157" s="269"/>
      <c r="T157" s="269">
        <f t="shared" si="26"/>
        <v>66</v>
      </c>
      <c r="U157" s="269">
        <f t="shared" si="27"/>
        <v>67</v>
      </c>
      <c r="V157" s="269">
        <f t="shared" si="28"/>
        <v>68</v>
      </c>
      <c r="W157" s="269">
        <f t="shared" si="29"/>
        <v>69</v>
      </c>
      <c r="X157" s="269">
        <f t="shared" si="30"/>
        <v>70</v>
      </c>
      <c r="Y157" s="269">
        <f t="shared" si="31"/>
        <v>71</v>
      </c>
      <c r="Z157" s="269">
        <f t="shared" si="32"/>
        <v>75</v>
      </c>
      <c r="AA157" s="269">
        <f t="shared" si="33"/>
        <v>76</v>
      </c>
    </row>
    <row r="158" spans="1:27">
      <c r="A158" s="104">
        <v>157</v>
      </c>
      <c r="B158" s="104" t="str">
        <f t="shared" si="25"/>
        <v>BCDEFGJL</v>
      </c>
      <c r="C158" s="104" t="s">
        <v>145</v>
      </c>
      <c r="D158" s="104" t="s">
        <v>231</v>
      </c>
      <c r="E158" s="104" t="s">
        <v>144</v>
      </c>
      <c r="F158" s="104" t="s">
        <v>150</v>
      </c>
      <c r="G158" s="104" t="s">
        <v>232</v>
      </c>
      <c r="H158" s="104" t="s">
        <v>152</v>
      </c>
      <c r="I158" s="104" t="s">
        <v>259</v>
      </c>
      <c r="J158" s="104" t="s">
        <v>151</v>
      </c>
      <c r="K158" s="269">
        <f t="shared" si="24"/>
        <v>67</v>
      </c>
      <c r="L158" s="269">
        <f t="shared" si="24"/>
        <v>71</v>
      </c>
      <c r="M158" s="269">
        <f t="shared" si="24"/>
        <v>66</v>
      </c>
      <c r="N158" s="269">
        <f t="shared" si="23"/>
        <v>68</v>
      </c>
      <c r="O158" s="269">
        <f t="shared" si="23"/>
        <v>74</v>
      </c>
      <c r="P158" s="269">
        <f t="shared" si="23"/>
        <v>70</v>
      </c>
      <c r="Q158" s="269">
        <f t="shared" si="23"/>
        <v>76</v>
      </c>
      <c r="R158" s="269">
        <f t="shared" si="22"/>
        <v>69</v>
      </c>
      <c r="S158" s="269"/>
      <c r="T158" s="269">
        <f t="shared" si="26"/>
        <v>66</v>
      </c>
      <c r="U158" s="269">
        <f t="shared" si="27"/>
        <v>67</v>
      </c>
      <c r="V158" s="269">
        <f t="shared" si="28"/>
        <v>68</v>
      </c>
      <c r="W158" s="269">
        <f t="shared" si="29"/>
        <v>69</v>
      </c>
      <c r="X158" s="269">
        <f t="shared" si="30"/>
        <v>70</v>
      </c>
      <c r="Y158" s="269">
        <f t="shared" si="31"/>
        <v>71</v>
      </c>
      <c r="Z158" s="269">
        <f t="shared" si="32"/>
        <v>74</v>
      </c>
      <c r="AA158" s="269">
        <f t="shared" si="33"/>
        <v>76</v>
      </c>
    </row>
    <row r="159" spans="1:27">
      <c r="A159" s="104">
        <v>158</v>
      </c>
      <c r="B159" s="104" t="str">
        <f t="shared" si="25"/>
        <v>BCDEFGJK</v>
      </c>
      <c r="C159" s="104" t="s">
        <v>145</v>
      </c>
      <c r="D159" s="104" t="s">
        <v>231</v>
      </c>
      <c r="E159" s="104" t="s">
        <v>144</v>
      </c>
      <c r="F159" s="104" t="s">
        <v>150</v>
      </c>
      <c r="G159" s="104" t="s">
        <v>232</v>
      </c>
      <c r="H159" s="104" t="s">
        <v>152</v>
      </c>
      <c r="I159" s="104" t="s">
        <v>151</v>
      </c>
      <c r="J159" s="104" t="s">
        <v>246</v>
      </c>
      <c r="K159" s="269">
        <f t="shared" si="24"/>
        <v>67</v>
      </c>
      <c r="L159" s="269">
        <f t="shared" si="24"/>
        <v>71</v>
      </c>
      <c r="M159" s="269">
        <f t="shared" si="24"/>
        <v>66</v>
      </c>
      <c r="N159" s="269">
        <f t="shared" si="23"/>
        <v>68</v>
      </c>
      <c r="O159" s="269">
        <f t="shared" si="23"/>
        <v>74</v>
      </c>
      <c r="P159" s="269">
        <f t="shared" si="23"/>
        <v>70</v>
      </c>
      <c r="Q159" s="269">
        <f t="shared" si="23"/>
        <v>69</v>
      </c>
      <c r="R159" s="269">
        <f t="shared" si="22"/>
        <v>75</v>
      </c>
      <c r="S159" s="269"/>
      <c r="T159" s="269">
        <f t="shared" si="26"/>
        <v>66</v>
      </c>
      <c r="U159" s="269">
        <f t="shared" si="27"/>
        <v>67</v>
      </c>
      <c r="V159" s="269">
        <f t="shared" si="28"/>
        <v>68</v>
      </c>
      <c r="W159" s="269">
        <f t="shared" si="29"/>
        <v>69</v>
      </c>
      <c r="X159" s="269">
        <f t="shared" si="30"/>
        <v>70</v>
      </c>
      <c r="Y159" s="269">
        <f t="shared" si="31"/>
        <v>71</v>
      </c>
      <c r="Z159" s="269">
        <f t="shared" si="32"/>
        <v>74</v>
      </c>
      <c r="AA159" s="269">
        <f t="shared" si="33"/>
        <v>75</v>
      </c>
    </row>
    <row r="160" spans="1:27">
      <c r="A160" s="104">
        <v>159</v>
      </c>
      <c r="B160" s="104" t="str">
        <f t="shared" si="25"/>
        <v>BCDEFGIL</v>
      </c>
      <c r="C160" s="104" t="s">
        <v>145</v>
      </c>
      <c r="D160" s="104" t="s">
        <v>231</v>
      </c>
      <c r="E160" s="104" t="s">
        <v>144</v>
      </c>
      <c r="F160" s="104" t="s">
        <v>150</v>
      </c>
      <c r="G160" s="104" t="s">
        <v>151</v>
      </c>
      <c r="H160" s="104" t="s">
        <v>152</v>
      </c>
      <c r="I160" s="104" t="s">
        <v>259</v>
      </c>
      <c r="J160" s="104" t="s">
        <v>258</v>
      </c>
      <c r="K160" s="269">
        <f t="shared" si="24"/>
        <v>67</v>
      </c>
      <c r="L160" s="269">
        <f t="shared" si="24"/>
        <v>71</v>
      </c>
      <c r="M160" s="269">
        <f t="shared" si="24"/>
        <v>66</v>
      </c>
      <c r="N160" s="269">
        <f t="shared" si="23"/>
        <v>68</v>
      </c>
      <c r="O160" s="269">
        <f t="shared" si="23"/>
        <v>69</v>
      </c>
      <c r="P160" s="269">
        <f t="shared" si="23"/>
        <v>70</v>
      </c>
      <c r="Q160" s="269">
        <f t="shared" si="23"/>
        <v>76</v>
      </c>
      <c r="R160" s="269">
        <f t="shared" si="22"/>
        <v>73</v>
      </c>
      <c r="S160" s="269"/>
      <c r="T160" s="269">
        <f t="shared" si="26"/>
        <v>66</v>
      </c>
      <c r="U160" s="269">
        <f t="shared" si="27"/>
        <v>67</v>
      </c>
      <c r="V160" s="269">
        <f t="shared" si="28"/>
        <v>68</v>
      </c>
      <c r="W160" s="269">
        <f t="shared" si="29"/>
        <v>69</v>
      </c>
      <c r="X160" s="269">
        <f t="shared" si="30"/>
        <v>70</v>
      </c>
      <c r="Y160" s="269">
        <f t="shared" si="31"/>
        <v>71</v>
      </c>
      <c r="Z160" s="269">
        <f t="shared" si="32"/>
        <v>73</v>
      </c>
      <c r="AA160" s="269">
        <f t="shared" si="33"/>
        <v>76</v>
      </c>
    </row>
    <row r="161" spans="1:27">
      <c r="A161" s="104">
        <v>160</v>
      </c>
      <c r="B161" s="104" t="str">
        <f t="shared" si="25"/>
        <v>BCDEFGIK</v>
      </c>
      <c r="C161" s="104" t="s">
        <v>145</v>
      </c>
      <c r="D161" s="104" t="s">
        <v>231</v>
      </c>
      <c r="E161" s="104" t="s">
        <v>144</v>
      </c>
      <c r="F161" s="104" t="s">
        <v>150</v>
      </c>
      <c r="G161" s="104" t="s">
        <v>151</v>
      </c>
      <c r="H161" s="104" t="s">
        <v>152</v>
      </c>
      <c r="I161" s="104" t="s">
        <v>258</v>
      </c>
      <c r="J161" s="104" t="s">
        <v>246</v>
      </c>
      <c r="K161" s="269">
        <f t="shared" si="24"/>
        <v>67</v>
      </c>
      <c r="L161" s="269">
        <f t="shared" si="24"/>
        <v>71</v>
      </c>
      <c r="M161" s="269">
        <f t="shared" si="24"/>
        <v>66</v>
      </c>
      <c r="N161" s="269">
        <f t="shared" si="23"/>
        <v>68</v>
      </c>
      <c r="O161" s="269">
        <f t="shared" si="23"/>
        <v>69</v>
      </c>
      <c r="P161" s="269">
        <f t="shared" si="23"/>
        <v>70</v>
      </c>
      <c r="Q161" s="269">
        <f t="shared" si="23"/>
        <v>73</v>
      </c>
      <c r="R161" s="269">
        <f t="shared" si="22"/>
        <v>75</v>
      </c>
      <c r="S161" s="269"/>
      <c r="T161" s="269">
        <f t="shared" si="26"/>
        <v>66</v>
      </c>
      <c r="U161" s="269">
        <f t="shared" si="27"/>
        <v>67</v>
      </c>
      <c r="V161" s="269">
        <f t="shared" si="28"/>
        <v>68</v>
      </c>
      <c r="W161" s="269">
        <f t="shared" si="29"/>
        <v>69</v>
      </c>
      <c r="X161" s="269">
        <f t="shared" si="30"/>
        <v>70</v>
      </c>
      <c r="Y161" s="269">
        <f t="shared" si="31"/>
        <v>71</v>
      </c>
      <c r="Z161" s="269">
        <f t="shared" si="32"/>
        <v>73</v>
      </c>
      <c r="AA161" s="269">
        <f t="shared" si="33"/>
        <v>75</v>
      </c>
    </row>
    <row r="162" spans="1:27">
      <c r="A162" s="104">
        <v>161</v>
      </c>
      <c r="B162" s="104" t="str">
        <f t="shared" si="25"/>
        <v>BCDEFGIJ</v>
      </c>
      <c r="C162" s="104" t="s">
        <v>145</v>
      </c>
      <c r="D162" s="104" t="s">
        <v>231</v>
      </c>
      <c r="E162" s="104" t="s">
        <v>144</v>
      </c>
      <c r="F162" s="104" t="s">
        <v>150</v>
      </c>
      <c r="G162" s="104" t="s">
        <v>232</v>
      </c>
      <c r="H162" s="104" t="s">
        <v>152</v>
      </c>
      <c r="I162" s="104" t="s">
        <v>151</v>
      </c>
      <c r="J162" s="104" t="s">
        <v>258</v>
      </c>
      <c r="K162" s="269">
        <f t="shared" si="24"/>
        <v>67</v>
      </c>
      <c r="L162" s="269">
        <f t="shared" si="24"/>
        <v>71</v>
      </c>
      <c r="M162" s="269">
        <f t="shared" si="24"/>
        <v>66</v>
      </c>
      <c r="N162" s="269">
        <f t="shared" si="23"/>
        <v>68</v>
      </c>
      <c r="O162" s="269">
        <f t="shared" si="23"/>
        <v>74</v>
      </c>
      <c r="P162" s="269">
        <f t="shared" si="23"/>
        <v>70</v>
      </c>
      <c r="Q162" s="269">
        <f t="shared" si="23"/>
        <v>69</v>
      </c>
      <c r="R162" s="269">
        <f t="shared" si="22"/>
        <v>73</v>
      </c>
      <c r="S162" s="269"/>
      <c r="T162" s="269">
        <f t="shared" si="26"/>
        <v>66</v>
      </c>
      <c r="U162" s="269">
        <f t="shared" si="27"/>
        <v>67</v>
      </c>
      <c r="V162" s="269">
        <f t="shared" si="28"/>
        <v>68</v>
      </c>
      <c r="W162" s="269">
        <f t="shared" si="29"/>
        <v>69</v>
      </c>
      <c r="X162" s="269">
        <f t="shared" si="30"/>
        <v>70</v>
      </c>
      <c r="Y162" s="269">
        <f t="shared" si="31"/>
        <v>71</v>
      </c>
      <c r="Z162" s="269">
        <f t="shared" si="32"/>
        <v>73</v>
      </c>
      <c r="AA162" s="269">
        <f t="shared" si="33"/>
        <v>74</v>
      </c>
    </row>
    <row r="163" spans="1:27">
      <c r="A163" s="104">
        <v>162</v>
      </c>
      <c r="B163" s="104" t="str">
        <f t="shared" si="25"/>
        <v>BCDEFGHL</v>
      </c>
      <c r="C163" s="104" t="s">
        <v>145</v>
      </c>
      <c r="D163" s="104" t="s">
        <v>231</v>
      </c>
      <c r="E163" s="104" t="s">
        <v>144</v>
      </c>
      <c r="F163" s="104" t="s">
        <v>150</v>
      </c>
      <c r="G163" s="104" t="s">
        <v>245</v>
      </c>
      <c r="H163" s="104" t="s">
        <v>152</v>
      </c>
      <c r="I163" s="104" t="s">
        <v>259</v>
      </c>
      <c r="J163" s="104" t="s">
        <v>151</v>
      </c>
      <c r="K163" s="269">
        <f t="shared" si="24"/>
        <v>67</v>
      </c>
      <c r="L163" s="269">
        <f t="shared" si="24"/>
        <v>71</v>
      </c>
      <c r="M163" s="269">
        <f t="shared" si="24"/>
        <v>66</v>
      </c>
      <c r="N163" s="269">
        <f t="shared" si="23"/>
        <v>68</v>
      </c>
      <c r="O163" s="269">
        <f t="shared" si="23"/>
        <v>72</v>
      </c>
      <c r="P163" s="269">
        <f t="shared" si="23"/>
        <v>70</v>
      </c>
      <c r="Q163" s="269">
        <f t="shared" si="23"/>
        <v>76</v>
      </c>
      <c r="R163" s="269">
        <f t="shared" si="22"/>
        <v>69</v>
      </c>
      <c r="S163" s="269"/>
      <c r="T163" s="269">
        <f t="shared" si="26"/>
        <v>66</v>
      </c>
      <c r="U163" s="269">
        <f t="shared" si="27"/>
        <v>67</v>
      </c>
      <c r="V163" s="269">
        <f t="shared" si="28"/>
        <v>68</v>
      </c>
      <c r="W163" s="269">
        <f t="shared" si="29"/>
        <v>69</v>
      </c>
      <c r="X163" s="269">
        <f t="shared" si="30"/>
        <v>70</v>
      </c>
      <c r="Y163" s="269">
        <f t="shared" si="31"/>
        <v>71</v>
      </c>
      <c r="Z163" s="269">
        <f t="shared" si="32"/>
        <v>72</v>
      </c>
      <c r="AA163" s="269">
        <f t="shared" si="33"/>
        <v>76</v>
      </c>
    </row>
    <row r="164" spans="1:27">
      <c r="A164" s="104">
        <v>163</v>
      </c>
      <c r="B164" s="104" t="str">
        <f t="shared" si="25"/>
        <v>BCDEFGHK</v>
      </c>
      <c r="C164" s="104" t="s">
        <v>145</v>
      </c>
      <c r="D164" s="104" t="s">
        <v>231</v>
      </c>
      <c r="E164" s="104" t="s">
        <v>144</v>
      </c>
      <c r="F164" s="104" t="s">
        <v>150</v>
      </c>
      <c r="G164" s="104" t="s">
        <v>245</v>
      </c>
      <c r="H164" s="104" t="s">
        <v>152</v>
      </c>
      <c r="I164" s="104" t="s">
        <v>151</v>
      </c>
      <c r="J164" s="104" t="s">
        <v>246</v>
      </c>
      <c r="K164" s="269">
        <f t="shared" si="24"/>
        <v>67</v>
      </c>
      <c r="L164" s="269">
        <f t="shared" si="24"/>
        <v>71</v>
      </c>
      <c r="M164" s="269">
        <f t="shared" si="24"/>
        <v>66</v>
      </c>
      <c r="N164" s="269">
        <f t="shared" si="23"/>
        <v>68</v>
      </c>
      <c r="O164" s="269">
        <f t="shared" si="23"/>
        <v>72</v>
      </c>
      <c r="P164" s="269">
        <f t="shared" si="23"/>
        <v>70</v>
      </c>
      <c r="Q164" s="269">
        <f t="shared" si="23"/>
        <v>69</v>
      </c>
      <c r="R164" s="269">
        <f t="shared" si="22"/>
        <v>75</v>
      </c>
      <c r="S164" s="269"/>
      <c r="T164" s="269">
        <f t="shared" si="26"/>
        <v>66</v>
      </c>
      <c r="U164" s="269">
        <f t="shared" si="27"/>
        <v>67</v>
      </c>
      <c r="V164" s="269">
        <f t="shared" si="28"/>
        <v>68</v>
      </c>
      <c r="W164" s="269">
        <f t="shared" si="29"/>
        <v>69</v>
      </c>
      <c r="X164" s="269">
        <f t="shared" si="30"/>
        <v>70</v>
      </c>
      <c r="Y164" s="269">
        <f t="shared" si="31"/>
        <v>71</v>
      </c>
      <c r="Z164" s="269">
        <f t="shared" si="32"/>
        <v>72</v>
      </c>
      <c r="AA164" s="269">
        <f t="shared" si="33"/>
        <v>75</v>
      </c>
    </row>
    <row r="165" spans="1:27">
      <c r="A165" s="104">
        <v>164</v>
      </c>
      <c r="B165" s="104" t="str">
        <f t="shared" si="25"/>
        <v>BCDEFGHJ</v>
      </c>
      <c r="C165" s="104" t="s">
        <v>245</v>
      </c>
      <c r="D165" s="104" t="s">
        <v>231</v>
      </c>
      <c r="E165" s="104" t="s">
        <v>144</v>
      </c>
      <c r="F165" s="104" t="s">
        <v>145</v>
      </c>
      <c r="G165" s="104" t="s">
        <v>232</v>
      </c>
      <c r="H165" s="104" t="s">
        <v>152</v>
      </c>
      <c r="I165" s="104" t="s">
        <v>150</v>
      </c>
      <c r="J165" s="104" t="s">
        <v>151</v>
      </c>
      <c r="K165" s="269">
        <f t="shared" si="24"/>
        <v>72</v>
      </c>
      <c r="L165" s="269">
        <f t="shared" si="24"/>
        <v>71</v>
      </c>
      <c r="M165" s="269">
        <f t="shared" si="24"/>
        <v>66</v>
      </c>
      <c r="N165" s="269">
        <f t="shared" si="23"/>
        <v>67</v>
      </c>
      <c r="O165" s="269">
        <f t="shared" si="23"/>
        <v>74</v>
      </c>
      <c r="P165" s="269">
        <f t="shared" si="23"/>
        <v>70</v>
      </c>
      <c r="Q165" s="269">
        <f t="shared" si="23"/>
        <v>68</v>
      </c>
      <c r="R165" s="269">
        <f t="shared" si="23"/>
        <v>69</v>
      </c>
      <c r="S165" s="269"/>
      <c r="T165" s="269">
        <f t="shared" si="26"/>
        <v>66</v>
      </c>
      <c r="U165" s="269">
        <f t="shared" si="27"/>
        <v>67</v>
      </c>
      <c r="V165" s="269">
        <f t="shared" si="28"/>
        <v>68</v>
      </c>
      <c r="W165" s="269">
        <f t="shared" si="29"/>
        <v>69</v>
      </c>
      <c r="X165" s="269">
        <f t="shared" si="30"/>
        <v>70</v>
      </c>
      <c r="Y165" s="269">
        <f t="shared" si="31"/>
        <v>71</v>
      </c>
      <c r="Z165" s="269">
        <f t="shared" si="32"/>
        <v>72</v>
      </c>
      <c r="AA165" s="269">
        <f t="shared" si="33"/>
        <v>74</v>
      </c>
    </row>
    <row r="166" spans="1:27">
      <c r="A166" s="104">
        <v>165</v>
      </c>
      <c r="B166" s="104" t="str">
        <f t="shared" si="25"/>
        <v>BCDEFGHI</v>
      </c>
      <c r="C166" s="104" t="s">
        <v>145</v>
      </c>
      <c r="D166" s="104" t="s">
        <v>231</v>
      </c>
      <c r="E166" s="104" t="s">
        <v>144</v>
      </c>
      <c r="F166" s="104" t="s">
        <v>150</v>
      </c>
      <c r="G166" s="104" t="s">
        <v>245</v>
      </c>
      <c r="H166" s="104" t="s">
        <v>152</v>
      </c>
      <c r="I166" s="104" t="s">
        <v>151</v>
      </c>
      <c r="J166" s="104" t="s">
        <v>258</v>
      </c>
      <c r="K166" s="269">
        <f t="shared" si="24"/>
        <v>67</v>
      </c>
      <c r="L166" s="269">
        <f t="shared" si="24"/>
        <v>71</v>
      </c>
      <c r="M166" s="269">
        <f t="shared" si="24"/>
        <v>66</v>
      </c>
      <c r="N166" s="269">
        <f t="shared" si="23"/>
        <v>68</v>
      </c>
      <c r="O166" s="269">
        <f t="shared" si="23"/>
        <v>72</v>
      </c>
      <c r="P166" s="269">
        <f t="shared" si="23"/>
        <v>70</v>
      </c>
      <c r="Q166" s="269">
        <f t="shared" si="23"/>
        <v>69</v>
      </c>
      <c r="R166" s="269">
        <f t="shared" si="23"/>
        <v>73</v>
      </c>
      <c r="S166" s="269"/>
      <c r="T166" s="269">
        <f t="shared" si="26"/>
        <v>66</v>
      </c>
      <c r="U166" s="269">
        <f t="shared" si="27"/>
        <v>67</v>
      </c>
      <c r="V166" s="269">
        <f t="shared" si="28"/>
        <v>68</v>
      </c>
      <c r="W166" s="269">
        <f t="shared" si="29"/>
        <v>69</v>
      </c>
      <c r="X166" s="269">
        <f t="shared" si="30"/>
        <v>70</v>
      </c>
      <c r="Y166" s="269">
        <f t="shared" si="31"/>
        <v>71</v>
      </c>
      <c r="Z166" s="269">
        <f t="shared" si="32"/>
        <v>72</v>
      </c>
      <c r="AA166" s="269">
        <f t="shared" si="33"/>
        <v>73</v>
      </c>
    </row>
    <row r="167" spans="1:27">
      <c r="A167" s="104">
        <v>166</v>
      </c>
      <c r="B167" s="104" t="str">
        <f t="shared" si="25"/>
        <v>AFGHIJKL</v>
      </c>
      <c r="C167" s="104" t="s">
        <v>245</v>
      </c>
      <c r="D167" s="104" t="s">
        <v>232</v>
      </c>
      <c r="E167" s="104" t="s">
        <v>258</v>
      </c>
      <c r="F167" s="104" t="s">
        <v>152</v>
      </c>
      <c r="G167" s="104" t="s">
        <v>142</v>
      </c>
      <c r="H167" s="104" t="s">
        <v>231</v>
      </c>
      <c r="I167" s="104" t="s">
        <v>259</v>
      </c>
      <c r="J167" s="104" t="s">
        <v>246</v>
      </c>
      <c r="K167" s="269">
        <f t="shared" si="24"/>
        <v>72</v>
      </c>
      <c r="L167" s="269">
        <f t="shared" si="24"/>
        <v>74</v>
      </c>
      <c r="M167" s="269">
        <f t="shared" si="24"/>
        <v>73</v>
      </c>
      <c r="N167" s="269">
        <f t="shared" si="23"/>
        <v>70</v>
      </c>
      <c r="O167" s="269">
        <f t="shared" si="23"/>
        <v>65</v>
      </c>
      <c r="P167" s="269">
        <f t="shared" si="23"/>
        <v>71</v>
      </c>
      <c r="Q167" s="269">
        <f t="shared" si="23"/>
        <v>76</v>
      </c>
      <c r="R167" s="269">
        <f t="shared" si="23"/>
        <v>75</v>
      </c>
      <c r="S167" s="269"/>
      <c r="T167" s="269">
        <f t="shared" si="26"/>
        <v>65</v>
      </c>
      <c r="U167" s="269">
        <f t="shared" si="27"/>
        <v>70</v>
      </c>
      <c r="V167" s="269">
        <f t="shared" si="28"/>
        <v>71</v>
      </c>
      <c r="W167" s="269">
        <f t="shared" si="29"/>
        <v>72</v>
      </c>
      <c r="X167" s="269">
        <f t="shared" si="30"/>
        <v>73</v>
      </c>
      <c r="Y167" s="269">
        <f t="shared" si="31"/>
        <v>74</v>
      </c>
      <c r="Z167" s="269">
        <f t="shared" si="32"/>
        <v>75</v>
      </c>
      <c r="AA167" s="269">
        <f t="shared" si="33"/>
        <v>76</v>
      </c>
    </row>
    <row r="168" spans="1:27">
      <c r="A168" s="104">
        <v>167</v>
      </c>
      <c r="B168" s="104" t="str">
        <f t="shared" si="25"/>
        <v>AEGHIJKL</v>
      </c>
      <c r="C168" s="104" t="s">
        <v>151</v>
      </c>
      <c r="D168" s="104" t="s">
        <v>232</v>
      </c>
      <c r="E168" s="104" t="s">
        <v>258</v>
      </c>
      <c r="F168" s="104" t="s">
        <v>142</v>
      </c>
      <c r="G168" s="104" t="s">
        <v>245</v>
      </c>
      <c r="H168" s="104" t="s">
        <v>231</v>
      </c>
      <c r="I168" s="104" t="s">
        <v>259</v>
      </c>
      <c r="J168" s="104" t="s">
        <v>246</v>
      </c>
      <c r="K168" s="269">
        <f t="shared" si="24"/>
        <v>69</v>
      </c>
      <c r="L168" s="269">
        <f t="shared" si="24"/>
        <v>74</v>
      </c>
      <c r="M168" s="269">
        <f t="shared" si="24"/>
        <v>73</v>
      </c>
      <c r="N168" s="269">
        <f t="shared" si="23"/>
        <v>65</v>
      </c>
      <c r="O168" s="269">
        <f t="shared" si="23"/>
        <v>72</v>
      </c>
      <c r="P168" s="269">
        <f t="shared" si="23"/>
        <v>71</v>
      </c>
      <c r="Q168" s="269">
        <f t="shared" si="23"/>
        <v>76</v>
      </c>
      <c r="R168" s="269">
        <f t="shared" si="23"/>
        <v>75</v>
      </c>
      <c r="S168" s="269"/>
      <c r="T168" s="269">
        <f t="shared" si="26"/>
        <v>65</v>
      </c>
      <c r="U168" s="269">
        <f t="shared" si="27"/>
        <v>69</v>
      </c>
      <c r="V168" s="269">
        <f t="shared" si="28"/>
        <v>71</v>
      </c>
      <c r="W168" s="269">
        <f t="shared" si="29"/>
        <v>72</v>
      </c>
      <c r="X168" s="269">
        <f t="shared" si="30"/>
        <v>73</v>
      </c>
      <c r="Y168" s="269">
        <f t="shared" si="31"/>
        <v>74</v>
      </c>
      <c r="Z168" s="269">
        <f t="shared" si="32"/>
        <v>75</v>
      </c>
      <c r="AA168" s="269">
        <f t="shared" si="33"/>
        <v>76</v>
      </c>
    </row>
    <row r="169" spans="1:27">
      <c r="A169" s="104">
        <v>168</v>
      </c>
      <c r="B169" s="104" t="str">
        <f t="shared" si="25"/>
        <v>AEFHIJKL</v>
      </c>
      <c r="C169" s="104" t="s">
        <v>151</v>
      </c>
      <c r="D169" s="104" t="s">
        <v>232</v>
      </c>
      <c r="E169" s="104" t="s">
        <v>258</v>
      </c>
      <c r="F169" s="104" t="s">
        <v>152</v>
      </c>
      <c r="G169" s="104" t="s">
        <v>142</v>
      </c>
      <c r="H169" s="104" t="s">
        <v>245</v>
      </c>
      <c r="I169" s="104" t="s">
        <v>259</v>
      </c>
      <c r="J169" s="104" t="s">
        <v>246</v>
      </c>
      <c r="K169" s="269">
        <f t="shared" si="24"/>
        <v>69</v>
      </c>
      <c r="L169" s="269">
        <f t="shared" si="24"/>
        <v>74</v>
      </c>
      <c r="M169" s="269">
        <f t="shared" si="24"/>
        <v>73</v>
      </c>
      <c r="N169" s="269">
        <f t="shared" si="23"/>
        <v>70</v>
      </c>
      <c r="O169" s="269">
        <f t="shared" si="23"/>
        <v>65</v>
      </c>
      <c r="P169" s="269">
        <f t="shared" si="23"/>
        <v>72</v>
      </c>
      <c r="Q169" s="269">
        <f t="shared" si="23"/>
        <v>76</v>
      </c>
      <c r="R169" s="269">
        <f t="shared" si="23"/>
        <v>75</v>
      </c>
      <c r="S169" s="269"/>
      <c r="T169" s="269">
        <f t="shared" si="26"/>
        <v>65</v>
      </c>
      <c r="U169" s="269">
        <f t="shared" si="27"/>
        <v>69</v>
      </c>
      <c r="V169" s="269">
        <f t="shared" si="28"/>
        <v>70</v>
      </c>
      <c r="W169" s="269">
        <f t="shared" si="29"/>
        <v>72</v>
      </c>
      <c r="X169" s="269">
        <f t="shared" si="30"/>
        <v>73</v>
      </c>
      <c r="Y169" s="269">
        <f t="shared" si="31"/>
        <v>74</v>
      </c>
      <c r="Z169" s="269">
        <f t="shared" si="32"/>
        <v>75</v>
      </c>
      <c r="AA169" s="269">
        <f t="shared" si="33"/>
        <v>76</v>
      </c>
    </row>
    <row r="170" spans="1:27">
      <c r="A170" s="104">
        <v>169</v>
      </c>
      <c r="B170" s="104" t="str">
        <f t="shared" si="25"/>
        <v>AEFGIJKL</v>
      </c>
      <c r="C170" s="104" t="s">
        <v>151</v>
      </c>
      <c r="D170" s="104" t="s">
        <v>232</v>
      </c>
      <c r="E170" s="104" t="s">
        <v>258</v>
      </c>
      <c r="F170" s="104" t="s">
        <v>152</v>
      </c>
      <c r="G170" s="104" t="s">
        <v>142</v>
      </c>
      <c r="H170" s="104" t="s">
        <v>231</v>
      </c>
      <c r="I170" s="104" t="s">
        <v>259</v>
      </c>
      <c r="J170" s="104" t="s">
        <v>246</v>
      </c>
      <c r="K170" s="269">
        <f t="shared" si="24"/>
        <v>69</v>
      </c>
      <c r="L170" s="269">
        <f t="shared" si="24"/>
        <v>74</v>
      </c>
      <c r="M170" s="269">
        <f t="shared" si="24"/>
        <v>73</v>
      </c>
      <c r="N170" s="269">
        <f t="shared" si="23"/>
        <v>70</v>
      </c>
      <c r="O170" s="269">
        <f t="shared" si="23"/>
        <v>65</v>
      </c>
      <c r="P170" s="269">
        <f t="shared" si="23"/>
        <v>71</v>
      </c>
      <c r="Q170" s="269">
        <f t="shared" si="23"/>
        <v>76</v>
      </c>
      <c r="R170" s="269">
        <f t="shared" si="23"/>
        <v>75</v>
      </c>
      <c r="S170" s="269"/>
      <c r="T170" s="269">
        <f t="shared" si="26"/>
        <v>65</v>
      </c>
      <c r="U170" s="269">
        <f t="shared" si="27"/>
        <v>69</v>
      </c>
      <c r="V170" s="269">
        <f t="shared" si="28"/>
        <v>70</v>
      </c>
      <c r="W170" s="269">
        <f t="shared" si="29"/>
        <v>71</v>
      </c>
      <c r="X170" s="269">
        <f t="shared" si="30"/>
        <v>73</v>
      </c>
      <c r="Y170" s="269">
        <f t="shared" si="31"/>
        <v>74</v>
      </c>
      <c r="Z170" s="269">
        <f t="shared" si="32"/>
        <v>75</v>
      </c>
      <c r="AA170" s="269">
        <f t="shared" si="33"/>
        <v>76</v>
      </c>
    </row>
    <row r="171" spans="1:27">
      <c r="A171" s="104">
        <v>170</v>
      </c>
      <c r="B171" s="104" t="str">
        <f t="shared" si="25"/>
        <v>AEFGHJKL</v>
      </c>
      <c r="C171" s="104" t="s">
        <v>151</v>
      </c>
      <c r="D171" s="104" t="s">
        <v>231</v>
      </c>
      <c r="E171" s="104" t="s">
        <v>232</v>
      </c>
      <c r="F171" s="104" t="s">
        <v>152</v>
      </c>
      <c r="G171" s="104" t="s">
        <v>142</v>
      </c>
      <c r="H171" s="104" t="s">
        <v>245</v>
      </c>
      <c r="I171" s="104" t="s">
        <v>259</v>
      </c>
      <c r="J171" s="104" t="s">
        <v>246</v>
      </c>
      <c r="K171" s="269">
        <f t="shared" si="24"/>
        <v>69</v>
      </c>
      <c r="L171" s="269">
        <f t="shared" si="24"/>
        <v>71</v>
      </c>
      <c r="M171" s="269">
        <f t="shared" si="24"/>
        <v>74</v>
      </c>
      <c r="N171" s="269">
        <f t="shared" si="23"/>
        <v>70</v>
      </c>
      <c r="O171" s="269">
        <f t="shared" si="23"/>
        <v>65</v>
      </c>
      <c r="P171" s="269">
        <f t="shared" si="23"/>
        <v>72</v>
      </c>
      <c r="Q171" s="269">
        <f t="shared" si="23"/>
        <v>76</v>
      </c>
      <c r="R171" s="269">
        <f t="shared" si="23"/>
        <v>75</v>
      </c>
      <c r="S171" s="269"/>
      <c r="T171" s="269">
        <f t="shared" si="26"/>
        <v>65</v>
      </c>
      <c r="U171" s="269">
        <f t="shared" si="27"/>
        <v>69</v>
      </c>
      <c r="V171" s="269">
        <f t="shared" si="28"/>
        <v>70</v>
      </c>
      <c r="W171" s="269">
        <f t="shared" si="29"/>
        <v>71</v>
      </c>
      <c r="X171" s="269">
        <f t="shared" si="30"/>
        <v>72</v>
      </c>
      <c r="Y171" s="269">
        <f t="shared" si="31"/>
        <v>74</v>
      </c>
      <c r="Z171" s="269">
        <f t="shared" si="32"/>
        <v>75</v>
      </c>
      <c r="AA171" s="269">
        <f t="shared" si="33"/>
        <v>76</v>
      </c>
    </row>
    <row r="172" spans="1:27">
      <c r="A172" s="104">
        <v>171</v>
      </c>
      <c r="B172" s="104" t="str">
        <f t="shared" si="25"/>
        <v>AEFGHIKL</v>
      </c>
      <c r="C172" s="104" t="s">
        <v>151</v>
      </c>
      <c r="D172" s="104" t="s">
        <v>231</v>
      </c>
      <c r="E172" s="104" t="s">
        <v>258</v>
      </c>
      <c r="F172" s="104" t="s">
        <v>152</v>
      </c>
      <c r="G172" s="104" t="s">
        <v>142</v>
      </c>
      <c r="H172" s="104" t="s">
        <v>245</v>
      </c>
      <c r="I172" s="104" t="s">
        <v>259</v>
      </c>
      <c r="J172" s="104" t="s">
        <v>246</v>
      </c>
      <c r="K172" s="269">
        <f t="shared" si="24"/>
        <v>69</v>
      </c>
      <c r="L172" s="269">
        <f t="shared" si="24"/>
        <v>71</v>
      </c>
      <c r="M172" s="269">
        <f t="shared" si="24"/>
        <v>73</v>
      </c>
      <c r="N172" s="269">
        <f t="shared" si="23"/>
        <v>70</v>
      </c>
      <c r="O172" s="269">
        <f t="shared" si="23"/>
        <v>65</v>
      </c>
      <c r="P172" s="269">
        <f t="shared" si="23"/>
        <v>72</v>
      </c>
      <c r="Q172" s="269">
        <f t="shared" si="23"/>
        <v>76</v>
      </c>
      <c r="R172" s="269">
        <f t="shared" si="23"/>
        <v>75</v>
      </c>
      <c r="S172" s="269"/>
      <c r="T172" s="269">
        <f t="shared" si="26"/>
        <v>65</v>
      </c>
      <c r="U172" s="269">
        <f t="shared" si="27"/>
        <v>69</v>
      </c>
      <c r="V172" s="269">
        <f t="shared" si="28"/>
        <v>70</v>
      </c>
      <c r="W172" s="269">
        <f t="shared" si="29"/>
        <v>71</v>
      </c>
      <c r="X172" s="269">
        <f t="shared" si="30"/>
        <v>72</v>
      </c>
      <c r="Y172" s="269">
        <f t="shared" si="31"/>
        <v>73</v>
      </c>
      <c r="Z172" s="269">
        <f t="shared" si="32"/>
        <v>75</v>
      </c>
      <c r="AA172" s="269">
        <f t="shared" si="33"/>
        <v>76</v>
      </c>
    </row>
    <row r="173" spans="1:27">
      <c r="A173" s="104">
        <v>172</v>
      </c>
      <c r="B173" s="104" t="str">
        <f t="shared" si="25"/>
        <v>AEFGHIJL</v>
      </c>
      <c r="C173" s="104" t="s">
        <v>151</v>
      </c>
      <c r="D173" s="104" t="s">
        <v>231</v>
      </c>
      <c r="E173" s="104" t="s">
        <v>232</v>
      </c>
      <c r="F173" s="104" t="s">
        <v>152</v>
      </c>
      <c r="G173" s="104" t="s">
        <v>142</v>
      </c>
      <c r="H173" s="104" t="s">
        <v>245</v>
      </c>
      <c r="I173" s="104" t="s">
        <v>259</v>
      </c>
      <c r="J173" s="104" t="s">
        <v>258</v>
      </c>
      <c r="K173" s="269">
        <f t="shared" si="24"/>
        <v>69</v>
      </c>
      <c r="L173" s="269">
        <f t="shared" si="24"/>
        <v>71</v>
      </c>
      <c r="M173" s="269">
        <f t="shared" si="24"/>
        <v>74</v>
      </c>
      <c r="N173" s="269">
        <f t="shared" si="23"/>
        <v>70</v>
      </c>
      <c r="O173" s="269">
        <f t="shared" si="23"/>
        <v>65</v>
      </c>
      <c r="P173" s="269">
        <f t="shared" si="23"/>
        <v>72</v>
      </c>
      <c r="Q173" s="269">
        <f t="shared" si="23"/>
        <v>76</v>
      </c>
      <c r="R173" s="269">
        <f t="shared" si="23"/>
        <v>73</v>
      </c>
      <c r="S173" s="269"/>
      <c r="T173" s="269">
        <f t="shared" si="26"/>
        <v>65</v>
      </c>
      <c r="U173" s="269">
        <f t="shared" si="27"/>
        <v>69</v>
      </c>
      <c r="V173" s="269">
        <f t="shared" si="28"/>
        <v>70</v>
      </c>
      <c r="W173" s="269">
        <f t="shared" si="29"/>
        <v>71</v>
      </c>
      <c r="X173" s="269">
        <f t="shared" si="30"/>
        <v>72</v>
      </c>
      <c r="Y173" s="269">
        <f t="shared" si="31"/>
        <v>73</v>
      </c>
      <c r="Z173" s="269">
        <f t="shared" si="32"/>
        <v>74</v>
      </c>
      <c r="AA173" s="269">
        <f t="shared" si="33"/>
        <v>76</v>
      </c>
    </row>
    <row r="174" spans="1:27">
      <c r="A174" s="104">
        <v>173</v>
      </c>
      <c r="B174" s="104" t="str">
        <f t="shared" si="25"/>
        <v>AEFGHIJK</v>
      </c>
      <c r="C174" s="104" t="s">
        <v>151</v>
      </c>
      <c r="D174" s="104" t="s">
        <v>231</v>
      </c>
      <c r="E174" s="104" t="s">
        <v>232</v>
      </c>
      <c r="F174" s="104" t="s">
        <v>152</v>
      </c>
      <c r="G174" s="104" t="s">
        <v>142</v>
      </c>
      <c r="H174" s="104" t="s">
        <v>245</v>
      </c>
      <c r="I174" s="104" t="s">
        <v>258</v>
      </c>
      <c r="J174" s="104" t="s">
        <v>246</v>
      </c>
      <c r="K174" s="269">
        <f t="shared" si="24"/>
        <v>69</v>
      </c>
      <c r="L174" s="269">
        <f t="shared" si="24"/>
        <v>71</v>
      </c>
      <c r="M174" s="269">
        <f t="shared" si="24"/>
        <v>74</v>
      </c>
      <c r="N174" s="269">
        <f t="shared" si="23"/>
        <v>70</v>
      </c>
      <c r="O174" s="269">
        <f t="shared" si="23"/>
        <v>65</v>
      </c>
      <c r="P174" s="269">
        <f t="shared" si="23"/>
        <v>72</v>
      </c>
      <c r="Q174" s="269">
        <f t="shared" si="23"/>
        <v>73</v>
      </c>
      <c r="R174" s="269">
        <f t="shared" si="23"/>
        <v>75</v>
      </c>
      <c r="S174" s="269"/>
      <c r="T174" s="269">
        <f t="shared" si="26"/>
        <v>65</v>
      </c>
      <c r="U174" s="269">
        <f t="shared" si="27"/>
        <v>69</v>
      </c>
      <c r="V174" s="269">
        <f t="shared" si="28"/>
        <v>70</v>
      </c>
      <c r="W174" s="269">
        <f t="shared" si="29"/>
        <v>71</v>
      </c>
      <c r="X174" s="269">
        <f t="shared" si="30"/>
        <v>72</v>
      </c>
      <c r="Y174" s="269">
        <f t="shared" si="31"/>
        <v>73</v>
      </c>
      <c r="Z174" s="269">
        <f t="shared" si="32"/>
        <v>74</v>
      </c>
      <c r="AA174" s="269">
        <f t="shared" si="33"/>
        <v>75</v>
      </c>
    </row>
    <row r="175" spans="1:27">
      <c r="A175" s="104">
        <v>174</v>
      </c>
      <c r="B175" s="104" t="str">
        <f t="shared" si="25"/>
        <v>ADGHIJKL</v>
      </c>
      <c r="C175" s="104" t="s">
        <v>245</v>
      </c>
      <c r="D175" s="104" t="s">
        <v>232</v>
      </c>
      <c r="E175" s="104" t="s">
        <v>258</v>
      </c>
      <c r="F175" s="104" t="s">
        <v>150</v>
      </c>
      <c r="G175" s="104" t="s">
        <v>142</v>
      </c>
      <c r="H175" s="104" t="s">
        <v>231</v>
      </c>
      <c r="I175" s="104" t="s">
        <v>259</v>
      </c>
      <c r="J175" s="104" t="s">
        <v>246</v>
      </c>
      <c r="K175" s="269">
        <f t="shared" si="24"/>
        <v>72</v>
      </c>
      <c r="L175" s="269">
        <f t="shared" si="24"/>
        <v>74</v>
      </c>
      <c r="M175" s="269">
        <f t="shared" si="24"/>
        <v>73</v>
      </c>
      <c r="N175" s="269">
        <f t="shared" si="23"/>
        <v>68</v>
      </c>
      <c r="O175" s="269">
        <f t="shared" si="23"/>
        <v>65</v>
      </c>
      <c r="P175" s="269">
        <f t="shared" si="23"/>
        <v>71</v>
      </c>
      <c r="Q175" s="269">
        <f t="shared" si="23"/>
        <v>76</v>
      </c>
      <c r="R175" s="269">
        <f t="shared" si="23"/>
        <v>75</v>
      </c>
      <c r="S175" s="269"/>
      <c r="T175" s="269">
        <f t="shared" si="26"/>
        <v>65</v>
      </c>
      <c r="U175" s="269">
        <f t="shared" si="27"/>
        <v>68</v>
      </c>
      <c r="V175" s="269">
        <f t="shared" si="28"/>
        <v>71</v>
      </c>
      <c r="W175" s="269">
        <f t="shared" si="29"/>
        <v>72</v>
      </c>
      <c r="X175" s="269">
        <f t="shared" si="30"/>
        <v>73</v>
      </c>
      <c r="Y175" s="269">
        <f t="shared" si="31"/>
        <v>74</v>
      </c>
      <c r="Z175" s="269">
        <f t="shared" si="32"/>
        <v>75</v>
      </c>
      <c r="AA175" s="269">
        <f t="shared" si="33"/>
        <v>76</v>
      </c>
    </row>
    <row r="176" spans="1:27">
      <c r="A176" s="104">
        <v>175</v>
      </c>
      <c r="B176" s="104" t="str">
        <f t="shared" si="25"/>
        <v>ADFHIJKL</v>
      </c>
      <c r="C176" s="104" t="s">
        <v>245</v>
      </c>
      <c r="D176" s="104" t="s">
        <v>232</v>
      </c>
      <c r="E176" s="104" t="s">
        <v>258</v>
      </c>
      <c r="F176" s="104" t="s">
        <v>150</v>
      </c>
      <c r="G176" s="104" t="s">
        <v>142</v>
      </c>
      <c r="H176" s="104" t="s">
        <v>152</v>
      </c>
      <c r="I176" s="104" t="s">
        <v>259</v>
      </c>
      <c r="J176" s="104" t="s">
        <v>246</v>
      </c>
      <c r="K176" s="269">
        <f t="shared" si="24"/>
        <v>72</v>
      </c>
      <c r="L176" s="269">
        <f t="shared" si="24"/>
        <v>74</v>
      </c>
      <c r="M176" s="269">
        <f t="shared" si="24"/>
        <v>73</v>
      </c>
      <c r="N176" s="269">
        <f t="shared" si="23"/>
        <v>68</v>
      </c>
      <c r="O176" s="269">
        <f t="shared" si="23"/>
        <v>65</v>
      </c>
      <c r="P176" s="269">
        <f t="shared" si="23"/>
        <v>70</v>
      </c>
      <c r="Q176" s="269">
        <f t="shared" si="23"/>
        <v>76</v>
      </c>
      <c r="R176" s="269">
        <f t="shared" si="23"/>
        <v>75</v>
      </c>
      <c r="S176" s="269"/>
      <c r="T176" s="269">
        <f t="shared" si="26"/>
        <v>65</v>
      </c>
      <c r="U176" s="269">
        <f t="shared" si="27"/>
        <v>68</v>
      </c>
      <c r="V176" s="269">
        <f t="shared" si="28"/>
        <v>70</v>
      </c>
      <c r="W176" s="269">
        <f t="shared" si="29"/>
        <v>72</v>
      </c>
      <c r="X176" s="269">
        <f t="shared" si="30"/>
        <v>73</v>
      </c>
      <c r="Y176" s="269">
        <f t="shared" si="31"/>
        <v>74</v>
      </c>
      <c r="Z176" s="269">
        <f t="shared" si="32"/>
        <v>75</v>
      </c>
      <c r="AA176" s="269">
        <f t="shared" si="33"/>
        <v>76</v>
      </c>
    </row>
    <row r="177" spans="1:27">
      <c r="A177" s="104">
        <v>176</v>
      </c>
      <c r="B177" s="104" t="str">
        <f t="shared" si="25"/>
        <v>ADFGIJKL</v>
      </c>
      <c r="C177" s="104" t="s">
        <v>258</v>
      </c>
      <c r="D177" s="104" t="s">
        <v>231</v>
      </c>
      <c r="E177" s="104" t="s">
        <v>232</v>
      </c>
      <c r="F177" s="104" t="s">
        <v>150</v>
      </c>
      <c r="G177" s="104" t="s">
        <v>142</v>
      </c>
      <c r="H177" s="104" t="s">
        <v>152</v>
      </c>
      <c r="I177" s="104" t="s">
        <v>259</v>
      </c>
      <c r="J177" s="104" t="s">
        <v>246</v>
      </c>
      <c r="K177" s="269">
        <f t="shared" si="24"/>
        <v>73</v>
      </c>
      <c r="L177" s="269">
        <f t="shared" si="24"/>
        <v>71</v>
      </c>
      <c r="M177" s="269">
        <f t="shared" si="24"/>
        <v>74</v>
      </c>
      <c r="N177" s="269">
        <f t="shared" si="23"/>
        <v>68</v>
      </c>
      <c r="O177" s="269">
        <f t="shared" si="23"/>
        <v>65</v>
      </c>
      <c r="P177" s="269">
        <f t="shared" si="23"/>
        <v>70</v>
      </c>
      <c r="Q177" s="269">
        <f t="shared" si="23"/>
        <v>76</v>
      </c>
      <c r="R177" s="269">
        <f t="shared" si="23"/>
        <v>75</v>
      </c>
      <c r="S177" s="269"/>
      <c r="T177" s="269">
        <f t="shared" si="26"/>
        <v>65</v>
      </c>
      <c r="U177" s="269">
        <f t="shared" si="27"/>
        <v>68</v>
      </c>
      <c r="V177" s="269">
        <f t="shared" si="28"/>
        <v>70</v>
      </c>
      <c r="W177" s="269">
        <f t="shared" si="29"/>
        <v>71</v>
      </c>
      <c r="X177" s="269">
        <f t="shared" si="30"/>
        <v>73</v>
      </c>
      <c r="Y177" s="269">
        <f t="shared" si="31"/>
        <v>74</v>
      </c>
      <c r="Z177" s="269">
        <f t="shared" si="32"/>
        <v>75</v>
      </c>
      <c r="AA177" s="269">
        <f t="shared" si="33"/>
        <v>76</v>
      </c>
    </row>
    <row r="178" spans="1:27">
      <c r="A178" s="104">
        <v>177</v>
      </c>
      <c r="B178" s="104" t="str">
        <f t="shared" si="25"/>
        <v>ADFGHJKL</v>
      </c>
      <c r="C178" s="104" t="s">
        <v>245</v>
      </c>
      <c r="D178" s="104" t="s">
        <v>231</v>
      </c>
      <c r="E178" s="104" t="s">
        <v>232</v>
      </c>
      <c r="F178" s="104" t="s">
        <v>150</v>
      </c>
      <c r="G178" s="104" t="s">
        <v>142</v>
      </c>
      <c r="H178" s="104" t="s">
        <v>152</v>
      </c>
      <c r="I178" s="104" t="s">
        <v>259</v>
      </c>
      <c r="J178" s="104" t="s">
        <v>246</v>
      </c>
      <c r="K178" s="269">
        <f t="shared" si="24"/>
        <v>72</v>
      </c>
      <c r="L178" s="269">
        <f t="shared" si="24"/>
        <v>71</v>
      </c>
      <c r="M178" s="269">
        <f t="shared" si="24"/>
        <v>74</v>
      </c>
      <c r="N178" s="269">
        <f t="shared" si="23"/>
        <v>68</v>
      </c>
      <c r="O178" s="269">
        <f t="shared" si="23"/>
        <v>65</v>
      </c>
      <c r="P178" s="269">
        <f t="shared" ref="P178:R241" si="34">CODE(MID(H178,2,1))</f>
        <v>70</v>
      </c>
      <c r="Q178" s="269">
        <f t="shared" si="34"/>
        <v>76</v>
      </c>
      <c r="R178" s="269">
        <f t="shared" si="34"/>
        <v>75</v>
      </c>
      <c r="S178" s="269"/>
      <c r="T178" s="269">
        <f t="shared" si="26"/>
        <v>65</v>
      </c>
      <c r="U178" s="269">
        <f t="shared" si="27"/>
        <v>68</v>
      </c>
      <c r="V178" s="269">
        <f t="shared" si="28"/>
        <v>70</v>
      </c>
      <c r="W178" s="269">
        <f t="shared" si="29"/>
        <v>71</v>
      </c>
      <c r="X178" s="269">
        <f t="shared" si="30"/>
        <v>72</v>
      </c>
      <c r="Y178" s="269">
        <f t="shared" si="31"/>
        <v>74</v>
      </c>
      <c r="Z178" s="269">
        <f t="shared" si="32"/>
        <v>75</v>
      </c>
      <c r="AA178" s="269">
        <f t="shared" si="33"/>
        <v>76</v>
      </c>
    </row>
    <row r="179" spans="1:27">
      <c r="A179" s="104">
        <v>178</v>
      </c>
      <c r="B179" s="104" t="str">
        <f t="shared" si="25"/>
        <v>ADFGHIKL</v>
      </c>
      <c r="C179" s="104" t="s">
        <v>245</v>
      </c>
      <c r="D179" s="104" t="s">
        <v>231</v>
      </c>
      <c r="E179" s="104" t="s">
        <v>258</v>
      </c>
      <c r="F179" s="104" t="s">
        <v>150</v>
      </c>
      <c r="G179" s="104" t="s">
        <v>142</v>
      </c>
      <c r="H179" s="104" t="s">
        <v>152</v>
      </c>
      <c r="I179" s="104" t="s">
        <v>259</v>
      </c>
      <c r="J179" s="104" t="s">
        <v>246</v>
      </c>
      <c r="K179" s="269">
        <f t="shared" si="24"/>
        <v>72</v>
      </c>
      <c r="L179" s="269">
        <f t="shared" si="24"/>
        <v>71</v>
      </c>
      <c r="M179" s="269">
        <f t="shared" si="24"/>
        <v>73</v>
      </c>
      <c r="N179" s="269">
        <f t="shared" si="24"/>
        <v>68</v>
      </c>
      <c r="O179" s="269">
        <f t="shared" si="24"/>
        <v>65</v>
      </c>
      <c r="P179" s="269">
        <f t="shared" si="34"/>
        <v>70</v>
      </c>
      <c r="Q179" s="269">
        <f t="shared" si="34"/>
        <v>76</v>
      </c>
      <c r="R179" s="269">
        <f t="shared" si="34"/>
        <v>75</v>
      </c>
      <c r="S179" s="269"/>
      <c r="T179" s="269">
        <f t="shared" si="26"/>
        <v>65</v>
      </c>
      <c r="U179" s="269">
        <f t="shared" si="27"/>
        <v>68</v>
      </c>
      <c r="V179" s="269">
        <f t="shared" si="28"/>
        <v>70</v>
      </c>
      <c r="W179" s="269">
        <f t="shared" si="29"/>
        <v>71</v>
      </c>
      <c r="X179" s="269">
        <f t="shared" si="30"/>
        <v>72</v>
      </c>
      <c r="Y179" s="269">
        <f t="shared" si="31"/>
        <v>73</v>
      </c>
      <c r="Z179" s="269">
        <f t="shared" si="32"/>
        <v>75</v>
      </c>
      <c r="AA179" s="269">
        <f t="shared" si="33"/>
        <v>76</v>
      </c>
    </row>
    <row r="180" spans="1:27">
      <c r="A180" s="104">
        <v>179</v>
      </c>
      <c r="B180" s="104" t="str">
        <f t="shared" si="25"/>
        <v>ADFGHIJL</v>
      </c>
      <c r="C180" s="104" t="s">
        <v>245</v>
      </c>
      <c r="D180" s="104" t="s">
        <v>231</v>
      </c>
      <c r="E180" s="104" t="s">
        <v>232</v>
      </c>
      <c r="F180" s="104" t="s">
        <v>150</v>
      </c>
      <c r="G180" s="104" t="s">
        <v>142</v>
      </c>
      <c r="H180" s="104" t="s">
        <v>152</v>
      </c>
      <c r="I180" s="104" t="s">
        <v>259</v>
      </c>
      <c r="J180" s="104" t="s">
        <v>258</v>
      </c>
      <c r="K180" s="269">
        <f t="shared" si="24"/>
        <v>72</v>
      </c>
      <c r="L180" s="269">
        <f t="shared" si="24"/>
        <v>71</v>
      </c>
      <c r="M180" s="269">
        <f t="shared" si="24"/>
        <v>74</v>
      </c>
      <c r="N180" s="269">
        <f t="shared" si="24"/>
        <v>68</v>
      </c>
      <c r="O180" s="269">
        <f t="shared" si="24"/>
        <v>65</v>
      </c>
      <c r="P180" s="269">
        <f t="shared" si="34"/>
        <v>70</v>
      </c>
      <c r="Q180" s="269">
        <f t="shared" si="34"/>
        <v>76</v>
      </c>
      <c r="R180" s="269">
        <f t="shared" si="34"/>
        <v>73</v>
      </c>
      <c r="S180" s="269"/>
      <c r="T180" s="269">
        <f t="shared" si="26"/>
        <v>65</v>
      </c>
      <c r="U180" s="269">
        <f t="shared" si="27"/>
        <v>68</v>
      </c>
      <c r="V180" s="269">
        <f t="shared" si="28"/>
        <v>70</v>
      </c>
      <c r="W180" s="269">
        <f t="shared" si="29"/>
        <v>71</v>
      </c>
      <c r="X180" s="269">
        <f t="shared" si="30"/>
        <v>72</v>
      </c>
      <c r="Y180" s="269">
        <f t="shared" si="31"/>
        <v>73</v>
      </c>
      <c r="Z180" s="269">
        <f t="shared" si="32"/>
        <v>74</v>
      </c>
      <c r="AA180" s="269">
        <f t="shared" si="33"/>
        <v>76</v>
      </c>
    </row>
    <row r="181" spans="1:27">
      <c r="A181" s="104">
        <v>180</v>
      </c>
      <c r="B181" s="104" t="str">
        <f t="shared" si="25"/>
        <v>ADFGHIJK</v>
      </c>
      <c r="C181" s="104" t="s">
        <v>245</v>
      </c>
      <c r="D181" s="104" t="s">
        <v>231</v>
      </c>
      <c r="E181" s="104" t="s">
        <v>232</v>
      </c>
      <c r="F181" s="104" t="s">
        <v>150</v>
      </c>
      <c r="G181" s="104" t="s">
        <v>142</v>
      </c>
      <c r="H181" s="104" t="s">
        <v>152</v>
      </c>
      <c r="I181" s="104" t="s">
        <v>258</v>
      </c>
      <c r="J181" s="104" t="s">
        <v>246</v>
      </c>
      <c r="K181" s="269">
        <f t="shared" si="24"/>
        <v>72</v>
      </c>
      <c r="L181" s="269">
        <f t="shared" si="24"/>
        <v>71</v>
      </c>
      <c r="M181" s="269">
        <f t="shared" si="24"/>
        <v>74</v>
      </c>
      <c r="N181" s="269">
        <f t="shared" si="24"/>
        <v>68</v>
      </c>
      <c r="O181" s="269">
        <f t="shared" si="24"/>
        <v>65</v>
      </c>
      <c r="P181" s="269">
        <f t="shared" si="34"/>
        <v>70</v>
      </c>
      <c r="Q181" s="269">
        <f t="shared" si="34"/>
        <v>73</v>
      </c>
      <c r="R181" s="269">
        <f t="shared" si="34"/>
        <v>75</v>
      </c>
      <c r="S181" s="269"/>
      <c r="T181" s="269">
        <f t="shared" si="26"/>
        <v>65</v>
      </c>
      <c r="U181" s="269">
        <f t="shared" si="27"/>
        <v>68</v>
      </c>
      <c r="V181" s="269">
        <f t="shared" si="28"/>
        <v>70</v>
      </c>
      <c r="W181" s="269">
        <f t="shared" si="29"/>
        <v>71</v>
      </c>
      <c r="X181" s="269">
        <f t="shared" si="30"/>
        <v>72</v>
      </c>
      <c r="Y181" s="269">
        <f t="shared" si="31"/>
        <v>73</v>
      </c>
      <c r="Z181" s="269">
        <f t="shared" si="32"/>
        <v>74</v>
      </c>
      <c r="AA181" s="269">
        <f t="shared" si="33"/>
        <v>75</v>
      </c>
    </row>
    <row r="182" spans="1:27">
      <c r="A182" s="104">
        <v>181</v>
      </c>
      <c r="B182" s="104" t="str">
        <f t="shared" si="25"/>
        <v>ADEHIJKL</v>
      </c>
      <c r="C182" s="104" t="s">
        <v>151</v>
      </c>
      <c r="D182" s="104" t="s">
        <v>232</v>
      </c>
      <c r="E182" s="104" t="s">
        <v>258</v>
      </c>
      <c r="F182" s="104" t="s">
        <v>150</v>
      </c>
      <c r="G182" s="104" t="s">
        <v>142</v>
      </c>
      <c r="H182" s="104" t="s">
        <v>245</v>
      </c>
      <c r="I182" s="104" t="s">
        <v>259</v>
      </c>
      <c r="J182" s="104" t="s">
        <v>246</v>
      </c>
      <c r="K182" s="269">
        <f t="shared" si="24"/>
        <v>69</v>
      </c>
      <c r="L182" s="269">
        <f t="shared" si="24"/>
        <v>74</v>
      </c>
      <c r="M182" s="269">
        <f t="shared" si="24"/>
        <v>73</v>
      </c>
      <c r="N182" s="269">
        <f t="shared" si="24"/>
        <v>68</v>
      </c>
      <c r="O182" s="269">
        <f t="shared" si="24"/>
        <v>65</v>
      </c>
      <c r="P182" s="269">
        <f t="shared" si="34"/>
        <v>72</v>
      </c>
      <c r="Q182" s="269">
        <f t="shared" si="34"/>
        <v>76</v>
      </c>
      <c r="R182" s="269">
        <f t="shared" si="34"/>
        <v>75</v>
      </c>
      <c r="S182" s="269"/>
      <c r="T182" s="269">
        <f t="shared" si="26"/>
        <v>65</v>
      </c>
      <c r="U182" s="269">
        <f t="shared" si="27"/>
        <v>68</v>
      </c>
      <c r="V182" s="269">
        <f t="shared" si="28"/>
        <v>69</v>
      </c>
      <c r="W182" s="269">
        <f t="shared" si="29"/>
        <v>72</v>
      </c>
      <c r="X182" s="269">
        <f t="shared" si="30"/>
        <v>73</v>
      </c>
      <c r="Y182" s="269">
        <f t="shared" si="31"/>
        <v>74</v>
      </c>
      <c r="Z182" s="269">
        <f t="shared" si="32"/>
        <v>75</v>
      </c>
      <c r="AA182" s="269">
        <f t="shared" si="33"/>
        <v>76</v>
      </c>
    </row>
    <row r="183" spans="1:27">
      <c r="A183" s="104">
        <v>182</v>
      </c>
      <c r="B183" s="104" t="str">
        <f t="shared" si="25"/>
        <v>ADEGIJKL</v>
      </c>
      <c r="C183" s="104" t="s">
        <v>151</v>
      </c>
      <c r="D183" s="104" t="s">
        <v>232</v>
      </c>
      <c r="E183" s="104" t="s">
        <v>258</v>
      </c>
      <c r="F183" s="104" t="s">
        <v>150</v>
      </c>
      <c r="G183" s="104" t="s">
        <v>142</v>
      </c>
      <c r="H183" s="104" t="s">
        <v>231</v>
      </c>
      <c r="I183" s="104" t="s">
        <v>259</v>
      </c>
      <c r="J183" s="104" t="s">
        <v>246</v>
      </c>
      <c r="K183" s="269">
        <f t="shared" ref="K183:O233" si="35">CODE(MID(C183,2,1))</f>
        <v>69</v>
      </c>
      <c r="L183" s="269">
        <f t="shared" si="35"/>
        <v>74</v>
      </c>
      <c r="M183" s="269">
        <f t="shared" si="35"/>
        <v>73</v>
      </c>
      <c r="N183" s="269">
        <f t="shared" si="35"/>
        <v>68</v>
      </c>
      <c r="O183" s="269">
        <f t="shared" si="35"/>
        <v>65</v>
      </c>
      <c r="P183" s="269">
        <f t="shared" si="34"/>
        <v>71</v>
      </c>
      <c r="Q183" s="269">
        <f t="shared" si="34"/>
        <v>76</v>
      </c>
      <c r="R183" s="269">
        <f t="shared" si="34"/>
        <v>75</v>
      </c>
      <c r="S183" s="269"/>
      <c r="T183" s="269">
        <f t="shared" si="26"/>
        <v>65</v>
      </c>
      <c r="U183" s="269">
        <f t="shared" si="27"/>
        <v>68</v>
      </c>
      <c r="V183" s="269">
        <f t="shared" si="28"/>
        <v>69</v>
      </c>
      <c r="W183" s="269">
        <f t="shared" si="29"/>
        <v>71</v>
      </c>
      <c r="X183" s="269">
        <f t="shared" si="30"/>
        <v>73</v>
      </c>
      <c r="Y183" s="269">
        <f t="shared" si="31"/>
        <v>74</v>
      </c>
      <c r="Z183" s="269">
        <f t="shared" si="32"/>
        <v>75</v>
      </c>
      <c r="AA183" s="269">
        <f t="shared" si="33"/>
        <v>76</v>
      </c>
    </row>
    <row r="184" spans="1:27">
      <c r="A184" s="104">
        <v>183</v>
      </c>
      <c r="B184" s="104" t="str">
        <f t="shared" si="25"/>
        <v>ADEGHJKL</v>
      </c>
      <c r="C184" s="104" t="s">
        <v>151</v>
      </c>
      <c r="D184" s="104" t="s">
        <v>231</v>
      </c>
      <c r="E184" s="104" t="s">
        <v>232</v>
      </c>
      <c r="F184" s="104" t="s">
        <v>150</v>
      </c>
      <c r="G184" s="104" t="s">
        <v>142</v>
      </c>
      <c r="H184" s="104" t="s">
        <v>245</v>
      </c>
      <c r="I184" s="104" t="s">
        <v>259</v>
      </c>
      <c r="J184" s="104" t="s">
        <v>246</v>
      </c>
      <c r="K184" s="269">
        <f t="shared" si="35"/>
        <v>69</v>
      </c>
      <c r="L184" s="269">
        <f t="shared" si="35"/>
        <v>71</v>
      </c>
      <c r="M184" s="269">
        <f t="shared" si="35"/>
        <v>74</v>
      </c>
      <c r="N184" s="269">
        <f t="shared" si="35"/>
        <v>68</v>
      </c>
      <c r="O184" s="269">
        <f t="shared" si="35"/>
        <v>65</v>
      </c>
      <c r="P184" s="269">
        <f t="shared" si="34"/>
        <v>72</v>
      </c>
      <c r="Q184" s="269">
        <f t="shared" si="34"/>
        <v>76</v>
      </c>
      <c r="R184" s="269">
        <f t="shared" si="34"/>
        <v>75</v>
      </c>
      <c r="S184" s="269"/>
      <c r="T184" s="269">
        <f t="shared" si="26"/>
        <v>65</v>
      </c>
      <c r="U184" s="269">
        <f t="shared" si="27"/>
        <v>68</v>
      </c>
      <c r="V184" s="269">
        <f t="shared" si="28"/>
        <v>69</v>
      </c>
      <c r="W184" s="269">
        <f t="shared" si="29"/>
        <v>71</v>
      </c>
      <c r="X184" s="269">
        <f t="shared" si="30"/>
        <v>72</v>
      </c>
      <c r="Y184" s="269">
        <f t="shared" si="31"/>
        <v>74</v>
      </c>
      <c r="Z184" s="269">
        <f t="shared" si="32"/>
        <v>75</v>
      </c>
      <c r="AA184" s="269">
        <f t="shared" si="33"/>
        <v>76</v>
      </c>
    </row>
    <row r="185" spans="1:27">
      <c r="A185" s="104">
        <v>184</v>
      </c>
      <c r="B185" s="104" t="str">
        <f t="shared" si="25"/>
        <v>ADEGHIKL</v>
      </c>
      <c r="C185" s="104" t="s">
        <v>151</v>
      </c>
      <c r="D185" s="104" t="s">
        <v>231</v>
      </c>
      <c r="E185" s="104" t="s">
        <v>258</v>
      </c>
      <c r="F185" s="104" t="s">
        <v>150</v>
      </c>
      <c r="G185" s="104" t="s">
        <v>142</v>
      </c>
      <c r="H185" s="104" t="s">
        <v>245</v>
      </c>
      <c r="I185" s="104" t="s">
        <v>259</v>
      </c>
      <c r="J185" s="104" t="s">
        <v>246</v>
      </c>
      <c r="K185" s="269">
        <f t="shared" si="35"/>
        <v>69</v>
      </c>
      <c r="L185" s="269">
        <f t="shared" si="35"/>
        <v>71</v>
      </c>
      <c r="M185" s="269">
        <f t="shared" si="35"/>
        <v>73</v>
      </c>
      <c r="N185" s="269">
        <f t="shared" si="35"/>
        <v>68</v>
      </c>
      <c r="O185" s="269">
        <f t="shared" si="35"/>
        <v>65</v>
      </c>
      <c r="P185" s="269">
        <f t="shared" si="34"/>
        <v>72</v>
      </c>
      <c r="Q185" s="269">
        <f t="shared" si="34"/>
        <v>76</v>
      </c>
      <c r="R185" s="269">
        <f t="shared" si="34"/>
        <v>75</v>
      </c>
      <c r="S185" s="269"/>
      <c r="T185" s="269">
        <f t="shared" si="26"/>
        <v>65</v>
      </c>
      <c r="U185" s="269">
        <f t="shared" si="27"/>
        <v>68</v>
      </c>
      <c r="V185" s="269">
        <f t="shared" si="28"/>
        <v>69</v>
      </c>
      <c r="W185" s="269">
        <f t="shared" si="29"/>
        <v>71</v>
      </c>
      <c r="X185" s="269">
        <f t="shared" si="30"/>
        <v>72</v>
      </c>
      <c r="Y185" s="269">
        <f t="shared" si="31"/>
        <v>73</v>
      </c>
      <c r="Z185" s="269">
        <f t="shared" si="32"/>
        <v>75</v>
      </c>
      <c r="AA185" s="269">
        <f t="shared" si="33"/>
        <v>76</v>
      </c>
    </row>
    <row r="186" spans="1:27">
      <c r="A186" s="104">
        <v>185</v>
      </c>
      <c r="B186" s="104" t="str">
        <f t="shared" si="25"/>
        <v>ADEGHIJL</v>
      </c>
      <c r="C186" s="104" t="s">
        <v>151</v>
      </c>
      <c r="D186" s="104" t="s">
        <v>231</v>
      </c>
      <c r="E186" s="104" t="s">
        <v>232</v>
      </c>
      <c r="F186" s="104" t="s">
        <v>150</v>
      </c>
      <c r="G186" s="104" t="s">
        <v>142</v>
      </c>
      <c r="H186" s="104" t="s">
        <v>245</v>
      </c>
      <c r="I186" s="104" t="s">
        <v>259</v>
      </c>
      <c r="J186" s="104" t="s">
        <v>258</v>
      </c>
      <c r="K186" s="269">
        <f t="shared" si="35"/>
        <v>69</v>
      </c>
      <c r="L186" s="269">
        <f t="shared" si="35"/>
        <v>71</v>
      </c>
      <c r="M186" s="269">
        <f t="shared" si="35"/>
        <v>74</v>
      </c>
      <c r="N186" s="269">
        <f t="shared" si="35"/>
        <v>68</v>
      </c>
      <c r="O186" s="269">
        <f t="shared" si="35"/>
        <v>65</v>
      </c>
      <c r="P186" s="269">
        <f t="shared" si="34"/>
        <v>72</v>
      </c>
      <c r="Q186" s="269">
        <f t="shared" si="34"/>
        <v>76</v>
      </c>
      <c r="R186" s="269">
        <f t="shared" si="34"/>
        <v>73</v>
      </c>
      <c r="S186" s="269"/>
      <c r="T186" s="269">
        <f t="shared" si="26"/>
        <v>65</v>
      </c>
      <c r="U186" s="269">
        <f t="shared" si="27"/>
        <v>68</v>
      </c>
      <c r="V186" s="269">
        <f t="shared" si="28"/>
        <v>69</v>
      </c>
      <c r="W186" s="269">
        <f t="shared" si="29"/>
        <v>71</v>
      </c>
      <c r="X186" s="269">
        <f t="shared" si="30"/>
        <v>72</v>
      </c>
      <c r="Y186" s="269">
        <f t="shared" si="31"/>
        <v>73</v>
      </c>
      <c r="Z186" s="269">
        <f t="shared" si="32"/>
        <v>74</v>
      </c>
      <c r="AA186" s="269">
        <f t="shared" si="33"/>
        <v>76</v>
      </c>
    </row>
    <row r="187" spans="1:27">
      <c r="A187" s="104">
        <v>186</v>
      </c>
      <c r="B187" s="104" t="str">
        <f t="shared" si="25"/>
        <v>ADEGHIJK</v>
      </c>
      <c r="C187" s="104" t="s">
        <v>151</v>
      </c>
      <c r="D187" s="104" t="s">
        <v>231</v>
      </c>
      <c r="E187" s="104" t="s">
        <v>232</v>
      </c>
      <c r="F187" s="104" t="s">
        <v>150</v>
      </c>
      <c r="G187" s="104" t="s">
        <v>142</v>
      </c>
      <c r="H187" s="104" t="s">
        <v>245</v>
      </c>
      <c r="I187" s="104" t="s">
        <v>258</v>
      </c>
      <c r="J187" s="104" t="s">
        <v>246</v>
      </c>
      <c r="K187" s="269">
        <f t="shared" si="35"/>
        <v>69</v>
      </c>
      <c r="L187" s="269">
        <f t="shared" si="35"/>
        <v>71</v>
      </c>
      <c r="M187" s="269">
        <f t="shared" si="35"/>
        <v>74</v>
      </c>
      <c r="N187" s="269">
        <f t="shared" si="35"/>
        <v>68</v>
      </c>
      <c r="O187" s="269">
        <f t="shared" si="35"/>
        <v>65</v>
      </c>
      <c r="P187" s="269">
        <f t="shared" si="34"/>
        <v>72</v>
      </c>
      <c r="Q187" s="269">
        <f t="shared" si="34"/>
        <v>73</v>
      </c>
      <c r="R187" s="269">
        <f t="shared" si="34"/>
        <v>75</v>
      </c>
      <c r="S187" s="269"/>
      <c r="T187" s="269">
        <f t="shared" si="26"/>
        <v>65</v>
      </c>
      <c r="U187" s="269">
        <f t="shared" si="27"/>
        <v>68</v>
      </c>
      <c r="V187" s="269">
        <f t="shared" si="28"/>
        <v>69</v>
      </c>
      <c r="W187" s="269">
        <f t="shared" si="29"/>
        <v>71</v>
      </c>
      <c r="X187" s="269">
        <f t="shared" si="30"/>
        <v>72</v>
      </c>
      <c r="Y187" s="269">
        <f t="shared" si="31"/>
        <v>73</v>
      </c>
      <c r="Z187" s="269">
        <f t="shared" si="32"/>
        <v>74</v>
      </c>
      <c r="AA187" s="269">
        <f t="shared" si="33"/>
        <v>75</v>
      </c>
    </row>
    <row r="188" spans="1:27">
      <c r="A188" s="104">
        <v>187</v>
      </c>
      <c r="B188" s="104" t="str">
        <f t="shared" si="25"/>
        <v>ADEFIJKL</v>
      </c>
      <c r="C188" s="104" t="s">
        <v>151</v>
      </c>
      <c r="D188" s="104" t="s">
        <v>232</v>
      </c>
      <c r="E188" s="104" t="s">
        <v>258</v>
      </c>
      <c r="F188" s="104" t="s">
        <v>150</v>
      </c>
      <c r="G188" s="104" t="s">
        <v>142</v>
      </c>
      <c r="H188" s="104" t="s">
        <v>152</v>
      </c>
      <c r="I188" s="104" t="s">
        <v>259</v>
      </c>
      <c r="J188" s="104" t="s">
        <v>246</v>
      </c>
      <c r="K188" s="269">
        <f t="shared" si="35"/>
        <v>69</v>
      </c>
      <c r="L188" s="269">
        <f t="shared" si="35"/>
        <v>74</v>
      </c>
      <c r="M188" s="269">
        <f t="shared" si="35"/>
        <v>73</v>
      </c>
      <c r="N188" s="269">
        <f t="shared" si="35"/>
        <v>68</v>
      </c>
      <c r="O188" s="269">
        <f t="shared" si="35"/>
        <v>65</v>
      </c>
      <c r="P188" s="269">
        <f t="shared" si="34"/>
        <v>70</v>
      </c>
      <c r="Q188" s="269">
        <f t="shared" si="34"/>
        <v>76</v>
      </c>
      <c r="R188" s="269">
        <f t="shared" si="34"/>
        <v>75</v>
      </c>
      <c r="S188" s="269"/>
      <c r="T188" s="269">
        <f t="shared" si="26"/>
        <v>65</v>
      </c>
      <c r="U188" s="269">
        <f t="shared" si="27"/>
        <v>68</v>
      </c>
      <c r="V188" s="269">
        <f t="shared" si="28"/>
        <v>69</v>
      </c>
      <c r="W188" s="269">
        <f t="shared" si="29"/>
        <v>70</v>
      </c>
      <c r="X188" s="269">
        <f t="shared" si="30"/>
        <v>73</v>
      </c>
      <c r="Y188" s="269">
        <f t="shared" si="31"/>
        <v>74</v>
      </c>
      <c r="Z188" s="269">
        <f t="shared" si="32"/>
        <v>75</v>
      </c>
      <c r="AA188" s="269">
        <f t="shared" si="33"/>
        <v>76</v>
      </c>
    </row>
    <row r="189" spans="1:27">
      <c r="A189" s="104">
        <v>188</v>
      </c>
      <c r="B189" s="104" t="str">
        <f t="shared" si="25"/>
        <v>ADEFHJKL</v>
      </c>
      <c r="C189" s="104" t="s">
        <v>245</v>
      </c>
      <c r="D189" s="104" t="s">
        <v>232</v>
      </c>
      <c r="E189" s="104" t="s">
        <v>151</v>
      </c>
      <c r="F189" s="104" t="s">
        <v>150</v>
      </c>
      <c r="G189" s="104" t="s">
        <v>142</v>
      </c>
      <c r="H189" s="104" t="s">
        <v>152</v>
      </c>
      <c r="I189" s="104" t="s">
        <v>259</v>
      </c>
      <c r="J189" s="104" t="s">
        <v>246</v>
      </c>
      <c r="K189" s="269">
        <f t="shared" si="35"/>
        <v>72</v>
      </c>
      <c r="L189" s="269">
        <f t="shared" si="35"/>
        <v>74</v>
      </c>
      <c r="M189" s="269">
        <f t="shared" si="35"/>
        <v>69</v>
      </c>
      <c r="N189" s="269">
        <f t="shared" si="35"/>
        <v>68</v>
      </c>
      <c r="O189" s="269">
        <f t="shared" si="35"/>
        <v>65</v>
      </c>
      <c r="P189" s="269">
        <f t="shared" si="34"/>
        <v>70</v>
      </c>
      <c r="Q189" s="269">
        <f t="shared" si="34"/>
        <v>76</v>
      </c>
      <c r="R189" s="269">
        <f t="shared" si="34"/>
        <v>75</v>
      </c>
      <c r="S189" s="269"/>
      <c r="T189" s="269">
        <f t="shared" si="26"/>
        <v>65</v>
      </c>
      <c r="U189" s="269">
        <f t="shared" si="27"/>
        <v>68</v>
      </c>
      <c r="V189" s="269">
        <f t="shared" si="28"/>
        <v>69</v>
      </c>
      <c r="W189" s="269">
        <f t="shared" si="29"/>
        <v>70</v>
      </c>
      <c r="X189" s="269">
        <f t="shared" si="30"/>
        <v>72</v>
      </c>
      <c r="Y189" s="269">
        <f t="shared" si="31"/>
        <v>74</v>
      </c>
      <c r="Z189" s="269">
        <f t="shared" si="32"/>
        <v>75</v>
      </c>
      <c r="AA189" s="269">
        <f t="shared" si="33"/>
        <v>76</v>
      </c>
    </row>
    <row r="190" spans="1:27">
      <c r="A190" s="104">
        <v>189</v>
      </c>
      <c r="B190" s="104" t="str">
        <f t="shared" si="25"/>
        <v>ADEFHIKL</v>
      </c>
      <c r="C190" s="104" t="s">
        <v>245</v>
      </c>
      <c r="D190" s="104" t="s">
        <v>151</v>
      </c>
      <c r="E190" s="104" t="s">
        <v>258</v>
      </c>
      <c r="F190" s="104" t="s">
        <v>150</v>
      </c>
      <c r="G190" s="104" t="s">
        <v>142</v>
      </c>
      <c r="H190" s="104" t="s">
        <v>152</v>
      </c>
      <c r="I190" s="104" t="s">
        <v>259</v>
      </c>
      <c r="J190" s="104" t="s">
        <v>246</v>
      </c>
      <c r="K190" s="269">
        <f t="shared" si="35"/>
        <v>72</v>
      </c>
      <c r="L190" s="269">
        <f t="shared" si="35"/>
        <v>69</v>
      </c>
      <c r="M190" s="269">
        <f t="shared" si="35"/>
        <v>73</v>
      </c>
      <c r="N190" s="269">
        <f t="shared" si="35"/>
        <v>68</v>
      </c>
      <c r="O190" s="269">
        <f t="shared" si="35"/>
        <v>65</v>
      </c>
      <c r="P190" s="269">
        <f t="shared" si="34"/>
        <v>70</v>
      </c>
      <c r="Q190" s="269">
        <f t="shared" si="34"/>
        <v>76</v>
      </c>
      <c r="R190" s="269">
        <f t="shared" si="34"/>
        <v>75</v>
      </c>
      <c r="S190" s="269"/>
      <c r="T190" s="269">
        <f t="shared" si="26"/>
        <v>65</v>
      </c>
      <c r="U190" s="269">
        <f t="shared" si="27"/>
        <v>68</v>
      </c>
      <c r="V190" s="269">
        <f t="shared" si="28"/>
        <v>69</v>
      </c>
      <c r="W190" s="269">
        <f t="shared" si="29"/>
        <v>70</v>
      </c>
      <c r="X190" s="269">
        <f t="shared" si="30"/>
        <v>72</v>
      </c>
      <c r="Y190" s="269">
        <f t="shared" si="31"/>
        <v>73</v>
      </c>
      <c r="Z190" s="269">
        <f t="shared" si="32"/>
        <v>75</v>
      </c>
      <c r="AA190" s="269">
        <f t="shared" si="33"/>
        <v>76</v>
      </c>
    </row>
    <row r="191" spans="1:27">
      <c r="A191" s="104">
        <v>190</v>
      </c>
      <c r="B191" s="104" t="str">
        <f t="shared" si="25"/>
        <v>ADEFHIJL</v>
      </c>
      <c r="C191" s="104" t="s">
        <v>245</v>
      </c>
      <c r="D191" s="104" t="s">
        <v>232</v>
      </c>
      <c r="E191" s="104" t="s">
        <v>151</v>
      </c>
      <c r="F191" s="104" t="s">
        <v>150</v>
      </c>
      <c r="G191" s="104" t="s">
        <v>142</v>
      </c>
      <c r="H191" s="104" t="s">
        <v>152</v>
      </c>
      <c r="I191" s="104" t="s">
        <v>259</v>
      </c>
      <c r="J191" s="104" t="s">
        <v>258</v>
      </c>
      <c r="K191" s="269">
        <f t="shared" si="35"/>
        <v>72</v>
      </c>
      <c r="L191" s="269">
        <f t="shared" si="35"/>
        <v>74</v>
      </c>
      <c r="M191" s="269">
        <f t="shared" si="35"/>
        <v>69</v>
      </c>
      <c r="N191" s="269">
        <f t="shared" si="35"/>
        <v>68</v>
      </c>
      <c r="O191" s="269">
        <f t="shared" si="35"/>
        <v>65</v>
      </c>
      <c r="P191" s="269">
        <f t="shared" si="34"/>
        <v>70</v>
      </c>
      <c r="Q191" s="269">
        <f t="shared" si="34"/>
        <v>76</v>
      </c>
      <c r="R191" s="269">
        <f t="shared" si="34"/>
        <v>73</v>
      </c>
      <c r="S191" s="269"/>
      <c r="T191" s="269">
        <f t="shared" si="26"/>
        <v>65</v>
      </c>
      <c r="U191" s="269">
        <f t="shared" si="27"/>
        <v>68</v>
      </c>
      <c r="V191" s="269">
        <f t="shared" si="28"/>
        <v>69</v>
      </c>
      <c r="W191" s="269">
        <f t="shared" si="29"/>
        <v>70</v>
      </c>
      <c r="X191" s="269">
        <f t="shared" si="30"/>
        <v>72</v>
      </c>
      <c r="Y191" s="269">
        <f t="shared" si="31"/>
        <v>73</v>
      </c>
      <c r="Z191" s="269">
        <f t="shared" si="32"/>
        <v>74</v>
      </c>
      <c r="AA191" s="269">
        <f t="shared" si="33"/>
        <v>76</v>
      </c>
    </row>
    <row r="192" spans="1:27">
      <c r="A192" s="104">
        <v>191</v>
      </c>
      <c r="B192" s="104" t="str">
        <f t="shared" si="25"/>
        <v>ADEFHIJK</v>
      </c>
      <c r="C192" s="104" t="s">
        <v>245</v>
      </c>
      <c r="D192" s="104" t="s">
        <v>232</v>
      </c>
      <c r="E192" s="104" t="s">
        <v>151</v>
      </c>
      <c r="F192" s="104" t="s">
        <v>150</v>
      </c>
      <c r="G192" s="104" t="s">
        <v>142</v>
      </c>
      <c r="H192" s="104" t="s">
        <v>152</v>
      </c>
      <c r="I192" s="104" t="s">
        <v>258</v>
      </c>
      <c r="J192" s="104" t="s">
        <v>246</v>
      </c>
      <c r="K192" s="269">
        <f t="shared" si="35"/>
        <v>72</v>
      </c>
      <c r="L192" s="269">
        <f t="shared" si="35"/>
        <v>74</v>
      </c>
      <c r="M192" s="269">
        <f t="shared" si="35"/>
        <v>69</v>
      </c>
      <c r="N192" s="269">
        <f t="shared" si="35"/>
        <v>68</v>
      </c>
      <c r="O192" s="269">
        <f t="shared" si="35"/>
        <v>65</v>
      </c>
      <c r="P192" s="269">
        <f t="shared" si="34"/>
        <v>70</v>
      </c>
      <c r="Q192" s="269">
        <f t="shared" si="34"/>
        <v>73</v>
      </c>
      <c r="R192" s="269">
        <f t="shared" si="34"/>
        <v>75</v>
      </c>
      <c r="S192" s="269"/>
      <c r="T192" s="269">
        <f t="shared" si="26"/>
        <v>65</v>
      </c>
      <c r="U192" s="269">
        <f t="shared" si="27"/>
        <v>68</v>
      </c>
      <c r="V192" s="269">
        <f t="shared" si="28"/>
        <v>69</v>
      </c>
      <c r="W192" s="269">
        <f t="shared" si="29"/>
        <v>70</v>
      </c>
      <c r="X192" s="269">
        <f t="shared" si="30"/>
        <v>72</v>
      </c>
      <c r="Y192" s="269">
        <f t="shared" si="31"/>
        <v>73</v>
      </c>
      <c r="Z192" s="269">
        <f t="shared" si="32"/>
        <v>74</v>
      </c>
      <c r="AA192" s="269">
        <f t="shared" si="33"/>
        <v>75</v>
      </c>
    </row>
    <row r="193" spans="1:27">
      <c r="A193" s="104">
        <v>192</v>
      </c>
      <c r="B193" s="104" t="str">
        <f t="shared" si="25"/>
        <v>ADEFGJKL</v>
      </c>
      <c r="C193" s="104" t="s">
        <v>151</v>
      </c>
      <c r="D193" s="104" t="s">
        <v>231</v>
      </c>
      <c r="E193" s="104" t="s">
        <v>232</v>
      </c>
      <c r="F193" s="104" t="s">
        <v>150</v>
      </c>
      <c r="G193" s="104" t="s">
        <v>142</v>
      </c>
      <c r="H193" s="104" t="s">
        <v>152</v>
      </c>
      <c r="I193" s="104" t="s">
        <v>259</v>
      </c>
      <c r="J193" s="104" t="s">
        <v>246</v>
      </c>
      <c r="K193" s="269">
        <f t="shared" si="35"/>
        <v>69</v>
      </c>
      <c r="L193" s="269">
        <f t="shared" si="35"/>
        <v>71</v>
      </c>
      <c r="M193" s="269">
        <f t="shared" si="35"/>
        <v>74</v>
      </c>
      <c r="N193" s="269">
        <f t="shared" si="35"/>
        <v>68</v>
      </c>
      <c r="O193" s="269">
        <f t="shared" si="35"/>
        <v>65</v>
      </c>
      <c r="P193" s="269">
        <f t="shared" si="34"/>
        <v>70</v>
      </c>
      <c r="Q193" s="269">
        <f t="shared" si="34"/>
        <v>76</v>
      </c>
      <c r="R193" s="269">
        <f t="shared" si="34"/>
        <v>75</v>
      </c>
      <c r="S193" s="269"/>
      <c r="T193" s="269">
        <f t="shared" si="26"/>
        <v>65</v>
      </c>
      <c r="U193" s="269">
        <f t="shared" si="27"/>
        <v>68</v>
      </c>
      <c r="V193" s="269">
        <f t="shared" si="28"/>
        <v>69</v>
      </c>
      <c r="W193" s="269">
        <f t="shared" si="29"/>
        <v>70</v>
      </c>
      <c r="X193" s="269">
        <f t="shared" si="30"/>
        <v>71</v>
      </c>
      <c r="Y193" s="269">
        <f t="shared" si="31"/>
        <v>74</v>
      </c>
      <c r="Z193" s="269">
        <f t="shared" si="32"/>
        <v>75</v>
      </c>
      <c r="AA193" s="269">
        <f t="shared" si="33"/>
        <v>76</v>
      </c>
    </row>
    <row r="194" spans="1:27">
      <c r="A194" s="104">
        <v>193</v>
      </c>
      <c r="B194" s="104" t="str">
        <f t="shared" si="25"/>
        <v>ADEFGIKL</v>
      </c>
      <c r="C194" s="104" t="s">
        <v>151</v>
      </c>
      <c r="D194" s="104" t="s">
        <v>231</v>
      </c>
      <c r="E194" s="104" t="s">
        <v>258</v>
      </c>
      <c r="F194" s="104" t="s">
        <v>150</v>
      </c>
      <c r="G194" s="104" t="s">
        <v>142</v>
      </c>
      <c r="H194" s="104" t="s">
        <v>152</v>
      </c>
      <c r="I194" s="104" t="s">
        <v>259</v>
      </c>
      <c r="J194" s="104" t="s">
        <v>246</v>
      </c>
      <c r="K194" s="269">
        <f t="shared" si="35"/>
        <v>69</v>
      </c>
      <c r="L194" s="269">
        <f t="shared" si="35"/>
        <v>71</v>
      </c>
      <c r="M194" s="269">
        <f t="shared" si="35"/>
        <v>73</v>
      </c>
      <c r="N194" s="269">
        <f t="shared" si="35"/>
        <v>68</v>
      </c>
      <c r="O194" s="269">
        <f t="shared" si="35"/>
        <v>65</v>
      </c>
      <c r="P194" s="269">
        <f t="shared" si="34"/>
        <v>70</v>
      </c>
      <c r="Q194" s="269">
        <f t="shared" si="34"/>
        <v>76</v>
      </c>
      <c r="R194" s="269">
        <f t="shared" si="34"/>
        <v>75</v>
      </c>
      <c r="S194" s="269"/>
      <c r="T194" s="269">
        <f t="shared" si="26"/>
        <v>65</v>
      </c>
      <c r="U194" s="269">
        <f t="shared" si="27"/>
        <v>68</v>
      </c>
      <c r="V194" s="269">
        <f t="shared" si="28"/>
        <v>69</v>
      </c>
      <c r="W194" s="269">
        <f t="shared" si="29"/>
        <v>70</v>
      </c>
      <c r="X194" s="269">
        <f t="shared" si="30"/>
        <v>71</v>
      </c>
      <c r="Y194" s="269">
        <f t="shared" si="31"/>
        <v>73</v>
      </c>
      <c r="Z194" s="269">
        <f t="shared" si="32"/>
        <v>75</v>
      </c>
      <c r="AA194" s="269">
        <f t="shared" si="33"/>
        <v>76</v>
      </c>
    </row>
    <row r="195" spans="1:27">
      <c r="A195" s="104">
        <v>194</v>
      </c>
      <c r="B195" s="104" t="str">
        <f t="shared" ref="B195:B258" si="36">CONCATENATE(CHAR(T195),CHAR(U195),CHAR(V195),CHAR(W195),CHAR(X195),CHAR(Y195),CHAR(Z195),CHAR(AA195))</f>
        <v>ADEFGIJL</v>
      </c>
      <c r="C195" s="104" t="s">
        <v>151</v>
      </c>
      <c r="D195" s="104" t="s">
        <v>231</v>
      </c>
      <c r="E195" s="104" t="s">
        <v>232</v>
      </c>
      <c r="F195" s="104" t="s">
        <v>150</v>
      </c>
      <c r="G195" s="104" t="s">
        <v>142</v>
      </c>
      <c r="H195" s="104" t="s">
        <v>152</v>
      </c>
      <c r="I195" s="104" t="s">
        <v>259</v>
      </c>
      <c r="J195" s="104" t="s">
        <v>258</v>
      </c>
      <c r="K195" s="269">
        <f t="shared" si="35"/>
        <v>69</v>
      </c>
      <c r="L195" s="269">
        <f t="shared" si="35"/>
        <v>71</v>
      </c>
      <c r="M195" s="269">
        <f t="shared" si="35"/>
        <v>74</v>
      </c>
      <c r="N195" s="269">
        <f t="shared" si="35"/>
        <v>68</v>
      </c>
      <c r="O195" s="269">
        <f t="shared" si="35"/>
        <v>65</v>
      </c>
      <c r="P195" s="269">
        <f t="shared" si="34"/>
        <v>70</v>
      </c>
      <c r="Q195" s="269">
        <f t="shared" si="34"/>
        <v>76</v>
      </c>
      <c r="R195" s="269">
        <f t="shared" si="34"/>
        <v>73</v>
      </c>
      <c r="S195" s="269"/>
      <c r="T195" s="269">
        <f t="shared" ref="T195:T258" si="37">SMALL($K195:$R195,1)</f>
        <v>65</v>
      </c>
      <c r="U195" s="269">
        <f t="shared" ref="U195:U258" si="38">SMALL($K195:$R195,2)</f>
        <v>68</v>
      </c>
      <c r="V195" s="269">
        <f t="shared" ref="V195:V258" si="39">SMALL($K195:$R195,3)</f>
        <v>69</v>
      </c>
      <c r="W195" s="269">
        <f t="shared" ref="W195:W258" si="40">SMALL($K195:$R195,4)</f>
        <v>70</v>
      </c>
      <c r="X195" s="269">
        <f t="shared" ref="X195:X258" si="41">SMALL($K195:$R195,5)</f>
        <v>71</v>
      </c>
      <c r="Y195" s="269">
        <f t="shared" ref="Y195:Y258" si="42">SMALL($K195:$R195,6)</f>
        <v>73</v>
      </c>
      <c r="Z195" s="269">
        <f t="shared" ref="Z195:Z258" si="43">SMALL($K195:$R195,7)</f>
        <v>74</v>
      </c>
      <c r="AA195" s="269">
        <f t="shared" ref="AA195:AA258" si="44">SMALL($K195:$R195,8)</f>
        <v>76</v>
      </c>
    </row>
    <row r="196" spans="1:27">
      <c r="A196" s="104">
        <v>195</v>
      </c>
      <c r="B196" s="104" t="str">
        <f t="shared" si="36"/>
        <v>ADEFGIJK</v>
      </c>
      <c r="C196" s="104" t="s">
        <v>151</v>
      </c>
      <c r="D196" s="104" t="s">
        <v>231</v>
      </c>
      <c r="E196" s="104" t="s">
        <v>232</v>
      </c>
      <c r="F196" s="104" t="s">
        <v>150</v>
      </c>
      <c r="G196" s="104" t="s">
        <v>142</v>
      </c>
      <c r="H196" s="104" t="s">
        <v>152</v>
      </c>
      <c r="I196" s="104" t="s">
        <v>258</v>
      </c>
      <c r="J196" s="104" t="s">
        <v>246</v>
      </c>
      <c r="K196" s="269">
        <f t="shared" si="35"/>
        <v>69</v>
      </c>
      <c r="L196" s="269">
        <f t="shared" si="35"/>
        <v>71</v>
      </c>
      <c r="M196" s="269">
        <f t="shared" si="35"/>
        <v>74</v>
      </c>
      <c r="N196" s="269">
        <f t="shared" si="35"/>
        <v>68</v>
      </c>
      <c r="O196" s="269">
        <f t="shared" si="35"/>
        <v>65</v>
      </c>
      <c r="P196" s="269">
        <f t="shared" si="34"/>
        <v>70</v>
      </c>
      <c r="Q196" s="269">
        <f t="shared" si="34"/>
        <v>73</v>
      </c>
      <c r="R196" s="269">
        <f t="shared" si="34"/>
        <v>75</v>
      </c>
      <c r="S196" s="269"/>
      <c r="T196" s="269">
        <f t="shared" si="37"/>
        <v>65</v>
      </c>
      <c r="U196" s="269">
        <f t="shared" si="38"/>
        <v>68</v>
      </c>
      <c r="V196" s="269">
        <f t="shared" si="39"/>
        <v>69</v>
      </c>
      <c r="W196" s="269">
        <f t="shared" si="40"/>
        <v>70</v>
      </c>
      <c r="X196" s="269">
        <f t="shared" si="41"/>
        <v>71</v>
      </c>
      <c r="Y196" s="269">
        <f t="shared" si="42"/>
        <v>73</v>
      </c>
      <c r="Z196" s="269">
        <f t="shared" si="43"/>
        <v>74</v>
      </c>
      <c r="AA196" s="269">
        <f t="shared" si="44"/>
        <v>75</v>
      </c>
    </row>
    <row r="197" spans="1:27">
      <c r="A197" s="104">
        <v>196</v>
      </c>
      <c r="B197" s="104" t="str">
        <f t="shared" si="36"/>
        <v>ADEFGHKL</v>
      </c>
      <c r="C197" s="104" t="s">
        <v>245</v>
      </c>
      <c r="D197" s="104" t="s">
        <v>231</v>
      </c>
      <c r="E197" s="104" t="s">
        <v>151</v>
      </c>
      <c r="F197" s="104" t="s">
        <v>150</v>
      </c>
      <c r="G197" s="104" t="s">
        <v>142</v>
      </c>
      <c r="H197" s="104" t="s">
        <v>152</v>
      </c>
      <c r="I197" s="104" t="s">
        <v>259</v>
      </c>
      <c r="J197" s="104" t="s">
        <v>246</v>
      </c>
      <c r="K197" s="269">
        <f t="shared" si="35"/>
        <v>72</v>
      </c>
      <c r="L197" s="269">
        <f t="shared" si="35"/>
        <v>71</v>
      </c>
      <c r="M197" s="269">
        <f t="shared" si="35"/>
        <v>69</v>
      </c>
      <c r="N197" s="269">
        <f t="shared" si="35"/>
        <v>68</v>
      </c>
      <c r="O197" s="269">
        <f t="shared" si="35"/>
        <v>65</v>
      </c>
      <c r="P197" s="269">
        <f t="shared" si="34"/>
        <v>70</v>
      </c>
      <c r="Q197" s="269">
        <f t="shared" si="34"/>
        <v>76</v>
      </c>
      <c r="R197" s="269">
        <f t="shared" si="34"/>
        <v>75</v>
      </c>
      <c r="S197" s="269"/>
      <c r="T197" s="269">
        <f t="shared" si="37"/>
        <v>65</v>
      </c>
      <c r="U197" s="269">
        <f t="shared" si="38"/>
        <v>68</v>
      </c>
      <c r="V197" s="269">
        <f t="shared" si="39"/>
        <v>69</v>
      </c>
      <c r="W197" s="269">
        <f t="shared" si="40"/>
        <v>70</v>
      </c>
      <c r="X197" s="269">
        <f t="shared" si="41"/>
        <v>71</v>
      </c>
      <c r="Y197" s="269">
        <f t="shared" si="42"/>
        <v>72</v>
      </c>
      <c r="Z197" s="269">
        <f t="shared" si="43"/>
        <v>75</v>
      </c>
      <c r="AA197" s="269">
        <f t="shared" si="44"/>
        <v>76</v>
      </c>
    </row>
    <row r="198" spans="1:27">
      <c r="A198" s="104">
        <v>197</v>
      </c>
      <c r="B198" s="104" t="str">
        <f t="shared" si="36"/>
        <v>ADEFGHJL</v>
      </c>
      <c r="C198" s="104" t="s">
        <v>245</v>
      </c>
      <c r="D198" s="104" t="s">
        <v>231</v>
      </c>
      <c r="E198" s="104" t="s">
        <v>232</v>
      </c>
      <c r="F198" s="104" t="s">
        <v>150</v>
      </c>
      <c r="G198" s="104" t="s">
        <v>142</v>
      </c>
      <c r="H198" s="104" t="s">
        <v>152</v>
      </c>
      <c r="I198" s="104" t="s">
        <v>259</v>
      </c>
      <c r="J198" s="104" t="s">
        <v>151</v>
      </c>
      <c r="K198" s="269">
        <f t="shared" si="35"/>
        <v>72</v>
      </c>
      <c r="L198" s="269">
        <f t="shared" si="35"/>
        <v>71</v>
      </c>
      <c r="M198" s="269">
        <f t="shared" si="35"/>
        <v>74</v>
      </c>
      <c r="N198" s="269">
        <f t="shared" si="35"/>
        <v>68</v>
      </c>
      <c r="O198" s="269">
        <f t="shared" si="35"/>
        <v>65</v>
      </c>
      <c r="P198" s="269">
        <f t="shared" si="34"/>
        <v>70</v>
      </c>
      <c r="Q198" s="269">
        <f t="shared" si="34"/>
        <v>76</v>
      </c>
      <c r="R198" s="269">
        <f t="shared" si="34"/>
        <v>69</v>
      </c>
      <c r="S198" s="269"/>
      <c r="T198" s="269">
        <f t="shared" si="37"/>
        <v>65</v>
      </c>
      <c r="U198" s="269">
        <f t="shared" si="38"/>
        <v>68</v>
      </c>
      <c r="V198" s="269">
        <f t="shared" si="39"/>
        <v>69</v>
      </c>
      <c r="W198" s="269">
        <f t="shared" si="40"/>
        <v>70</v>
      </c>
      <c r="X198" s="269">
        <f t="shared" si="41"/>
        <v>71</v>
      </c>
      <c r="Y198" s="269">
        <f t="shared" si="42"/>
        <v>72</v>
      </c>
      <c r="Z198" s="269">
        <f t="shared" si="43"/>
        <v>74</v>
      </c>
      <c r="AA198" s="269">
        <f t="shared" si="44"/>
        <v>76</v>
      </c>
    </row>
    <row r="199" spans="1:27">
      <c r="A199" s="104">
        <v>198</v>
      </c>
      <c r="B199" s="104" t="str">
        <f t="shared" si="36"/>
        <v>ADEFGHJK</v>
      </c>
      <c r="C199" s="104" t="s">
        <v>245</v>
      </c>
      <c r="D199" s="104" t="s">
        <v>231</v>
      </c>
      <c r="E199" s="104" t="s">
        <v>232</v>
      </c>
      <c r="F199" s="104" t="s">
        <v>150</v>
      </c>
      <c r="G199" s="104" t="s">
        <v>142</v>
      </c>
      <c r="H199" s="104" t="s">
        <v>152</v>
      </c>
      <c r="I199" s="104" t="s">
        <v>151</v>
      </c>
      <c r="J199" s="104" t="s">
        <v>246</v>
      </c>
      <c r="K199" s="269">
        <f t="shared" si="35"/>
        <v>72</v>
      </c>
      <c r="L199" s="269">
        <f t="shared" si="35"/>
        <v>71</v>
      </c>
      <c r="M199" s="269">
        <f t="shared" si="35"/>
        <v>74</v>
      </c>
      <c r="N199" s="269">
        <f t="shared" si="35"/>
        <v>68</v>
      </c>
      <c r="O199" s="269">
        <f t="shared" si="35"/>
        <v>65</v>
      </c>
      <c r="P199" s="269">
        <f t="shared" si="34"/>
        <v>70</v>
      </c>
      <c r="Q199" s="269">
        <f t="shared" si="34"/>
        <v>69</v>
      </c>
      <c r="R199" s="269">
        <f t="shared" si="34"/>
        <v>75</v>
      </c>
      <c r="S199" s="269"/>
      <c r="T199" s="269">
        <f t="shared" si="37"/>
        <v>65</v>
      </c>
      <c r="U199" s="269">
        <f t="shared" si="38"/>
        <v>68</v>
      </c>
      <c r="V199" s="269">
        <f t="shared" si="39"/>
        <v>69</v>
      </c>
      <c r="W199" s="269">
        <f t="shared" si="40"/>
        <v>70</v>
      </c>
      <c r="X199" s="269">
        <f t="shared" si="41"/>
        <v>71</v>
      </c>
      <c r="Y199" s="269">
        <f t="shared" si="42"/>
        <v>72</v>
      </c>
      <c r="Z199" s="269">
        <f t="shared" si="43"/>
        <v>74</v>
      </c>
      <c r="AA199" s="269">
        <f t="shared" si="44"/>
        <v>75</v>
      </c>
    </row>
    <row r="200" spans="1:27">
      <c r="A200" s="104">
        <v>199</v>
      </c>
      <c r="B200" s="104" t="str">
        <f t="shared" si="36"/>
        <v>ADEFGHIL</v>
      </c>
      <c r="C200" s="104" t="s">
        <v>245</v>
      </c>
      <c r="D200" s="104" t="s">
        <v>231</v>
      </c>
      <c r="E200" s="104" t="s">
        <v>151</v>
      </c>
      <c r="F200" s="104" t="s">
        <v>150</v>
      </c>
      <c r="G200" s="104" t="s">
        <v>142</v>
      </c>
      <c r="H200" s="104" t="s">
        <v>152</v>
      </c>
      <c r="I200" s="104" t="s">
        <v>259</v>
      </c>
      <c r="J200" s="104" t="s">
        <v>258</v>
      </c>
      <c r="K200" s="269">
        <f t="shared" si="35"/>
        <v>72</v>
      </c>
      <c r="L200" s="269">
        <f t="shared" si="35"/>
        <v>71</v>
      </c>
      <c r="M200" s="269">
        <f t="shared" si="35"/>
        <v>69</v>
      </c>
      <c r="N200" s="269">
        <f t="shared" si="35"/>
        <v>68</v>
      </c>
      <c r="O200" s="269">
        <f t="shared" si="35"/>
        <v>65</v>
      </c>
      <c r="P200" s="269">
        <f t="shared" si="34"/>
        <v>70</v>
      </c>
      <c r="Q200" s="269">
        <f t="shared" si="34"/>
        <v>76</v>
      </c>
      <c r="R200" s="269">
        <f t="shared" si="34"/>
        <v>73</v>
      </c>
      <c r="S200" s="269"/>
      <c r="T200" s="269">
        <f t="shared" si="37"/>
        <v>65</v>
      </c>
      <c r="U200" s="269">
        <f t="shared" si="38"/>
        <v>68</v>
      </c>
      <c r="V200" s="269">
        <f t="shared" si="39"/>
        <v>69</v>
      </c>
      <c r="W200" s="269">
        <f t="shared" si="40"/>
        <v>70</v>
      </c>
      <c r="X200" s="269">
        <f t="shared" si="41"/>
        <v>71</v>
      </c>
      <c r="Y200" s="269">
        <f t="shared" si="42"/>
        <v>72</v>
      </c>
      <c r="Z200" s="269">
        <f t="shared" si="43"/>
        <v>73</v>
      </c>
      <c r="AA200" s="269">
        <f t="shared" si="44"/>
        <v>76</v>
      </c>
    </row>
    <row r="201" spans="1:27">
      <c r="A201" s="104">
        <v>200</v>
      </c>
      <c r="B201" s="104" t="str">
        <f t="shared" si="36"/>
        <v>ADEFGHIK</v>
      </c>
      <c r="C201" s="104" t="s">
        <v>245</v>
      </c>
      <c r="D201" s="104" t="s">
        <v>231</v>
      </c>
      <c r="E201" s="104" t="s">
        <v>151</v>
      </c>
      <c r="F201" s="104" t="s">
        <v>150</v>
      </c>
      <c r="G201" s="104" t="s">
        <v>142</v>
      </c>
      <c r="H201" s="104" t="s">
        <v>152</v>
      </c>
      <c r="I201" s="104" t="s">
        <v>258</v>
      </c>
      <c r="J201" s="104" t="s">
        <v>246</v>
      </c>
      <c r="K201" s="269">
        <f t="shared" si="35"/>
        <v>72</v>
      </c>
      <c r="L201" s="269">
        <f t="shared" si="35"/>
        <v>71</v>
      </c>
      <c r="M201" s="269">
        <f t="shared" si="35"/>
        <v>69</v>
      </c>
      <c r="N201" s="269">
        <f t="shared" si="35"/>
        <v>68</v>
      </c>
      <c r="O201" s="269">
        <f t="shared" si="35"/>
        <v>65</v>
      </c>
      <c r="P201" s="269">
        <f t="shared" si="34"/>
        <v>70</v>
      </c>
      <c r="Q201" s="269">
        <f t="shared" si="34"/>
        <v>73</v>
      </c>
      <c r="R201" s="269">
        <f t="shared" si="34"/>
        <v>75</v>
      </c>
      <c r="S201" s="269"/>
      <c r="T201" s="269">
        <f t="shared" si="37"/>
        <v>65</v>
      </c>
      <c r="U201" s="269">
        <f t="shared" si="38"/>
        <v>68</v>
      </c>
      <c r="V201" s="269">
        <f t="shared" si="39"/>
        <v>69</v>
      </c>
      <c r="W201" s="269">
        <f t="shared" si="40"/>
        <v>70</v>
      </c>
      <c r="X201" s="269">
        <f t="shared" si="41"/>
        <v>71</v>
      </c>
      <c r="Y201" s="269">
        <f t="shared" si="42"/>
        <v>72</v>
      </c>
      <c r="Z201" s="269">
        <f t="shared" si="43"/>
        <v>73</v>
      </c>
      <c r="AA201" s="269">
        <f t="shared" si="44"/>
        <v>75</v>
      </c>
    </row>
    <row r="202" spans="1:27">
      <c r="A202" s="104">
        <v>201</v>
      </c>
      <c r="B202" s="104" t="str">
        <f t="shared" si="36"/>
        <v>ADEFGHIJ</v>
      </c>
      <c r="C202" s="104" t="s">
        <v>245</v>
      </c>
      <c r="D202" s="104" t="s">
        <v>231</v>
      </c>
      <c r="E202" s="104" t="s">
        <v>232</v>
      </c>
      <c r="F202" s="104" t="s">
        <v>150</v>
      </c>
      <c r="G202" s="104" t="s">
        <v>142</v>
      </c>
      <c r="H202" s="104" t="s">
        <v>152</v>
      </c>
      <c r="I202" s="104" t="s">
        <v>151</v>
      </c>
      <c r="J202" s="104" t="s">
        <v>258</v>
      </c>
      <c r="K202" s="269">
        <f t="shared" si="35"/>
        <v>72</v>
      </c>
      <c r="L202" s="269">
        <f t="shared" si="35"/>
        <v>71</v>
      </c>
      <c r="M202" s="269">
        <f t="shared" si="35"/>
        <v>74</v>
      </c>
      <c r="N202" s="269">
        <f t="shared" si="35"/>
        <v>68</v>
      </c>
      <c r="O202" s="269">
        <f t="shared" si="35"/>
        <v>65</v>
      </c>
      <c r="P202" s="269">
        <f t="shared" si="34"/>
        <v>70</v>
      </c>
      <c r="Q202" s="269">
        <f t="shared" si="34"/>
        <v>69</v>
      </c>
      <c r="R202" s="269">
        <f t="shared" si="34"/>
        <v>73</v>
      </c>
      <c r="S202" s="269"/>
      <c r="T202" s="269">
        <f t="shared" si="37"/>
        <v>65</v>
      </c>
      <c r="U202" s="269">
        <f t="shared" si="38"/>
        <v>68</v>
      </c>
      <c r="V202" s="269">
        <f t="shared" si="39"/>
        <v>69</v>
      </c>
      <c r="W202" s="269">
        <f t="shared" si="40"/>
        <v>70</v>
      </c>
      <c r="X202" s="269">
        <f t="shared" si="41"/>
        <v>71</v>
      </c>
      <c r="Y202" s="269">
        <f t="shared" si="42"/>
        <v>72</v>
      </c>
      <c r="Z202" s="269">
        <f t="shared" si="43"/>
        <v>73</v>
      </c>
      <c r="AA202" s="269">
        <f t="shared" si="44"/>
        <v>74</v>
      </c>
    </row>
    <row r="203" spans="1:27">
      <c r="A203" s="104">
        <v>202</v>
      </c>
      <c r="B203" s="104" t="str">
        <f t="shared" si="36"/>
        <v>ACGHIJKL</v>
      </c>
      <c r="C203" s="104" t="s">
        <v>245</v>
      </c>
      <c r="D203" s="104" t="s">
        <v>232</v>
      </c>
      <c r="E203" s="104" t="s">
        <v>258</v>
      </c>
      <c r="F203" s="104" t="s">
        <v>145</v>
      </c>
      <c r="G203" s="104" t="s">
        <v>142</v>
      </c>
      <c r="H203" s="104" t="s">
        <v>231</v>
      </c>
      <c r="I203" s="104" t="s">
        <v>259</v>
      </c>
      <c r="J203" s="104" t="s">
        <v>246</v>
      </c>
      <c r="K203" s="269">
        <f t="shared" si="35"/>
        <v>72</v>
      </c>
      <c r="L203" s="269">
        <f t="shared" si="35"/>
        <v>74</v>
      </c>
      <c r="M203" s="269">
        <f t="shared" si="35"/>
        <v>73</v>
      </c>
      <c r="N203" s="269">
        <f t="shared" si="35"/>
        <v>67</v>
      </c>
      <c r="O203" s="269">
        <f t="shared" si="35"/>
        <v>65</v>
      </c>
      <c r="P203" s="269">
        <f t="shared" si="34"/>
        <v>71</v>
      </c>
      <c r="Q203" s="269">
        <f t="shared" si="34"/>
        <v>76</v>
      </c>
      <c r="R203" s="269">
        <f t="shared" si="34"/>
        <v>75</v>
      </c>
      <c r="S203" s="269"/>
      <c r="T203" s="269">
        <f t="shared" si="37"/>
        <v>65</v>
      </c>
      <c r="U203" s="269">
        <f t="shared" si="38"/>
        <v>67</v>
      </c>
      <c r="V203" s="269">
        <f t="shared" si="39"/>
        <v>71</v>
      </c>
      <c r="W203" s="269">
        <f t="shared" si="40"/>
        <v>72</v>
      </c>
      <c r="X203" s="269">
        <f t="shared" si="41"/>
        <v>73</v>
      </c>
      <c r="Y203" s="269">
        <f t="shared" si="42"/>
        <v>74</v>
      </c>
      <c r="Z203" s="269">
        <f t="shared" si="43"/>
        <v>75</v>
      </c>
      <c r="AA203" s="269">
        <f t="shared" si="44"/>
        <v>76</v>
      </c>
    </row>
    <row r="204" spans="1:27">
      <c r="A204" s="104">
        <v>203</v>
      </c>
      <c r="B204" s="104" t="str">
        <f t="shared" si="36"/>
        <v>ACFHIJKL</v>
      </c>
      <c r="C204" s="104" t="s">
        <v>245</v>
      </c>
      <c r="D204" s="104" t="s">
        <v>232</v>
      </c>
      <c r="E204" s="104" t="s">
        <v>258</v>
      </c>
      <c r="F204" s="104" t="s">
        <v>145</v>
      </c>
      <c r="G204" s="104" t="s">
        <v>142</v>
      </c>
      <c r="H204" s="104" t="s">
        <v>152</v>
      </c>
      <c r="I204" s="104" t="s">
        <v>259</v>
      </c>
      <c r="J204" s="104" t="s">
        <v>246</v>
      </c>
      <c r="K204" s="269">
        <f t="shared" si="35"/>
        <v>72</v>
      </c>
      <c r="L204" s="269">
        <f t="shared" si="35"/>
        <v>74</v>
      </c>
      <c r="M204" s="269">
        <f t="shared" si="35"/>
        <v>73</v>
      </c>
      <c r="N204" s="269">
        <f t="shared" si="35"/>
        <v>67</v>
      </c>
      <c r="O204" s="269">
        <f t="shared" si="35"/>
        <v>65</v>
      </c>
      <c r="P204" s="269">
        <f t="shared" si="34"/>
        <v>70</v>
      </c>
      <c r="Q204" s="269">
        <f t="shared" si="34"/>
        <v>76</v>
      </c>
      <c r="R204" s="269">
        <f t="shared" si="34"/>
        <v>75</v>
      </c>
      <c r="S204" s="269"/>
      <c r="T204" s="269">
        <f t="shared" si="37"/>
        <v>65</v>
      </c>
      <c r="U204" s="269">
        <f t="shared" si="38"/>
        <v>67</v>
      </c>
      <c r="V204" s="269">
        <f t="shared" si="39"/>
        <v>70</v>
      </c>
      <c r="W204" s="269">
        <f t="shared" si="40"/>
        <v>72</v>
      </c>
      <c r="X204" s="269">
        <f t="shared" si="41"/>
        <v>73</v>
      </c>
      <c r="Y204" s="269">
        <f t="shared" si="42"/>
        <v>74</v>
      </c>
      <c r="Z204" s="269">
        <f t="shared" si="43"/>
        <v>75</v>
      </c>
      <c r="AA204" s="269">
        <f t="shared" si="44"/>
        <v>76</v>
      </c>
    </row>
    <row r="205" spans="1:27">
      <c r="A205" s="104">
        <v>204</v>
      </c>
      <c r="B205" s="104" t="str">
        <f t="shared" si="36"/>
        <v>ACFGIJKL</v>
      </c>
      <c r="C205" s="104" t="s">
        <v>258</v>
      </c>
      <c r="D205" s="104" t="s">
        <v>231</v>
      </c>
      <c r="E205" s="104" t="s">
        <v>232</v>
      </c>
      <c r="F205" s="104" t="s">
        <v>145</v>
      </c>
      <c r="G205" s="104" t="s">
        <v>142</v>
      </c>
      <c r="H205" s="104" t="s">
        <v>152</v>
      </c>
      <c r="I205" s="104" t="s">
        <v>259</v>
      </c>
      <c r="J205" s="104" t="s">
        <v>246</v>
      </c>
      <c r="K205" s="269">
        <f t="shared" si="35"/>
        <v>73</v>
      </c>
      <c r="L205" s="269">
        <f t="shared" si="35"/>
        <v>71</v>
      </c>
      <c r="M205" s="269">
        <f t="shared" si="35"/>
        <v>74</v>
      </c>
      <c r="N205" s="269">
        <f t="shared" si="35"/>
        <v>67</v>
      </c>
      <c r="O205" s="269">
        <f t="shared" si="35"/>
        <v>65</v>
      </c>
      <c r="P205" s="269">
        <f t="shared" si="34"/>
        <v>70</v>
      </c>
      <c r="Q205" s="269">
        <f t="shared" si="34"/>
        <v>76</v>
      </c>
      <c r="R205" s="269">
        <f t="shared" si="34"/>
        <v>75</v>
      </c>
      <c r="S205" s="269"/>
      <c r="T205" s="269">
        <f t="shared" si="37"/>
        <v>65</v>
      </c>
      <c r="U205" s="269">
        <f t="shared" si="38"/>
        <v>67</v>
      </c>
      <c r="V205" s="269">
        <f t="shared" si="39"/>
        <v>70</v>
      </c>
      <c r="W205" s="269">
        <f t="shared" si="40"/>
        <v>71</v>
      </c>
      <c r="X205" s="269">
        <f t="shared" si="41"/>
        <v>73</v>
      </c>
      <c r="Y205" s="269">
        <f t="shared" si="42"/>
        <v>74</v>
      </c>
      <c r="Z205" s="269">
        <f t="shared" si="43"/>
        <v>75</v>
      </c>
      <c r="AA205" s="269">
        <f t="shared" si="44"/>
        <v>76</v>
      </c>
    </row>
    <row r="206" spans="1:27">
      <c r="A206" s="104">
        <v>205</v>
      </c>
      <c r="B206" s="104" t="str">
        <f t="shared" si="36"/>
        <v>ACFGHJKL</v>
      </c>
      <c r="C206" s="104" t="s">
        <v>245</v>
      </c>
      <c r="D206" s="104" t="s">
        <v>231</v>
      </c>
      <c r="E206" s="104" t="s">
        <v>232</v>
      </c>
      <c r="F206" s="104" t="s">
        <v>145</v>
      </c>
      <c r="G206" s="104" t="s">
        <v>142</v>
      </c>
      <c r="H206" s="104" t="s">
        <v>152</v>
      </c>
      <c r="I206" s="104" t="s">
        <v>259</v>
      </c>
      <c r="J206" s="104" t="s">
        <v>246</v>
      </c>
      <c r="K206" s="269">
        <f t="shared" si="35"/>
        <v>72</v>
      </c>
      <c r="L206" s="269">
        <f t="shared" si="35"/>
        <v>71</v>
      </c>
      <c r="M206" s="269">
        <f t="shared" si="35"/>
        <v>74</v>
      </c>
      <c r="N206" s="269">
        <f t="shared" si="35"/>
        <v>67</v>
      </c>
      <c r="O206" s="269">
        <f t="shared" si="35"/>
        <v>65</v>
      </c>
      <c r="P206" s="269">
        <f t="shared" si="34"/>
        <v>70</v>
      </c>
      <c r="Q206" s="269">
        <f t="shared" si="34"/>
        <v>76</v>
      </c>
      <c r="R206" s="269">
        <f t="shared" si="34"/>
        <v>75</v>
      </c>
      <c r="S206" s="269"/>
      <c r="T206" s="269">
        <f t="shared" si="37"/>
        <v>65</v>
      </c>
      <c r="U206" s="269">
        <f t="shared" si="38"/>
        <v>67</v>
      </c>
      <c r="V206" s="269">
        <f t="shared" si="39"/>
        <v>70</v>
      </c>
      <c r="W206" s="269">
        <f t="shared" si="40"/>
        <v>71</v>
      </c>
      <c r="X206" s="269">
        <f t="shared" si="41"/>
        <v>72</v>
      </c>
      <c r="Y206" s="269">
        <f t="shared" si="42"/>
        <v>74</v>
      </c>
      <c r="Z206" s="269">
        <f t="shared" si="43"/>
        <v>75</v>
      </c>
      <c r="AA206" s="269">
        <f t="shared" si="44"/>
        <v>76</v>
      </c>
    </row>
    <row r="207" spans="1:27">
      <c r="A207" s="104">
        <v>206</v>
      </c>
      <c r="B207" s="104" t="str">
        <f t="shared" si="36"/>
        <v>ACFGHIKL</v>
      </c>
      <c r="C207" s="104" t="s">
        <v>245</v>
      </c>
      <c r="D207" s="104" t="s">
        <v>231</v>
      </c>
      <c r="E207" s="104" t="s">
        <v>258</v>
      </c>
      <c r="F207" s="104" t="s">
        <v>145</v>
      </c>
      <c r="G207" s="104" t="s">
        <v>142</v>
      </c>
      <c r="H207" s="104" t="s">
        <v>152</v>
      </c>
      <c r="I207" s="104" t="s">
        <v>259</v>
      </c>
      <c r="J207" s="104" t="s">
        <v>246</v>
      </c>
      <c r="K207" s="269">
        <f t="shared" si="35"/>
        <v>72</v>
      </c>
      <c r="L207" s="269">
        <f t="shared" si="35"/>
        <v>71</v>
      </c>
      <c r="M207" s="269">
        <f t="shared" si="35"/>
        <v>73</v>
      </c>
      <c r="N207" s="269">
        <f t="shared" si="35"/>
        <v>67</v>
      </c>
      <c r="O207" s="269">
        <f t="shared" si="35"/>
        <v>65</v>
      </c>
      <c r="P207" s="269">
        <f t="shared" si="34"/>
        <v>70</v>
      </c>
      <c r="Q207" s="269">
        <f t="shared" si="34"/>
        <v>76</v>
      </c>
      <c r="R207" s="269">
        <f t="shared" si="34"/>
        <v>75</v>
      </c>
      <c r="S207" s="269"/>
      <c r="T207" s="269">
        <f t="shared" si="37"/>
        <v>65</v>
      </c>
      <c r="U207" s="269">
        <f t="shared" si="38"/>
        <v>67</v>
      </c>
      <c r="V207" s="269">
        <f t="shared" si="39"/>
        <v>70</v>
      </c>
      <c r="W207" s="269">
        <f t="shared" si="40"/>
        <v>71</v>
      </c>
      <c r="X207" s="269">
        <f t="shared" si="41"/>
        <v>72</v>
      </c>
      <c r="Y207" s="269">
        <f t="shared" si="42"/>
        <v>73</v>
      </c>
      <c r="Z207" s="269">
        <f t="shared" si="43"/>
        <v>75</v>
      </c>
      <c r="AA207" s="269">
        <f t="shared" si="44"/>
        <v>76</v>
      </c>
    </row>
    <row r="208" spans="1:27">
      <c r="A208" s="104">
        <v>207</v>
      </c>
      <c r="B208" s="104" t="str">
        <f t="shared" si="36"/>
        <v>ACFGHIJL</v>
      </c>
      <c r="C208" s="104" t="s">
        <v>245</v>
      </c>
      <c r="D208" s="104" t="s">
        <v>231</v>
      </c>
      <c r="E208" s="104" t="s">
        <v>232</v>
      </c>
      <c r="F208" s="104" t="s">
        <v>145</v>
      </c>
      <c r="G208" s="104" t="s">
        <v>142</v>
      </c>
      <c r="H208" s="104" t="s">
        <v>152</v>
      </c>
      <c r="I208" s="104" t="s">
        <v>259</v>
      </c>
      <c r="J208" s="104" t="s">
        <v>258</v>
      </c>
      <c r="K208" s="269">
        <f t="shared" si="35"/>
        <v>72</v>
      </c>
      <c r="L208" s="269">
        <f t="shared" si="35"/>
        <v>71</v>
      </c>
      <c r="M208" s="269">
        <f t="shared" si="35"/>
        <v>74</v>
      </c>
      <c r="N208" s="269">
        <f t="shared" si="35"/>
        <v>67</v>
      </c>
      <c r="O208" s="269">
        <f t="shared" si="35"/>
        <v>65</v>
      </c>
      <c r="P208" s="269">
        <f t="shared" si="34"/>
        <v>70</v>
      </c>
      <c r="Q208" s="269">
        <f t="shared" si="34"/>
        <v>76</v>
      </c>
      <c r="R208" s="269">
        <f t="shared" si="34"/>
        <v>73</v>
      </c>
      <c r="S208" s="269"/>
      <c r="T208" s="269">
        <f t="shared" si="37"/>
        <v>65</v>
      </c>
      <c r="U208" s="269">
        <f t="shared" si="38"/>
        <v>67</v>
      </c>
      <c r="V208" s="269">
        <f t="shared" si="39"/>
        <v>70</v>
      </c>
      <c r="W208" s="269">
        <f t="shared" si="40"/>
        <v>71</v>
      </c>
      <c r="X208" s="269">
        <f t="shared" si="41"/>
        <v>72</v>
      </c>
      <c r="Y208" s="269">
        <f t="shared" si="42"/>
        <v>73</v>
      </c>
      <c r="Z208" s="269">
        <f t="shared" si="43"/>
        <v>74</v>
      </c>
      <c r="AA208" s="269">
        <f t="shared" si="44"/>
        <v>76</v>
      </c>
    </row>
    <row r="209" spans="1:27">
      <c r="A209" s="104">
        <v>208</v>
      </c>
      <c r="B209" s="104" t="str">
        <f t="shared" si="36"/>
        <v>ACFGHIJK</v>
      </c>
      <c r="C209" s="104" t="s">
        <v>245</v>
      </c>
      <c r="D209" s="104" t="s">
        <v>231</v>
      </c>
      <c r="E209" s="104" t="s">
        <v>232</v>
      </c>
      <c r="F209" s="104" t="s">
        <v>145</v>
      </c>
      <c r="G209" s="104" t="s">
        <v>142</v>
      </c>
      <c r="H209" s="104" t="s">
        <v>152</v>
      </c>
      <c r="I209" s="104" t="s">
        <v>258</v>
      </c>
      <c r="J209" s="104" t="s">
        <v>246</v>
      </c>
      <c r="K209" s="269">
        <f t="shared" si="35"/>
        <v>72</v>
      </c>
      <c r="L209" s="269">
        <f t="shared" si="35"/>
        <v>71</v>
      </c>
      <c r="M209" s="269">
        <f t="shared" si="35"/>
        <v>74</v>
      </c>
      <c r="N209" s="269">
        <f t="shared" si="35"/>
        <v>67</v>
      </c>
      <c r="O209" s="269">
        <f t="shared" si="35"/>
        <v>65</v>
      </c>
      <c r="P209" s="269">
        <f t="shared" si="34"/>
        <v>70</v>
      </c>
      <c r="Q209" s="269">
        <f t="shared" si="34"/>
        <v>73</v>
      </c>
      <c r="R209" s="269">
        <f t="shared" si="34"/>
        <v>75</v>
      </c>
      <c r="S209" s="269"/>
      <c r="T209" s="269">
        <f t="shared" si="37"/>
        <v>65</v>
      </c>
      <c r="U209" s="269">
        <f t="shared" si="38"/>
        <v>67</v>
      </c>
      <c r="V209" s="269">
        <f t="shared" si="39"/>
        <v>70</v>
      </c>
      <c r="W209" s="269">
        <f t="shared" si="40"/>
        <v>71</v>
      </c>
      <c r="X209" s="269">
        <f t="shared" si="41"/>
        <v>72</v>
      </c>
      <c r="Y209" s="269">
        <f t="shared" si="42"/>
        <v>73</v>
      </c>
      <c r="Z209" s="269">
        <f t="shared" si="43"/>
        <v>74</v>
      </c>
      <c r="AA209" s="269">
        <f t="shared" si="44"/>
        <v>75</v>
      </c>
    </row>
    <row r="210" spans="1:27">
      <c r="A210" s="104">
        <v>209</v>
      </c>
      <c r="B210" s="104" t="str">
        <f t="shared" si="36"/>
        <v>ACEHIJKL</v>
      </c>
      <c r="C210" s="104" t="s">
        <v>151</v>
      </c>
      <c r="D210" s="104" t="s">
        <v>232</v>
      </c>
      <c r="E210" s="104" t="s">
        <v>258</v>
      </c>
      <c r="F210" s="104" t="s">
        <v>145</v>
      </c>
      <c r="G210" s="104" t="s">
        <v>142</v>
      </c>
      <c r="H210" s="104" t="s">
        <v>245</v>
      </c>
      <c r="I210" s="104" t="s">
        <v>259</v>
      </c>
      <c r="J210" s="104" t="s">
        <v>246</v>
      </c>
      <c r="K210" s="269">
        <f t="shared" si="35"/>
        <v>69</v>
      </c>
      <c r="L210" s="269">
        <f t="shared" si="35"/>
        <v>74</v>
      </c>
      <c r="M210" s="269">
        <f t="shared" si="35"/>
        <v>73</v>
      </c>
      <c r="N210" s="269">
        <f t="shared" si="35"/>
        <v>67</v>
      </c>
      <c r="O210" s="269">
        <f t="shared" si="35"/>
        <v>65</v>
      </c>
      <c r="P210" s="269">
        <f t="shared" si="34"/>
        <v>72</v>
      </c>
      <c r="Q210" s="269">
        <f t="shared" si="34"/>
        <v>76</v>
      </c>
      <c r="R210" s="269">
        <f t="shared" si="34"/>
        <v>75</v>
      </c>
      <c r="S210" s="269"/>
      <c r="T210" s="269">
        <f t="shared" si="37"/>
        <v>65</v>
      </c>
      <c r="U210" s="269">
        <f t="shared" si="38"/>
        <v>67</v>
      </c>
      <c r="V210" s="269">
        <f t="shared" si="39"/>
        <v>69</v>
      </c>
      <c r="W210" s="269">
        <f t="shared" si="40"/>
        <v>72</v>
      </c>
      <c r="X210" s="269">
        <f t="shared" si="41"/>
        <v>73</v>
      </c>
      <c r="Y210" s="269">
        <f t="shared" si="42"/>
        <v>74</v>
      </c>
      <c r="Z210" s="269">
        <f t="shared" si="43"/>
        <v>75</v>
      </c>
      <c r="AA210" s="269">
        <f t="shared" si="44"/>
        <v>76</v>
      </c>
    </row>
    <row r="211" spans="1:27">
      <c r="A211" s="104">
        <v>210</v>
      </c>
      <c r="B211" s="104" t="str">
        <f t="shared" si="36"/>
        <v>ACEGIJKL</v>
      </c>
      <c r="C211" s="104" t="s">
        <v>151</v>
      </c>
      <c r="D211" s="104" t="s">
        <v>232</v>
      </c>
      <c r="E211" s="104" t="s">
        <v>258</v>
      </c>
      <c r="F211" s="104" t="s">
        <v>145</v>
      </c>
      <c r="G211" s="104" t="s">
        <v>142</v>
      </c>
      <c r="H211" s="104" t="s">
        <v>231</v>
      </c>
      <c r="I211" s="104" t="s">
        <v>259</v>
      </c>
      <c r="J211" s="104" t="s">
        <v>246</v>
      </c>
      <c r="K211" s="269">
        <f t="shared" si="35"/>
        <v>69</v>
      </c>
      <c r="L211" s="269">
        <f t="shared" si="35"/>
        <v>74</v>
      </c>
      <c r="M211" s="269">
        <f t="shared" si="35"/>
        <v>73</v>
      </c>
      <c r="N211" s="269">
        <f t="shared" si="35"/>
        <v>67</v>
      </c>
      <c r="O211" s="269">
        <f t="shared" si="35"/>
        <v>65</v>
      </c>
      <c r="P211" s="269">
        <f t="shared" si="34"/>
        <v>71</v>
      </c>
      <c r="Q211" s="269">
        <f t="shared" si="34"/>
        <v>76</v>
      </c>
      <c r="R211" s="269">
        <f t="shared" si="34"/>
        <v>75</v>
      </c>
      <c r="S211" s="269"/>
      <c r="T211" s="269">
        <f t="shared" si="37"/>
        <v>65</v>
      </c>
      <c r="U211" s="269">
        <f t="shared" si="38"/>
        <v>67</v>
      </c>
      <c r="V211" s="269">
        <f t="shared" si="39"/>
        <v>69</v>
      </c>
      <c r="W211" s="269">
        <f t="shared" si="40"/>
        <v>71</v>
      </c>
      <c r="X211" s="269">
        <f t="shared" si="41"/>
        <v>73</v>
      </c>
      <c r="Y211" s="269">
        <f t="shared" si="42"/>
        <v>74</v>
      </c>
      <c r="Z211" s="269">
        <f t="shared" si="43"/>
        <v>75</v>
      </c>
      <c r="AA211" s="269">
        <f t="shared" si="44"/>
        <v>76</v>
      </c>
    </row>
    <row r="212" spans="1:27">
      <c r="A212" s="104">
        <v>211</v>
      </c>
      <c r="B212" s="104" t="str">
        <f t="shared" si="36"/>
        <v>ACEGHJKL</v>
      </c>
      <c r="C212" s="104" t="s">
        <v>151</v>
      </c>
      <c r="D212" s="104" t="s">
        <v>231</v>
      </c>
      <c r="E212" s="104" t="s">
        <v>232</v>
      </c>
      <c r="F212" s="104" t="s">
        <v>145</v>
      </c>
      <c r="G212" s="104" t="s">
        <v>142</v>
      </c>
      <c r="H212" s="104" t="s">
        <v>245</v>
      </c>
      <c r="I212" s="104" t="s">
        <v>259</v>
      </c>
      <c r="J212" s="104" t="s">
        <v>246</v>
      </c>
      <c r="K212" s="269">
        <f t="shared" si="35"/>
        <v>69</v>
      </c>
      <c r="L212" s="269">
        <f t="shared" si="35"/>
        <v>71</v>
      </c>
      <c r="M212" s="269">
        <f t="shared" si="35"/>
        <v>74</v>
      </c>
      <c r="N212" s="269">
        <f t="shared" si="35"/>
        <v>67</v>
      </c>
      <c r="O212" s="269">
        <f t="shared" si="35"/>
        <v>65</v>
      </c>
      <c r="P212" s="269">
        <f t="shared" si="34"/>
        <v>72</v>
      </c>
      <c r="Q212" s="269">
        <f t="shared" si="34"/>
        <v>76</v>
      </c>
      <c r="R212" s="269">
        <f t="shared" si="34"/>
        <v>75</v>
      </c>
      <c r="S212" s="269"/>
      <c r="T212" s="269">
        <f t="shared" si="37"/>
        <v>65</v>
      </c>
      <c r="U212" s="269">
        <f t="shared" si="38"/>
        <v>67</v>
      </c>
      <c r="V212" s="269">
        <f t="shared" si="39"/>
        <v>69</v>
      </c>
      <c r="W212" s="269">
        <f t="shared" si="40"/>
        <v>71</v>
      </c>
      <c r="X212" s="269">
        <f t="shared" si="41"/>
        <v>72</v>
      </c>
      <c r="Y212" s="269">
        <f t="shared" si="42"/>
        <v>74</v>
      </c>
      <c r="Z212" s="269">
        <f t="shared" si="43"/>
        <v>75</v>
      </c>
      <c r="AA212" s="269">
        <f t="shared" si="44"/>
        <v>76</v>
      </c>
    </row>
    <row r="213" spans="1:27">
      <c r="A213" s="104">
        <v>212</v>
      </c>
      <c r="B213" s="104" t="str">
        <f t="shared" si="36"/>
        <v>ACEGHIKL</v>
      </c>
      <c r="C213" s="104" t="s">
        <v>151</v>
      </c>
      <c r="D213" s="104" t="s">
        <v>231</v>
      </c>
      <c r="E213" s="104" t="s">
        <v>258</v>
      </c>
      <c r="F213" s="104" t="s">
        <v>145</v>
      </c>
      <c r="G213" s="104" t="s">
        <v>142</v>
      </c>
      <c r="H213" s="104" t="s">
        <v>245</v>
      </c>
      <c r="I213" s="104" t="s">
        <v>259</v>
      </c>
      <c r="J213" s="104" t="s">
        <v>246</v>
      </c>
      <c r="K213" s="269">
        <f t="shared" si="35"/>
        <v>69</v>
      </c>
      <c r="L213" s="269">
        <f t="shared" si="35"/>
        <v>71</v>
      </c>
      <c r="M213" s="269">
        <f t="shared" si="35"/>
        <v>73</v>
      </c>
      <c r="N213" s="269">
        <f t="shared" si="35"/>
        <v>67</v>
      </c>
      <c r="O213" s="269">
        <f t="shared" si="35"/>
        <v>65</v>
      </c>
      <c r="P213" s="269">
        <f t="shared" si="34"/>
        <v>72</v>
      </c>
      <c r="Q213" s="269">
        <f t="shared" si="34"/>
        <v>76</v>
      </c>
      <c r="R213" s="269">
        <f t="shared" si="34"/>
        <v>75</v>
      </c>
      <c r="S213" s="269"/>
      <c r="T213" s="269">
        <f t="shared" si="37"/>
        <v>65</v>
      </c>
      <c r="U213" s="269">
        <f t="shared" si="38"/>
        <v>67</v>
      </c>
      <c r="V213" s="269">
        <f t="shared" si="39"/>
        <v>69</v>
      </c>
      <c r="W213" s="269">
        <f t="shared" si="40"/>
        <v>71</v>
      </c>
      <c r="X213" s="269">
        <f t="shared" si="41"/>
        <v>72</v>
      </c>
      <c r="Y213" s="269">
        <f t="shared" si="42"/>
        <v>73</v>
      </c>
      <c r="Z213" s="269">
        <f t="shared" si="43"/>
        <v>75</v>
      </c>
      <c r="AA213" s="269">
        <f t="shared" si="44"/>
        <v>76</v>
      </c>
    </row>
    <row r="214" spans="1:27">
      <c r="A214" s="104">
        <v>213</v>
      </c>
      <c r="B214" s="104" t="str">
        <f t="shared" si="36"/>
        <v>ACEGHIJL</v>
      </c>
      <c r="C214" s="104" t="s">
        <v>151</v>
      </c>
      <c r="D214" s="104" t="s">
        <v>231</v>
      </c>
      <c r="E214" s="104" t="s">
        <v>232</v>
      </c>
      <c r="F214" s="104" t="s">
        <v>145</v>
      </c>
      <c r="G214" s="104" t="s">
        <v>142</v>
      </c>
      <c r="H214" s="104" t="s">
        <v>245</v>
      </c>
      <c r="I214" s="104" t="s">
        <v>259</v>
      </c>
      <c r="J214" s="104" t="s">
        <v>258</v>
      </c>
      <c r="K214" s="269">
        <f t="shared" si="35"/>
        <v>69</v>
      </c>
      <c r="L214" s="269">
        <f t="shared" si="35"/>
        <v>71</v>
      </c>
      <c r="M214" s="269">
        <f t="shared" si="35"/>
        <v>74</v>
      </c>
      <c r="N214" s="269">
        <f t="shared" si="35"/>
        <v>67</v>
      </c>
      <c r="O214" s="269">
        <f t="shared" si="35"/>
        <v>65</v>
      </c>
      <c r="P214" s="269">
        <f t="shared" si="34"/>
        <v>72</v>
      </c>
      <c r="Q214" s="269">
        <f t="shared" si="34"/>
        <v>76</v>
      </c>
      <c r="R214" s="269">
        <f t="shared" si="34"/>
        <v>73</v>
      </c>
      <c r="S214" s="269"/>
      <c r="T214" s="269">
        <f t="shared" si="37"/>
        <v>65</v>
      </c>
      <c r="U214" s="269">
        <f t="shared" si="38"/>
        <v>67</v>
      </c>
      <c r="V214" s="269">
        <f t="shared" si="39"/>
        <v>69</v>
      </c>
      <c r="W214" s="269">
        <f t="shared" si="40"/>
        <v>71</v>
      </c>
      <c r="X214" s="269">
        <f t="shared" si="41"/>
        <v>72</v>
      </c>
      <c r="Y214" s="269">
        <f t="shared" si="42"/>
        <v>73</v>
      </c>
      <c r="Z214" s="269">
        <f t="shared" si="43"/>
        <v>74</v>
      </c>
      <c r="AA214" s="269">
        <f t="shared" si="44"/>
        <v>76</v>
      </c>
    </row>
    <row r="215" spans="1:27">
      <c r="A215" s="104">
        <v>214</v>
      </c>
      <c r="B215" s="104" t="str">
        <f t="shared" si="36"/>
        <v>ACEGHIJK</v>
      </c>
      <c r="C215" s="104" t="s">
        <v>151</v>
      </c>
      <c r="D215" s="104" t="s">
        <v>231</v>
      </c>
      <c r="E215" s="104" t="s">
        <v>232</v>
      </c>
      <c r="F215" s="104" t="s">
        <v>145</v>
      </c>
      <c r="G215" s="104" t="s">
        <v>142</v>
      </c>
      <c r="H215" s="104" t="s">
        <v>245</v>
      </c>
      <c r="I215" s="104" t="s">
        <v>258</v>
      </c>
      <c r="J215" s="104" t="s">
        <v>246</v>
      </c>
      <c r="K215" s="269">
        <f t="shared" si="35"/>
        <v>69</v>
      </c>
      <c r="L215" s="269">
        <f t="shared" si="35"/>
        <v>71</v>
      </c>
      <c r="M215" s="269">
        <f t="shared" si="35"/>
        <v>74</v>
      </c>
      <c r="N215" s="269">
        <f t="shared" si="35"/>
        <v>67</v>
      </c>
      <c r="O215" s="269">
        <f t="shared" si="35"/>
        <v>65</v>
      </c>
      <c r="P215" s="269">
        <f t="shared" si="34"/>
        <v>72</v>
      </c>
      <c r="Q215" s="269">
        <f t="shared" si="34"/>
        <v>73</v>
      </c>
      <c r="R215" s="269">
        <f t="shared" si="34"/>
        <v>75</v>
      </c>
      <c r="S215" s="269"/>
      <c r="T215" s="269">
        <f t="shared" si="37"/>
        <v>65</v>
      </c>
      <c r="U215" s="269">
        <f t="shared" si="38"/>
        <v>67</v>
      </c>
      <c r="V215" s="269">
        <f t="shared" si="39"/>
        <v>69</v>
      </c>
      <c r="W215" s="269">
        <f t="shared" si="40"/>
        <v>71</v>
      </c>
      <c r="X215" s="269">
        <f t="shared" si="41"/>
        <v>72</v>
      </c>
      <c r="Y215" s="269">
        <f t="shared" si="42"/>
        <v>73</v>
      </c>
      <c r="Z215" s="269">
        <f t="shared" si="43"/>
        <v>74</v>
      </c>
      <c r="AA215" s="269">
        <f t="shared" si="44"/>
        <v>75</v>
      </c>
    </row>
    <row r="216" spans="1:27">
      <c r="A216" s="104">
        <v>215</v>
      </c>
      <c r="B216" s="104" t="str">
        <f t="shared" si="36"/>
        <v>ACEFIJKL</v>
      </c>
      <c r="C216" s="104" t="s">
        <v>151</v>
      </c>
      <c r="D216" s="104" t="s">
        <v>232</v>
      </c>
      <c r="E216" s="104" t="s">
        <v>258</v>
      </c>
      <c r="F216" s="104" t="s">
        <v>145</v>
      </c>
      <c r="G216" s="104" t="s">
        <v>142</v>
      </c>
      <c r="H216" s="104" t="s">
        <v>152</v>
      </c>
      <c r="I216" s="104" t="s">
        <v>259</v>
      </c>
      <c r="J216" s="104" t="s">
        <v>246</v>
      </c>
      <c r="K216" s="269">
        <f t="shared" si="35"/>
        <v>69</v>
      </c>
      <c r="L216" s="269">
        <f t="shared" si="35"/>
        <v>74</v>
      </c>
      <c r="M216" s="269">
        <f t="shared" si="35"/>
        <v>73</v>
      </c>
      <c r="N216" s="269">
        <f t="shared" si="35"/>
        <v>67</v>
      </c>
      <c r="O216" s="269">
        <f t="shared" si="35"/>
        <v>65</v>
      </c>
      <c r="P216" s="269">
        <f t="shared" si="34"/>
        <v>70</v>
      </c>
      <c r="Q216" s="269">
        <f t="shared" si="34"/>
        <v>76</v>
      </c>
      <c r="R216" s="269">
        <f t="shared" si="34"/>
        <v>75</v>
      </c>
      <c r="S216" s="269"/>
      <c r="T216" s="269">
        <f t="shared" si="37"/>
        <v>65</v>
      </c>
      <c r="U216" s="269">
        <f t="shared" si="38"/>
        <v>67</v>
      </c>
      <c r="V216" s="269">
        <f t="shared" si="39"/>
        <v>69</v>
      </c>
      <c r="W216" s="269">
        <f t="shared" si="40"/>
        <v>70</v>
      </c>
      <c r="X216" s="269">
        <f t="shared" si="41"/>
        <v>73</v>
      </c>
      <c r="Y216" s="269">
        <f t="shared" si="42"/>
        <v>74</v>
      </c>
      <c r="Z216" s="269">
        <f t="shared" si="43"/>
        <v>75</v>
      </c>
      <c r="AA216" s="269">
        <f t="shared" si="44"/>
        <v>76</v>
      </c>
    </row>
    <row r="217" spans="1:27">
      <c r="A217" s="104">
        <v>216</v>
      </c>
      <c r="B217" s="104" t="str">
        <f t="shared" si="36"/>
        <v>ACEFHJKL</v>
      </c>
      <c r="C217" s="104" t="s">
        <v>245</v>
      </c>
      <c r="D217" s="104" t="s">
        <v>232</v>
      </c>
      <c r="E217" s="104" t="s">
        <v>151</v>
      </c>
      <c r="F217" s="104" t="s">
        <v>145</v>
      </c>
      <c r="G217" s="104" t="s">
        <v>142</v>
      </c>
      <c r="H217" s="104" t="s">
        <v>152</v>
      </c>
      <c r="I217" s="104" t="s">
        <v>259</v>
      </c>
      <c r="J217" s="104" t="s">
        <v>246</v>
      </c>
      <c r="K217" s="269">
        <f t="shared" si="35"/>
        <v>72</v>
      </c>
      <c r="L217" s="269">
        <f t="shared" si="35"/>
        <v>74</v>
      </c>
      <c r="M217" s="269">
        <f t="shared" si="35"/>
        <v>69</v>
      </c>
      <c r="N217" s="269">
        <f t="shared" si="35"/>
        <v>67</v>
      </c>
      <c r="O217" s="269">
        <f t="shared" si="35"/>
        <v>65</v>
      </c>
      <c r="P217" s="269">
        <f t="shared" si="34"/>
        <v>70</v>
      </c>
      <c r="Q217" s="269">
        <f t="shared" si="34"/>
        <v>76</v>
      </c>
      <c r="R217" s="269">
        <f t="shared" si="34"/>
        <v>75</v>
      </c>
      <c r="S217" s="269"/>
      <c r="T217" s="269">
        <f t="shared" si="37"/>
        <v>65</v>
      </c>
      <c r="U217" s="269">
        <f t="shared" si="38"/>
        <v>67</v>
      </c>
      <c r="V217" s="269">
        <f t="shared" si="39"/>
        <v>69</v>
      </c>
      <c r="W217" s="269">
        <f t="shared" si="40"/>
        <v>70</v>
      </c>
      <c r="X217" s="269">
        <f t="shared" si="41"/>
        <v>72</v>
      </c>
      <c r="Y217" s="269">
        <f t="shared" si="42"/>
        <v>74</v>
      </c>
      <c r="Z217" s="269">
        <f t="shared" si="43"/>
        <v>75</v>
      </c>
      <c r="AA217" s="269">
        <f t="shared" si="44"/>
        <v>76</v>
      </c>
    </row>
    <row r="218" spans="1:27">
      <c r="A218" s="104">
        <v>217</v>
      </c>
      <c r="B218" s="104" t="str">
        <f t="shared" si="36"/>
        <v>ACEFHIKL</v>
      </c>
      <c r="C218" s="104" t="s">
        <v>245</v>
      </c>
      <c r="D218" s="104" t="s">
        <v>151</v>
      </c>
      <c r="E218" s="104" t="s">
        <v>258</v>
      </c>
      <c r="F218" s="104" t="s">
        <v>145</v>
      </c>
      <c r="G218" s="104" t="s">
        <v>142</v>
      </c>
      <c r="H218" s="104" t="s">
        <v>152</v>
      </c>
      <c r="I218" s="104" t="s">
        <v>259</v>
      </c>
      <c r="J218" s="104" t="s">
        <v>246</v>
      </c>
      <c r="K218" s="269">
        <f t="shared" si="35"/>
        <v>72</v>
      </c>
      <c r="L218" s="269">
        <f t="shared" si="35"/>
        <v>69</v>
      </c>
      <c r="M218" s="269">
        <f t="shared" si="35"/>
        <v>73</v>
      </c>
      <c r="N218" s="269">
        <f t="shared" si="35"/>
        <v>67</v>
      </c>
      <c r="O218" s="269">
        <f t="shared" si="35"/>
        <v>65</v>
      </c>
      <c r="P218" s="269">
        <f t="shared" si="34"/>
        <v>70</v>
      </c>
      <c r="Q218" s="269">
        <f t="shared" si="34"/>
        <v>76</v>
      </c>
      <c r="R218" s="269">
        <f t="shared" si="34"/>
        <v>75</v>
      </c>
      <c r="S218" s="269"/>
      <c r="T218" s="269">
        <f t="shared" si="37"/>
        <v>65</v>
      </c>
      <c r="U218" s="269">
        <f t="shared" si="38"/>
        <v>67</v>
      </c>
      <c r="V218" s="269">
        <f t="shared" si="39"/>
        <v>69</v>
      </c>
      <c r="W218" s="269">
        <f t="shared" si="40"/>
        <v>70</v>
      </c>
      <c r="X218" s="269">
        <f t="shared" si="41"/>
        <v>72</v>
      </c>
      <c r="Y218" s="269">
        <f t="shared" si="42"/>
        <v>73</v>
      </c>
      <c r="Z218" s="269">
        <f t="shared" si="43"/>
        <v>75</v>
      </c>
      <c r="AA218" s="269">
        <f t="shared" si="44"/>
        <v>76</v>
      </c>
    </row>
    <row r="219" spans="1:27">
      <c r="A219" s="104">
        <v>218</v>
      </c>
      <c r="B219" s="104" t="str">
        <f t="shared" si="36"/>
        <v>ACEFHIJL</v>
      </c>
      <c r="C219" s="104" t="s">
        <v>245</v>
      </c>
      <c r="D219" s="104" t="s">
        <v>232</v>
      </c>
      <c r="E219" s="104" t="s">
        <v>151</v>
      </c>
      <c r="F219" s="104" t="s">
        <v>145</v>
      </c>
      <c r="G219" s="104" t="s">
        <v>142</v>
      </c>
      <c r="H219" s="104" t="s">
        <v>152</v>
      </c>
      <c r="I219" s="104" t="s">
        <v>259</v>
      </c>
      <c r="J219" s="104" t="s">
        <v>258</v>
      </c>
      <c r="K219" s="269">
        <f t="shared" si="35"/>
        <v>72</v>
      </c>
      <c r="L219" s="269">
        <f t="shared" si="35"/>
        <v>74</v>
      </c>
      <c r="M219" s="269">
        <f t="shared" si="35"/>
        <v>69</v>
      </c>
      <c r="N219" s="269">
        <f t="shared" si="35"/>
        <v>67</v>
      </c>
      <c r="O219" s="269">
        <f t="shared" si="35"/>
        <v>65</v>
      </c>
      <c r="P219" s="269">
        <f t="shared" si="34"/>
        <v>70</v>
      </c>
      <c r="Q219" s="269">
        <f t="shared" si="34"/>
        <v>76</v>
      </c>
      <c r="R219" s="269">
        <f t="shared" si="34"/>
        <v>73</v>
      </c>
      <c r="S219" s="269"/>
      <c r="T219" s="269">
        <f t="shared" si="37"/>
        <v>65</v>
      </c>
      <c r="U219" s="269">
        <f t="shared" si="38"/>
        <v>67</v>
      </c>
      <c r="V219" s="269">
        <f t="shared" si="39"/>
        <v>69</v>
      </c>
      <c r="W219" s="269">
        <f t="shared" si="40"/>
        <v>70</v>
      </c>
      <c r="X219" s="269">
        <f t="shared" si="41"/>
        <v>72</v>
      </c>
      <c r="Y219" s="269">
        <f t="shared" si="42"/>
        <v>73</v>
      </c>
      <c r="Z219" s="269">
        <f t="shared" si="43"/>
        <v>74</v>
      </c>
      <c r="AA219" s="269">
        <f t="shared" si="44"/>
        <v>76</v>
      </c>
    </row>
    <row r="220" spans="1:27">
      <c r="A220" s="104">
        <v>219</v>
      </c>
      <c r="B220" s="104" t="str">
        <f t="shared" si="36"/>
        <v>ACEFHIJK</v>
      </c>
      <c r="C220" s="104" t="s">
        <v>245</v>
      </c>
      <c r="D220" s="104" t="s">
        <v>232</v>
      </c>
      <c r="E220" s="104" t="s">
        <v>151</v>
      </c>
      <c r="F220" s="104" t="s">
        <v>145</v>
      </c>
      <c r="G220" s="104" t="s">
        <v>142</v>
      </c>
      <c r="H220" s="104" t="s">
        <v>152</v>
      </c>
      <c r="I220" s="104" t="s">
        <v>258</v>
      </c>
      <c r="J220" s="104" t="s">
        <v>246</v>
      </c>
      <c r="K220" s="269">
        <f t="shared" si="35"/>
        <v>72</v>
      </c>
      <c r="L220" s="269">
        <f t="shared" si="35"/>
        <v>74</v>
      </c>
      <c r="M220" s="269">
        <f t="shared" si="35"/>
        <v>69</v>
      </c>
      <c r="N220" s="269">
        <f t="shared" si="35"/>
        <v>67</v>
      </c>
      <c r="O220" s="269">
        <f t="shared" si="35"/>
        <v>65</v>
      </c>
      <c r="P220" s="269">
        <f t="shared" si="34"/>
        <v>70</v>
      </c>
      <c r="Q220" s="269">
        <f t="shared" si="34"/>
        <v>73</v>
      </c>
      <c r="R220" s="269">
        <f t="shared" si="34"/>
        <v>75</v>
      </c>
      <c r="S220" s="269"/>
      <c r="T220" s="269">
        <f t="shared" si="37"/>
        <v>65</v>
      </c>
      <c r="U220" s="269">
        <f t="shared" si="38"/>
        <v>67</v>
      </c>
      <c r="V220" s="269">
        <f t="shared" si="39"/>
        <v>69</v>
      </c>
      <c r="W220" s="269">
        <f t="shared" si="40"/>
        <v>70</v>
      </c>
      <c r="X220" s="269">
        <f t="shared" si="41"/>
        <v>72</v>
      </c>
      <c r="Y220" s="269">
        <f t="shared" si="42"/>
        <v>73</v>
      </c>
      <c r="Z220" s="269">
        <f t="shared" si="43"/>
        <v>74</v>
      </c>
      <c r="AA220" s="269">
        <f t="shared" si="44"/>
        <v>75</v>
      </c>
    </row>
    <row r="221" spans="1:27">
      <c r="A221" s="104">
        <v>220</v>
      </c>
      <c r="B221" s="104" t="str">
        <f t="shared" si="36"/>
        <v>ACEFGJKL</v>
      </c>
      <c r="C221" s="104" t="s">
        <v>151</v>
      </c>
      <c r="D221" s="104" t="s">
        <v>231</v>
      </c>
      <c r="E221" s="104" t="s">
        <v>232</v>
      </c>
      <c r="F221" s="104" t="s">
        <v>145</v>
      </c>
      <c r="G221" s="104" t="s">
        <v>142</v>
      </c>
      <c r="H221" s="104" t="s">
        <v>152</v>
      </c>
      <c r="I221" s="104" t="s">
        <v>259</v>
      </c>
      <c r="J221" s="104" t="s">
        <v>246</v>
      </c>
      <c r="K221" s="269">
        <f t="shared" si="35"/>
        <v>69</v>
      </c>
      <c r="L221" s="269">
        <f t="shared" si="35"/>
        <v>71</v>
      </c>
      <c r="M221" s="269">
        <f t="shared" si="35"/>
        <v>74</v>
      </c>
      <c r="N221" s="269">
        <f t="shared" si="35"/>
        <v>67</v>
      </c>
      <c r="O221" s="269">
        <f t="shared" si="35"/>
        <v>65</v>
      </c>
      <c r="P221" s="269">
        <f t="shared" si="34"/>
        <v>70</v>
      </c>
      <c r="Q221" s="269">
        <f t="shared" si="34"/>
        <v>76</v>
      </c>
      <c r="R221" s="269">
        <f t="shared" si="34"/>
        <v>75</v>
      </c>
      <c r="S221" s="269"/>
      <c r="T221" s="269">
        <f t="shared" si="37"/>
        <v>65</v>
      </c>
      <c r="U221" s="269">
        <f t="shared" si="38"/>
        <v>67</v>
      </c>
      <c r="V221" s="269">
        <f t="shared" si="39"/>
        <v>69</v>
      </c>
      <c r="W221" s="269">
        <f t="shared" si="40"/>
        <v>70</v>
      </c>
      <c r="X221" s="269">
        <f t="shared" si="41"/>
        <v>71</v>
      </c>
      <c r="Y221" s="269">
        <f t="shared" si="42"/>
        <v>74</v>
      </c>
      <c r="Z221" s="269">
        <f t="shared" si="43"/>
        <v>75</v>
      </c>
      <c r="AA221" s="269">
        <f t="shared" si="44"/>
        <v>76</v>
      </c>
    </row>
    <row r="222" spans="1:27">
      <c r="A222" s="104">
        <v>221</v>
      </c>
      <c r="B222" s="104" t="str">
        <f t="shared" si="36"/>
        <v>ACEFGIKL</v>
      </c>
      <c r="C222" s="104" t="s">
        <v>151</v>
      </c>
      <c r="D222" s="104" t="s">
        <v>231</v>
      </c>
      <c r="E222" s="104" t="s">
        <v>258</v>
      </c>
      <c r="F222" s="104" t="s">
        <v>145</v>
      </c>
      <c r="G222" s="104" t="s">
        <v>142</v>
      </c>
      <c r="H222" s="104" t="s">
        <v>152</v>
      </c>
      <c r="I222" s="104" t="s">
        <v>259</v>
      </c>
      <c r="J222" s="104" t="s">
        <v>246</v>
      </c>
      <c r="K222" s="269">
        <f t="shared" si="35"/>
        <v>69</v>
      </c>
      <c r="L222" s="269">
        <f t="shared" si="35"/>
        <v>71</v>
      </c>
      <c r="M222" s="269">
        <f t="shared" si="35"/>
        <v>73</v>
      </c>
      <c r="N222" s="269">
        <f t="shared" si="35"/>
        <v>67</v>
      </c>
      <c r="O222" s="269">
        <f t="shared" si="35"/>
        <v>65</v>
      </c>
      <c r="P222" s="269">
        <f t="shared" si="34"/>
        <v>70</v>
      </c>
      <c r="Q222" s="269">
        <f t="shared" si="34"/>
        <v>76</v>
      </c>
      <c r="R222" s="269">
        <f t="shared" si="34"/>
        <v>75</v>
      </c>
      <c r="S222" s="269"/>
      <c r="T222" s="269">
        <f t="shared" si="37"/>
        <v>65</v>
      </c>
      <c r="U222" s="269">
        <f t="shared" si="38"/>
        <v>67</v>
      </c>
      <c r="V222" s="269">
        <f t="shared" si="39"/>
        <v>69</v>
      </c>
      <c r="W222" s="269">
        <f t="shared" si="40"/>
        <v>70</v>
      </c>
      <c r="X222" s="269">
        <f t="shared" si="41"/>
        <v>71</v>
      </c>
      <c r="Y222" s="269">
        <f t="shared" si="42"/>
        <v>73</v>
      </c>
      <c r="Z222" s="269">
        <f t="shared" si="43"/>
        <v>75</v>
      </c>
      <c r="AA222" s="269">
        <f t="shared" si="44"/>
        <v>76</v>
      </c>
    </row>
    <row r="223" spans="1:27">
      <c r="A223" s="104">
        <v>222</v>
      </c>
      <c r="B223" s="104" t="str">
        <f t="shared" si="36"/>
        <v>ACEFGIJL</v>
      </c>
      <c r="C223" s="104" t="s">
        <v>151</v>
      </c>
      <c r="D223" s="104" t="s">
        <v>231</v>
      </c>
      <c r="E223" s="104" t="s">
        <v>232</v>
      </c>
      <c r="F223" s="104" t="s">
        <v>145</v>
      </c>
      <c r="G223" s="104" t="s">
        <v>142</v>
      </c>
      <c r="H223" s="104" t="s">
        <v>152</v>
      </c>
      <c r="I223" s="104" t="s">
        <v>259</v>
      </c>
      <c r="J223" s="104" t="s">
        <v>258</v>
      </c>
      <c r="K223" s="269">
        <f t="shared" si="35"/>
        <v>69</v>
      </c>
      <c r="L223" s="269">
        <f t="shared" si="35"/>
        <v>71</v>
      </c>
      <c r="M223" s="269">
        <f t="shared" si="35"/>
        <v>74</v>
      </c>
      <c r="N223" s="269">
        <f t="shared" si="35"/>
        <v>67</v>
      </c>
      <c r="O223" s="269">
        <f t="shared" si="35"/>
        <v>65</v>
      </c>
      <c r="P223" s="269">
        <f t="shared" si="34"/>
        <v>70</v>
      </c>
      <c r="Q223" s="269">
        <f t="shared" si="34"/>
        <v>76</v>
      </c>
      <c r="R223" s="269">
        <f t="shared" si="34"/>
        <v>73</v>
      </c>
      <c r="S223" s="269"/>
      <c r="T223" s="269">
        <f t="shared" si="37"/>
        <v>65</v>
      </c>
      <c r="U223" s="269">
        <f t="shared" si="38"/>
        <v>67</v>
      </c>
      <c r="V223" s="269">
        <f t="shared" si="39"/>
        <v>69</v>
      </c>
      <c r="W223" s="269">
        <f t="shared" si="40"/>
        <v>70</v>
      </c>
      <c r="X223" s="269">
        <f t="shared" si="41"/>
        <v>71</v>
      </c>
      <c r="Y223" s="269">
        <f t="shared" si="42"/>
        <v>73</v>
      </c>
      <c r="Z223" s="269">
        <f t="shared" si="43"/>
        <v>74</v>
      </c>
      <c r="AA223" s="269">
        <f t="shared" si="44"/>
        <v>76</v>
      </c>
    </row>
    <row r="224" spans="1:27">
      <c r="A224" s="104">
        <v>223</v>
      </c>
      <c r="B224" s="104" t="str">
        <f t="shared" si="36"/>
        <v>ACEFGIJK</v>
      </c>
      <c r="C224" s="104" t="s">
        <v>151</v>
      </c>
      <c r="D224" s="104" t="s">
        <v>231</v>
      </c>
      <c r="E224" s="104" t="s">
        <v>232</v>
      </c>
      <c r="F224" s="104" t="s">
        <v>145</v>
      </c>
      <c r="G224" s="104" t="s">
        <v>142</v>
      </c>
      <c r="H224" s="104" t="s">
        <v>152</v>
      </c>
      <c r="I224" s="104" t="s">
        <v>258</v>
      </c>
      <c r="J224" s="104" t="s">
        <v>246</v>
      </c>
      <c r="K224" s="269">
        <f t="shared" si="35"/>
        <v>69</v>
      </c>
      <c r="L224" s="269">
        <f t="shared" si="35"/>
        <v>71</v>
      </c>
      <c r="M224" s="269">
        <f t="shared" si="35"/>
        <v>74</v>
      </c>
      <c r="N224" s="269">
        <f t="shared" si="35"/>
        <v>67</v>
      </c>
      <c r="O224" s="269">
        <f t="shared" si="35"/>
        <v>65</v>
      </c>
      <c r="P224" s="269">
        <f t="shared" si="34"/>
        <v>70</v>
      </c>
      <c r="Q224" s="269">
        <f t="shared" si="34"/>
        <v>73</v>
      </c>
      <c r="R224" s="269">
        <f t="shared" si="34"/>
        <v>75</v>
      </c>
      <c r="S224" s="269"/>
      <c r="T224" s="269">
        <f t="shared" si="37"/>
        <v>65</v>
      </c>
      <c r="U224" s="269">
        <f t="shared" si="38"/>
        <v>67</v>
      </c>
      <c r="V224" s="269">
        <f t="shared" si="39"/>
        <v>69</v>
      </c>
      <c r="W224" s="269">
        <f t="shared" si="40"/>
        <v>70</v>
      </c>
      <c r="X224" s="269">
        <f t="shared" si="41"/>
        <v>71</v>
      </c>
      <c r="Y224" s="269">
        <f t="shared" si="42"/>
        <v>73</v>
      </c>
      <c r="Z224" s="269">
        <f t="shared" si="43"/>
        <v>74</v>
      </c>
      <c r="AA224" s="269">
        <f t="shared" si="44"/>
        <v>75</v>
      </c>
    </row>
    <row r="225" spans="1:27">
      <c r="A225" s="104">
        <v>224</v>
      </c>
      <c r="B225" s="104" t="str">
        <f t="shared" si="36"/>
        <v>ACEFGHKL</v>
      </c>
      <c r="C225" s="104" t="s">
        <v>245</v>
      </c>
      <c r="D225" s="104" t="s">
        <v>231</v>
      </c>
      <c r="E225" s="104" t="s">
        <v>151</v>
      </c>
      <c r="F225" s="104" t="s">
        <v>145</v>
      </c>
      <c r="G225" s="104" t="s">
        <v>142</v>
      </c>
      <c r="H225" s="104" t="s">
        <v>152</v>
      </c>
      <c r="I225" s="104" t="s">
        <v>259</v>
      </c>
      <c r="J225" s="104" t="s">
        <v>246</v>
      </c>
      <c r="K225" s="269">
        <f t="shared" si="35"/>
        <v>72</v>
      </c>
      <c r="L225" s="269">
        <f t="shared" si="35"/>
        <v>71</v>
      </c>
      <c r="M225" s="269">
        <f t="shared" si="35"/>
        <v>69</v>
      </c>
      <c r="N225" s="269">
        <f t="shared" si="35"/>
        <v>67</v>
      </c>
      <c r="O225" s="269">
        <f t="shared" si="35"/>
        <v>65</v>
      </c>
      <c r="P225" s="269">
        <f t="shared" si="34"/>
        <v>70</v>
      </c>
      <c r="Q225" s="269">
        <f t="shared" si="34"/>
        <v>76</v>
      </c>
      <c r="R225" s="269">
        <f t="shared" si="34"/>
        <v>75</v>
      </c>
      <c r="S225" s="269"/>
      <c r="T225" s="269">
        <f t="shared" si="37"/>
        <v>65</v>
      </c>
      <c r="U225" s="269">
        <f t="shared" si="38"/>
        <v>67</v>
      </c>
      <c r="V225" s="269">
        <f t="shared" si="39"/>
        <v>69</v>
      </c>
      <c r="W225" s="269">
        <f t="shared" si="40"/>
        <v>70</v>
      </c>
      <c r="X225" s="269">
        <f t="shared" si="41"/>
        <v>71</v>
      </c>
      <c r="Y225" s="269">
        <f t="shared" si="42"/>
        <v>72</v>
      </c>
      <c r="Z225" s="269">
        <f t="shared" si="43"/>
        <v>75</v>
      </c>
      <c r="AA225" s="269">
        <f t="shared" si="44"/>
        <v>76</v>
      </c>
    </row>
    <row r="226" spans="1:27">
      <c r="A226" s="104">
        <v>225</v>
      </c>
      <c r="B226" s="104" t="str">
        <f t="shared" si="36"/>
        <v>ACEFGHJL</v>
      </c>
      <c r="C226" s="104" t="s">
        <v>245</v>
      </c>
      <c r="D226" s="104" t="s">
        <v>231</v>
      </c>
      <c r="E226" s="104" t="s">
        <v>232</v>
      </c>
      <c r="F226" s="104" t="s">
        <v>145</v>
      </c>
      <c r="G226" s="104" t="s">
        <v>142</v>
      </c>
      <c r="H226" s="104" t="s">
        <v>152</v>
      </c>
      <c r="I226" s="104" t="s">
        <v>259</v>
      </c>
      <c r="J226" s="104" t="s">
        <v>151</v>
      </c>
      <c r="K226" s="269">
        <f t="shared" si="35"/>
        <v>72</v>
      </c>
      <c r="L226" s="269">
        <f t="shared" si="35"/>
        <v>71</v>
      </c>
      <c r="M226" s="269">
        <f t="shared" si="35"/>
        <v>74</v>
      </c>
      <c r="N226" s="269">
        <f t="shared" si="35"/>
        <v>67</v>
      </c>
      <c r="O226" s="269">
        <f t="shared" si="35"/>
        <v>65</v>
      </c>
      <c r="P226" s="269">
        <f t="shared" si="34"/>
        <v>70</v>
      </c>
      <c r="Q226" s="269">
        <f t="shared" si="34"/>
        <v>76</v>
      </c>
      <c r="R226" s="269">
        <f t="shared" si="34"/>
        <v>69</v>
      </c>
      <c r="S226" s="269"/>
      <c r="T226" s="269">
        <f t="shared" si="37"/>
        <v>65</v>
      </c>
      <c r="U226" s="269">
        <f t="shared" si="38"/>
        <v>67</v>
      </c>
      <c r="V226" s="269">
        <f t="shared" si="39"/>
        <v>69</v>
      </c>
      <c r="W226" s="269">
        <f t="shared" si="40"/>
        <v>70</v>
      </c>
      <c r="X226" s="269">
        <f t="shared" si="41"/>
        <v>71</v>
      </c>
      <c r="Y226" s="269">
        <f t="shared" si="42"/>
        <v>72</v>
      </c>
      <c r="Z226" s="269">
        <f t="shared" si="43"/>
        <v>74</v>
      </c>
      <c r="AA226" s="269">
        <f t="shared" si="44"/>
        <v>76</v>
      </c>
    </row>
    <row r="227" spans="1:27">
      <c r="A227" s="104">
        <v>226</v>
      </c>
      <c r="B227" s="104" t="str">
        <f t="shared" si="36"/>
        <v>ACEFGHJK</v>
      </c>
      <c r="C227" s="104" t="s">
        <v>245</v>
      </c>
      <c r="D227" s="104" t="s">
        <v>231</v>
      </c>
      <c r="E227" s="104" t="s">
        <v>232</v>
      </c>
      <c r="F227" s="104" t="s">
        <v>145</v>
      </c>
      <c r="G227" s="104" t="s">
        <v>142</v>
      </c>
      <c r="H227" s="104" t="s">
        <v>152</v>
      </c>
      <c r="I227" s="104" t="s">
        <v>151</v>
      </c>
      <c r="J227" s="104" t="s">
        <v>246</v>
      </c>
      <c r="K227" s="269">
        <f t="shared" si="35"/>
        <v>72</v>
      </c>
      <c r="L227" s="269">
        <f t="shared" si="35"/>
        <v>71</v>
      </c>
      <c r="M227" s="269">
        <f t="shared" si="35"/>
        <v>74</v>
      </c>
      <c r="N227" s="269">
        <f t="shared" si="35"/>
        <v>67</v>
      </c>
      <c r="O227" s="269">
        <f t="shared" si="35"/>
        <v>65</v>
      </c>
      <c r="P227" s="269">
        <f t="shared" si="34"/>
        <v>70</v>
      </c>
      <c r="Q227" s="269">
        <f t="shared" si="34"/>
        <v>69</v>
      </c>
      <c r="R227" s="269">
        <f t="shared" si="34"/>
        <v>75</v>
      </c>
      <c r="S227" s="269"/>
      <c r="T227" s="269">
        <f t="shared" si="37"/>
        <v>65</v>
      </c>
      <c r="U227" s="269">
        <f t="shared" si="38"/>
        <v>67</v>
      </c>
      <c r="V227" s="269">
        <f t="shared" si="39"/>
        <v>69</v>
      </c>
      <c r="W227" s="269">
        <f t="shared" si="40"/>
        <v>70</v>
      </c>
      <c r="X227" s="269">
        <f t="shared" si="41"/>
        <v>71</v>
      </c>
      <c r="Y227" s="269">
        <f t="shared" si="42"/>
        <v>72</v>
      </c>
      <c r="Z227" s="269">
        <f t="shared" si="43"/>
        <v>74</v>
      </c>
      <c r="AA227" s="269">
        <f t="shared" si="44"/>
        <v>75</v>
      </c>
    </row>
    <row r="228" spans="1:27">
      <c r="A228" s="104">
        <v>227</v>
      </c>
      <c r="B228" s="104" t="str">
        <f t="shared" si="36"/>
        <v>ACEFGHIL</v>
      </c>
      <c r="C228" s="104" t="s">
        <v>245</v>
      </c>
      <c r="D228" s="104" t="s">
        <v>231</v>
      </c>
      <c r="E228" s="104" t="s">
        <v>151</v>
      </c>
      <c r="F228" s="104" t="s">
        <v>145</v>
      </c>
      <c r="G228" s="104" t="s">
        <v>142</v>
      </c>
      <c r="H228" s="104" t="s">
        <v>152</v>
      </c>
      <c r="I228" s="104" t="s">
        <v>259</v>
      </c>
      <c r="J228" s="104" t="s">
        <v>258</v>
      </c>
      <c r="K228" s="269">
        <f t="shared" si="35"/>
        <v>72</v>
      </c>
      <c r="L228" s="269">
        <f t="shared" si="35"/>
        <v>71</v>
      </c>
      <c r="M228" s="269">
        <f t="shared" si="35"/>
        <v>69</v>
      </c>
      <c r="N228" s="269">
        <f t="shared" si="35"/>
        <v>67</v>
      </c>
      <c r="O228" s="269">
        <f t="shared" si="35"/>
        <v>65</v>
      </c>
      <c r="P228" s="269">
        <f t="shared" si="34"/>
        <v>70</v>
      </c>
      <c r="Q228" s="269">
        <f t="shared" si="34"/>
        <v>76</v>
      </c>
      <c r="R228" s="269">
        <f t="shared" si="34"/>
        <v>73</v>
      </c>
      <c r="S228" s="269"/>
      <c r="T228" s="269">
        <f t="shared" si="37"/>
        <v>65</v>
      </c>
      <c r="U228" s="269">
        <f t="shared" si="38"/>
        <v>67</v>
      </c>
      <c r="V228" s="269">
        <f t="shared" si="39"/>
        <v>69</v>
      </c>
      <c r="W228" s="269">
        <f t="shared" si="40"/>
        <v>70</v>
      </c>
      <c r="X228" s="269">
        <f t="shared" si="41"/>
        <v>71</v>
      </c>
      <c r="Y228" s="269">
        <f t="shared" si="42"/>
        <v>72</v>
      </c>
      <c r="Z228" s="269">
        <f t="shared" si="43"/>
        <v>73</v>
      </c>
      <c r="AA228" s="269">
        <f t="shared" si="44"/>
        <v>76</v>
      </c>
    </row>
    <row r="229" spans="1:27">
      <c r="A229" s="104">
        <v>228</v>
      </c>
      <c r="B229" s="104" t="str">
        <f t="shared" si="36"/>
        <v>ACEFGHIK</v>
      </c>
      <c r="C229" s="104" t="s">
        <v>245</v>
      </c>
      <c r="D229" s="104" t="s">
        <v>231</v>
      </c>
      <c r="E229" s="104" t="s">
        <v>151</v>
      </c>
      <c r="F229" s="104" t="s">
        <v>145</v>
      </c>
      <c r="G229" s="104" t="s">
        <v>142</v>
      </c>
      <c r="H229" s="104" t="s">
        <v>152</v>
      </c>
      <c r="I229" s="104" t="s">
        <v>258</v>
      </c>
      <c r="J229" s="104" t="s">
        <v>246</v>
      </c>
      <c r="K229" s="269">
        <f t="shared" si="35"/>
        <v>72</v>
      </c>
      <c r="L229" s="269">
        <f t="shared" si="35"/>
        <v>71</v>
      </c>
      <c r="M229" s="269">
        <f t="shared" si="35"/>
        <v>69</v>
      </c>
      <c r="N229" s="269">
        <f t="shared" si="35"/>
        <v>67</v>
      </c>
      <c r="O229" s="269">
        <f t="shared" si="35"/>
        <v>65</v>
      </c>
      <c r="P229" s="269">
        <f t="shared" si="34"/>
        <v>70</v>
      </c>
      <c r="Q229" s="269">
        <f t="shared" si="34"/>
        <v>73</v>
      </c>
      <c r="R229" s="269">
        <f t="shared" si="34"/>
        <v>75</v>
      </c>
      <c r="S229" s="269"/>
      <c r="T229" s="269">
        <f t="shared" si="37"/>
        <v>65</v>
      </c>
      <c r="U229" s="269">
        <f t="shared" si="38"/>
        <v>67</v>
      </c>
      <c r="V229" s="269">
        <f t="shared" si="39"/>
        <v>69</v>
      </c>
      <c r="W229" s="269">
        <f t="shared" si="40"/>
        <v>70</v>
      </c>
      <c r="X229" s="269">
        <f t="shared" si="41"/>
        <v>71</v>
      </c>
      <c r="Y229" s="269">
        <f t="shared" si="42"/>
        <v>72</v>
      </c>
      <c r="Z229" s="269">
        <f t="shared" si="43"/>
        <v>73</v>
      </c>
      <c r="AA229" s="269">
        <f t="shared" si="44"/>
        <v>75</v>
      </c>
    </row>
    <row r="230" spans="1:27">
      <c r="A230" s="104">
        <v>229</v>
      </c>
      <c r="B230" s="104" t="str">
        <f t="shared" si="36"/>
        <v>ACEFGHIJ</v>
      </c>
      <c r="C230" s="104" t="s">
        <v>245</v>
      </c>
      <c r="D230" s="104" t="s">
        <v>231</v>
      </c>
      <c r="E230" s="104" t="s">
        <v>232</v>
      </c>
      <c r="F230" s="104" t="s">
        <v>145</v>
      </c>
      <c r="G230" s="104" t="s">
        <v>142</v>
      </c>
      <c r="H230" s="104" t="s">
        <v>152</v>
      </c>
      <c r="I230" s="104" t="s">
        <v>151</v>
      </c>
      <c r="J230" s="104" t="s">
        <v>258</v>
      </c>
      <c r="K230" s="269">
        <f t="shared" si="35"/>
        <v>72</v>
      </c>
      <c r="L230" s="269">
        <f t="shared" si="35"/>
        <v>71</v>
      </c>
      <c r="M230" s="269">
        <f t="shared" si="35"/>
        <v>74</v>
      </c>
      <c r="N230" s="269">
        <f t="shared" si="35"/>
        <v>67</v>
      </c>
      <c r="O230" s="269">
        <f t="shared" si="35"/>
        <v>65</v>
      </c>
      <c r="P230" s="269">
        <f t="shared" si="34"/>
        <v>70</v>
      </c>
      <c r="Q230" s="269">
        <f t="shared" si="34"/>
        <v>69</v>
      </c>
      <c r="R230" s="269">
        <f t="shared" si="34"/>
        <v>73</v>
      </c>
      <c r="S230" s="269"/>
      <c r="T230" s="269">
        <f t="shared" si="37"/>
        <v>65</v>
      </c>
      <c r="U230" s="269">
        <f t="shared" si="38"/>
        <v>67</v>
      </c>
      <c r="V230" s="269">
        <f t="shared" si="39"/>
        <v>69</v>
      </c>
      <c r="W230" s="269">
        <f t="shared" si="40"/>
        <v>70</v>
      </c>
      <c r="X230" s="269">
        <f t="shared" si="41"/>
        <v>71</v>
      </c>
      <c r="Y230" s="269">
        <f t="shared" si="42"/>
        <v>72</v>
      </c>
      <c r="Z230" s="269">
        <f t="shared" si="43"/>
        <v>73</v>
      </c>
      <c r="AA230" s="269">
        <f t="shared" si="44"/>
        <v>74</v>
      </c>
    </row>
    <row r="231" spans="1:27">
      <c r="A231" s="104">
        <v>230</v>
      </c>
      <c r="B231" s="104" t="str">
        <f t="shared" si="36"/>
        <v>ACDHIJKL</v>
      </c>
      <c r="C231" s="104" t="s">
        <v>245</v>
      </c>
      <c r="D231" s="104" t="s">
        <v>232</v>
      </c>
      <c r="E231" s="104" t="s">
        <v>258</v>
      </c>
      <c r="F231" s="104" t="s">
        <v>145</v>
      </c>
      <c r="G231" s="104" t="s">
        <v>142</v>
      </c>
      <c r="H231" s="104" t="s">
        <v>150</v>
      </c>
      <c r="I231" s="104" t="s">
        <v>259</v>
      </c>
      <c r="J231" s="104" t="s">
        <v>246</v>
      </c>
      <c r="K231" s="269">
        <f t="shared" si="35"/>
        <v>72</v>
      </c>
      <c r="L231" s="269">
        <f t="shared" si="35"/>
        <v>74</v>
      </c>
      <c r="M231" s="269">
        <f t="shared" si="35"/>
        <v>73</v>
      </c>
      <c r="N231" s="269">
        <f t="shared" si="35"/>
        <v>67</v>
      </c>
      <c r="O231" s="269">
        <f t="shared" si="35"/>
        <v>65</v>
      </c>
      <c r="P231" s="269">
        <f t="shared" si="34"/>
        <v>68</v>
      </c>
      <c r="Q231" s="269">
        <f t="shared" si="34"/>
        <v>76</v>
      </c>
      <c r="R231" s="269">
        <f t="shared" si="34"/>
        <v>75</v>
      </c>
      <c r="S231" s="269"/>
      <c r="T231" s="269">
        <f t="shared" si="37"/>
        <v>65</v>
      </c>
      <c r="U231" s="269">
        <f t="shared" si="38"/>
        <v>67</v>
      </c>
      <c r="V231" s="269">
        <f t="shared" si="39"/>
        <v>68</v>
      </c>
      <c r="W231" s="269">
        <f t="shared" si="40"/>
        <v>72</v>
      </c>
      <c r="X231" s="269">
        <f t="shared" si="41"/>
        <v>73</v>
      </c>
      <c r="Y231" s="269">
        <f t="shared" si="42"/>
        <v>74</v>
      </c>
      <c r="Z231" s="269">
        <f t="shared" si="43"/>
        <v>75</v>
      </c>
      <c r="AA231" s="269">
        <f t="shared" si="44"/>
        <v>76</v>
      </c>
    </row>
    <row r="232" spans="1:27">
      <c r="A232" s="104">
        <v>231</v>
      </c>
      <c r="B232" s="104" t="str">
        <f t="shared" si="36"/>
        <v>ACDGIJKL</v>
      </c>
      <c r="C232" s="104" t="s">
        <v>258</v>
      </c>
      <c r="D232" s="104" t="s">
        <v>231</v>
      </c>
      <c r="E232" s="104" t="s">
        <v>232</v>
      </c>
      <c r="F232" s="104" t="s">
        <v>145</v>
      </c>
      <c r="G232" s="104" t="s">
        <v>142</v>
      </c>
      <c r="H232" s="104" t="s">
        <v>150</v>
      </c>
      <c r="I232" s="104" t="s">
        <v>259</v>
      </c>
      <c r="J232" s="104" t="s">
        <v>246</v>
      </c>
      <c r="K232" s="269">
        <f t="shared" si="35"/>
        <v>73</v>
      </c>
      <c r="L232" s="269">
        <f t="shared" si="35"/>
        <v>71</v>
      </c>
      <c r="M232" s="269">
        <f t="shared" si="35"/>
        <v>74</v>
      </c>
      <c r="N232" s="269">
        <f t="shared" si="35"/>
        <v>67</v>
      </c>
      <c r="O232" s="269">
        <f t="shared" si="35"/>
        <v>65</v>
      </c>
      <c r="P232" s="269">
        <f t="shared" si="34"/>
        <v>68</v>
      </c>
      <c r="Q232" s="269">
        <f t="shared" si="34"/>
        <v>76</v>
      </c>
      <c r="R232" s="269">
        <f t="shared" si="34"/>
        <v>75</v>
      </c>
      <c r="S232" s="269"/>
      <c r="T232" s="269">
        <f t="shared" si="37"/>
        <v>65</v>
      </c>
      <c r="U232" s="269">
        <f t="shared" si="38"/>
        <v>67</v>
      </c>
      <c r="V232" s="269">
        <f t="shared" si="39"/>
        <v>68</v>
      </c>
      <c r="W232" s="269">
        <f t="shared" si="40"/>
        <v>71</v>
      </c>
      <c r="X232" s="269">
        <f t="shared" si="41"/>
        <v>73</v>
      </c>
      <c r="Y232" s="269">
        <f t="shared" si="42"/>
        <v>74</v>
      </c>
      <c r="Z232" s="269">
        <f t="shared" si="43"/>
        <v>75</v>
      </c>
      <c r="AA232" s="269">
        <f t="shared" si="44"/>
        <v>76</v>
      </c>
    </row>
    <row r="233" spans="1:27">
      <c r="A233" s="104">
        <v>232</v>
      </c>
      <c r="B233" s="104" t="str">
        <f t="shared" si="36"/>
        <v>ACDGHJKL</v>
      </c>
      <c r="C233" s="104" t="s">
        <v>245</v>
      </c>
      <c r="D233" s="104" t="s">
        <v>231</v>
      </c>
      <c r="E233" s="104" t="s">
        <v>232</v>
      </c>
      <c r="F233" s="104" t="s">
        <v>145</v>
      </c>
      <c r="G233" s="104" t="s">
        <v>142</v>
      </c>
      <c r="H233" s="104" t="s">
        <v>150</v>
      </c>
      <c r="I233" s="104" t="s">
        <v>259</v>
      </c>
      <c r="J233" s="104" t="s">
        <v>246</v>
      </c>
      <c r="K233" s="269">
        <f t="shared" si="35"/>
        <v>72</v>
      </c>
      <c r="L233" s="269">
        <f t="shared" si="35"/>
        <v>71</v>
      </c>
      <c r="M233" s="269">
        <f t="shared" si="35"/>
        <v>74</v>
      </c>
      <c r="N233" s="269">
        <f t="shared" si="35"/>
        <v>67</v>
      </c>
      <c r="O233" s="269">
        <f t="shared" si="35"/>
        <v>65</v>
      </c>
      <c r="P233" s="269">
        <f t="shared" si="34"/>
        <v>68</v>
      </c>
      <c r="Q233" s="269">
        <f t="shared" si="34"/>
        <v>76</v>
      </c>
      <c r="R233" s="269">
        <f t="shared" si="34"/>
        <v>75</v>
      </c>
      <c r="S233" s="269"/>
      <c r="T233" s="269">
        <f t="shared" si="37"/>
        <v>65</v>
      </c>
      <c r="U233" s="269">
        <f t="shared" si="38"/>
        <v>67</v>
      </c>
      <c r="V233" s="269">
        <f t="shared" si="39"/>
        <v>68</v>
      </c>
      <c r="W233" s="269">
        <f t="shared" si="40"/>
        <v>71</v>
      </c>
      <c r="X233" s="269">
        <f t="shared" si="41"/>
        <v>72</v>
      </c>
      <c r="Y233" s="269">
        <f t="shared" si="42"/>
        <v>74</v>
      </c>
      <c r="Z233" s="269">
        <f t="shared" si="43"/>
        <v>75</v>
      </c>
      <c r="AA233" s="269">
        <f t="shared" si="44"/>
        <v>76</v>
      </c>
    </row>
    <row r="234" spans="1:27">
      <c r="A234" s="104">
        <v>233</v>
      </c>
      <c r="B234" s="104" t="str">
        <f t="shared" si="36"/>
        <v>ACDGHIKL</v>
      </c>
      <c r="C234" s="104" t="s">
        <v>245</v>
      </c>
      <c r="D234" s="104" t="s">
        <v>231</v>
      </c>
      <c r="E234" s="104" t="s">
        <v>258</v>
      </c>
      <c r="F234" s="104" t="s">
        <v>145</v>
      </c>
      <c r="G234" s="104" t="s">
        <v>142</v>
      </c>
      <c r="H234" s="104" t="s">
        <v>150</v>
      </c>
      <c r="I234" s="104" t="s">
        <v>259</v>
      </c>
      <c r="J234" s="104" t="s">
        <v>246</v>
      </c>
      <c r="K234" s="269">
        <f t="shared" ref="K234:K268" si="45">CODE(MID(C234,2,1))</f>
        <v>72</v>
      </c>
      <c r="L234" s="269">
        <f t="shared" ref="L234:L268" si="46">CODE(MID(D234,2,1))</f>
        <v>71</v>
      </c>
      <c r="M234" s="269">
        <f t="shared" ref="M234:M268" si="47">CODE(MID(E234,2,1))</f>
        <v>73</v>
      </c>
      <c r="N234" s="269">
        <f t="shared" ref="N234:N268" si="48">CODE(MID(F234,2,1))</f>
        <v>67</v>
      </c>
      <c r="O234" s="269">
        <f t="shared" ref="O234:O268" si="49">CODE(MID(G234,2,1))</f>
        <v>65</v>
      </c>
      <c r="P234" s="269">
        <f t="shared" si="34"/>
        <v>68</v>
      </c>
      <c r="Q234" s="269">
        <f t="shared" si="34"/>
        <v>76</v>
      </c>
      <c r="R234" s="269">
        <f t="shared" si="34"/>
        <v>75</v>
      </c>
      <c r="S234" s="269"/>
      <c r="T234" s="269">
        <f t="shared" si="37"/>
        <v>65</v>
      </c>
      <c r="U234" s="269">
        <f t="shared" si="38"/>
        <v>67</v>
      </c>
      <c r="V234" s="269">
        <f t="shared" si="39"/>
        <v>68</v>
      </c>
      <c r="W234" s="269">
        <f t="shared" si="40"/>
        <v>71</v>
      </c>
      <c r="X234" s="269">
        <f t="shared" si="41"/>
        <v>72</v>
      </c>
      <c r="Y234" s="269">
        <f t="shared" si="42"/>
        <v>73</v>
      </c>
      <c r="Z234" s="269">
        <f t="shared" si="43"/>
        <v>75</v>
      </c>
      <c r="AA234" s="269">
        <f t="shared" si="44"/>
        <v>76</v>
      </c>
    </row>
    <row r="235" spans="1:27">
      <c r="A235" s="104">
        <v>234</v>
      </c>
      <c r="B235" s="104" t="str">
        <f t="shared" si="36"/>
        <v>ACDGHIJL</v>
      </c>
      <c r="C235" s="104" t="s">
        <v>245</v>
      </c>
      <c r="D235" s="104" t="s">
        <v>231</v>
      </c>
      <c r="E235" s="104" t="s">
        <v>232</v>
      </c>
      <c r="F235" s="104" t="s">
        <v>145</v>
      </c>
      <c r="G235" s="104" t="s">
        <v>142</v>
      </c>
      <c r="H235" s="104" t="s">
        <v>150</v>
      </c>
      <c r="I235" s="104" t="s">
        <v>259</v>
      </c>
      <c r="J235" s="104" t="s">
        <v>258</v>
      </c>
      <c r="K235" s="269">
        <f t="shared" si="45"/>
        <v>72</v>
      </c>
      <c r="L235" s="269">
        <f t="shared" si="46"/>
        <v>71</v>
      </c>
      <c r="M235" s="269">
        <f t="shared" si="47"/>
        <v>74</v>
      </c>
      <c r="N235" s="269">
        <f t="shared" si="48"/>
        <v>67</v>
      </c>
      <c r="O235" s="269">
        <f t="shared" si="49"/>
        <v>65</v>
      </c>
      <c r="P235" s="269">
        <f t="shared" si="34"/>
        <v>68</v>
      </c>
      <c r="Q235" s="269">
        <f t="shared" si="34"/>
        <v>76</v>
      </c>
      <c r="R235" s="269">
        <f t="shared" si="34"/>
        <v>73</v>
      </c>
      <c r="S235" s="269"/>
      <c r="T235" s="269">
        <f t="shared" si="37"/>
        <v>65</v>
      </c>
      <c r="U235" s="269">
        <f t="shared" si="38"/>
        <v>67</v>
      </c>
      <c r="V235" s="269">
        <f t="shared" si="39"/>
        <v>68</v>
      </c>
      <c r="W235" s="269">
        <f t="shared" si="40"/>
        <v>71</v>
      </c>
      <c r="X235" s="269">
        <f t="shared" si="41"/>
        <v>72</v>
      </c>
      <c r="Y235" s="269">
        <f t="shared" si="42"/>
        <v>73</v>
      </c>
      <c r="Z235" s="269">
        <f t="shared" si="43"/>
        <v>74</v>
      </c>
      <c r="AA235" s="269">
        <f t="shared" si="44"/>
        <v>76</v>
      </c>
    </row>
    <row r="236" spans="1:27">
      <c r="A236" s="104">
        <v>235</v>
      </c>
      <c r="B236" s="104" t="str">
        <f t="shared" si="36"/>
        <v>ACDGHIJK</v>
      </c>
      <c r="C236" s="104" t="s">
        <v>245</v>
      </c>
      <c r="D236" s="104" t="s">
        <v>231</v>
      </c>
      <c r="E236" s="104" t="s">
        <v>232</v>
      </c>
      <c r="F236" s="104" t="s">
        <v>145</v>
      </c>
      <c r="G236" s="104" t="s">
        <v>142</v>
      </c>
      <c r="H236" s="104" t="s">
        <v>150</v>
      </c>
      <c r="I236" s="104" t="s">
        <v>258</v>
      </c>
      <c r="J236" s="104" t="s">
        <v>246</v>
      </c>
      <c r="K236" s="269">
        <f t="shared" si="45"/>
        <v>72</v>
      </c>
      <c r="L236" s="269">
        <f t="shared" si="46"/>
        <v>71</v>
      </c>
      <c r="M236" s="269">
        <f t="shared" si="47"/>
        <v>74</v>
      </c>
      <c r="N236" s="269">
        <f t="shared" si="48"/>
        <v>67</v>
      </c>
      <c r="O236" s="269">
        <f t="shared" si="49"/>
        <v>65</v>
      </c>
      <c r="P236" s="269">
        <f t="shared" si="34"/>
        <v>68</v>
      </c>
      <c r="Q236" s="269">
        <f t="shared" si="34"/>
        <v>73</v>
      </c>
      <c r="R236" s="269">
        <f t="shared" si="34"/>
        <v>75</v>
      </c>
      <c r="S236" s="269"/>
      <c r="T236" s="269">
        <f t="shared" si="37"/>
        <v>65</v>
      </c>
      <c r="U236" s="269">
        <f t="shared" si="38"/>
        <v>67</v>
      </c>
      <c r="V236" s="269">
        <f t="shared" si="39"/>
        <v>68</v>
      </c>
      <c r="W236" s="269">
        <f t="shared" si="40"/>
        <v>71</v>
      </c>
      <c r="X236" s="269">
        <f t="shared" si="41"/>
        <v>72</v>
      </c>
      <c r="Y236" s="269">
        <f t="shared" si="42"/>
        <v>73</v>
      </c>
      <c r="Z236" s="269">
        <f t="shared" si="43"/>
        <v>74</v>
      </c>
      <c r="AA236" s="269">
        <f t="shared" si="44"/>
        <v>75</v>
      </c>
    </row>
    <row r="237" spans="1:27">
      <c r="A237" s="104">
        <v>236</v>
      </c>
      <c r="B237" s="104" t="str">
        <f t="shared" si="36"/>
        <v>ACDFIJKL</v>
      </c>
      <c r="C237" s="104" t="s">
        <v>145</v>
      </c>
      <c r="D237" s="104" t="s">
        <v>232</v>
      </c>
      <c r="E237" s="104" t="s">
        <v>258</v>
      </c>
      <c r="F237" s="104" t="s">
        <v>150</v>
      </c>
      <c r="G237" s="104" t="s">
        <v>142</v>
      </c>
      <c r="H237" s="104" t="s">
        <v>152</v>
      </c>
      <c r="I237" s="104" t="s">
        <v>259</v>
      </c>
      <c r="J237" s="104" t="s">
        <v>246</v>
      </c>
      <c r="K237" s="269">
        <f t="shared" si="45"/>
        <v>67</v>
      </c>
      <c r="L237" s="269">
        <f t="shared" si="46"/>
        <v>74</v>
      </c>
      <c r="M237" s="269">
        <f t="shared" si="47"/>
        <v>73</v>
      </c>
      <c r="N237" s="269">
        <f t="shared" si="48"/>
        <v>68</v>
      </c>
      <c r="O237" s="269">
        <f t="shared" si="49"/>
        <v>65</v>
      </c>
      <c r="P237" s="269">
        <f t="shared" si="34"/>
        <v>70</v>
      </c>
      <c r="Q237" s="269">
        <f t="shared" si="34"/>
        <v>76</v>
      </c>
      <c r="R237" s="269">
        <f t="shared" si="34"/>
        <v>75</v>
      </c>
      <c r="S237" s="269"/>
      <c r="T237" s="269">
        <f t="shared" si="37"/>
        <v>65</v>
      </c>
      <c r="U237" s="269">
        <f t="shared" si="38"/>
        <v>67</v>
      </c>
      <c r="V237" s="269">
        <f t="shared" si="39"/>
        <v>68</v>
      </c>
      <c r="W237" s="269">
        <f t="shared" si="40"/>
        <v>70</v>
      </c>
      <c r="X237" s="269">
        <f t="shared" si="41"/>
        <v>73</v>
      </c>
      <c r="Y237" s="269">
        <f t="shared" si="42"/>
        <v>74</v>
      </c>
      <c r="Z237" s="269">
        <f t="shared" si="43"/>
        <v>75</v>
      </c>
      <c r="AA237" s="269">
        <f t="shared" si="44"/>
        <v>76</v>
      </c>
    </row>
    <row r="238" spans="1:27">
      <c r="A238" s="104">
        <v>237</v>
      </c>
      <c r="B238" s="104" t="str">
        <f t="shared" si="36"/>
        <v>ACDFHJKL</v>
      </c>
      <c r="C238" s="104" t="s">
        <v>245</v>
      </c>
      <c r="D238" s="104" t="s">
        <v>232</v>
      </c>
      <c r="E238" s="104" t="s">
        <v>152</v>
      </c>
      <c r="F238" s="104" t="s">
        <v>145</v>
      </c>
      <c r="G238" s="104" t="s">
        <v>142</v>
      </c>
      <c r="H238" s="104" t="s">
        <v>150</v>
      </c>
      <c r="I238" s="104" t="s">
        <v>259</v>
      </c>
      <c r="J238" s="104" t="s">
        <v>246</v>
      </c>
      <c r="K238" s="269">
        <f t="shared" si="45"/>
        <v>72</v>
      </c>
      <c r="L238" s="269">
        <f t="shared" si="46"/>
        <v>74</v>
      </c>
      <c r="M238" s="269">
        <f t="shared" si="47"/>
        <v>70</v>
      </c>
      <c r="N238" s="269">
        <f t="shared" si="48"/>
        <v>67</v>
      </c>
      <c r="O238" s="269">
        <f t="shared" si="49"/>
        <v>65</v>
      </c>
      <c r="P238" s="269">
        <f t="shared" si="34"/>
        <v>68</v>
      </c>
      <c r="Q238" s="269">
        <f t="shared" si="34"/>
        <v>76</v>
      </c>
      <c r="R238" s="269">
        <f t="shared" si="34"/>
        <v>75</v>
      </c>
      <c r="S238" s="269"/>
      <c r="T238" s="269">
        <f t="shared" si="37"/>
        <v>65</v>
      </c>
      <c r="U238" s="269">
        <f t="shared" si="38"/>
        <v>67</v>
      </c>
      <c r="V238" s="269">
        <f t="shared" si="39"/>
        <v>68</v>
      </c>
      <c r="W238" s="269">
        <f t="shared" si="40"/>
        <v>70</v>
      </c>
      <c r="X238" s="269">
        <f t="shared" si="41"/>
        <v>72</v>
      </c>
      <c r="Y238" s="269">
        <f t="shared" si="42"/>
        <v>74</v>
      </c>
      <c r="Z238" s="269">
        <f t="shared" si="43"/>
        <v>75</v>
      </c>
      <c r="AA238" s="269">
        <f t="shared" si="44"/>
        <v>76</v>
      </c>
    </row>
    <row r="239" spans="1:27">
      <c r="A239" s="104">
        <v>238</v>
      </c>
      <c r="B239" s="104" t="str">
        <f t="shared" si="36"/>
        <v>ACDFHIKL</v>
      </c>
      <c r="C239" s="104" t="s">
        <v>245</v>
      </c>
      <c r="D239" s="104" t="s">
        <v>152</v>
      </c>
      <c r="E239" s="104" t="s">
        <v>258</v>
      </c>
      <c r="F239" s="104" t="s">
        <v>145</v>
      </c>
      <c r="G239" s="104" t="s">
        <v>142</v>
      </c>
      <c r="H239" s="104" t="s">
        <v>150</v>
      </c>
      <c r="I239" s="104" t="s">
        <v>259</v>
      </c>
      <c r="J239" s="104" t="s">
        <v>246</v>
      </c>
      <c r="K239" s="269">
        <f t="shared" si="45"/>
        <v>72</v>
      </c>
      <c r="L239" s="269">
        <f t="shared" si="46"/>
        <v>70</v>
      </c>
      <c r="M239" s="269">
        <f t="shared" si="47"/>
        <v>73</v>
      </c>
      <c r="N239" s="269">
        <f t="shared" si="48"/>
        <v>67</v>
      </c>
      <c r="O239" s="269">
        <f t="shared" si="49"/>
        <v>65</v>
      </c>
      <c r="P239" s="269">
        <f t="shared" si="34"/>
        <v>68</v>
      </c>
      <c r="Q239" s="269">
        <f t="shared" si="34"/>
        <v>76</v>
      </c>
      <c r="R239" s="269">
        <f t="shared" si="34"/>
        <v>75</v>
      </c>
      <c r="S239" s="269"/>
      <c r="T239" s="269">
        <f t="shared" si="37"/>
        <v>65</v>
      </c>
      <c r="U239" s="269">
        <f t="shared" si="38"/>
        <v>67</v>
      </c>
      <c r="V239" s="269">
        <f t="shared" si="39"/>
        <v>68</v>
      </c>
      <c r="W239" s="269">
        <f t="shared" si="40"/>
        <v>70</v>
      </c>
      <c r="X239" s="269">
        <f t="shared" si="41"/>
        <v>72</v>
      </c>
      <c r="Y239" s="269">
        <f t="shared" si="42"/>
        <v>73</v>
      </c>
      <c r="Z239" s="269">
        <f t="shared" si="43"/>
        <v>75</v>
      </c>
      <c r="AA239" s="269">
        <f t="shared" si="44"/>
        <v>76</v>
      </c>
    </row>
    <row r="240" spans="1:27">
      <c r="A240" s="104">
        <v>239</v>
      </c>
      <c r="B240" s="104" t="str">
        <f t="shared" si="36"/>
        <v>ACDFHIJL</v>
      </c>
      <c r="C240" s="104" t="s">
        <v>245</v>
      </c>
      <c r="D240" s="104" t="s">
        <v>232</v>
      </c>
      <c r="E240" s="104" t="s">
        <v>152</v>
      </c>
      <c r="F240" s="104" t="s">
        <v>145</v>
      </c>
      <c r="G240" s="104" t="s">
        <v>142</v>
      </c>
      <c r="H240" s="104" t="s">
        <v>150</v>
      </c>
      <c r="I240" s="104" t="s">
        <v>259</v>
      </c>
      <c r="J240" s="104" t="s">
        <v>258</v>
      </c>
      <c r="K240" s="269">
        <f t="shared" si="45"/>
        <v>72</v>
      </c>
      <c r="L240" s="269">
        <f t="shared" si="46"/>
        <v>74</v>
      </c>
      <c r="M240" s="269">
        <f t="shared" si="47"/>
        <v>70</v>
      </c>
      <c r="N240" s="269">
        <f t="shared" si="48"/>
        <v>67</v>
      </c>
      <c r="O240" s="269">
        <f t="shared" si="49"/>
        <v>65</v>
      </c>
      <c r="P240" s="269">
        <f t="shared" si="34"/>
        <v>68</v>
      </c>
      <c r="Q240" s="269">
        <f t="shared" si="34"/>
        <v>76</v>
      </c>
      <c r="R240" s="269">
        <f t="shared" si="34"/>
        <v>73</v>
      </c>
      <c r="S240" s="269"/>
      <c r="T240" s="269">
        <f t="shared" si="37"/>
        <v>65</v>
      </c>
      <c r="U240" s="269">
        <f t="shared" si="38"/>
        <v>67</v>
      </c>
      <c r="V240" s="269">
        <f t="shared" si="39"/>
        <v>68</v>
      </c>
      <c r="W240" s="269">
        <f t="shared" si="40"/>
        <v>70</v>
      </c>
      <c r="X240" s="269">
        <f t="shared" si="41"/>
        <v>72</v>
      </c>
      <c r="Y240" s="269">
        <f t="shared" si="42"/>
        <v>73</v>
      </c>
      <c r="Z240" s="269">
        <f t="shared" si="43"/>
        <v>74</v>
      </c>
      <c r="AA240" s="269">
        <f t="shared" si="44"/>
        <v>76</v>
      </c>
    </row>
    <row r="241" spans="1:27">
      <c r="A241" s="104">
        <v>240</v>
      </c>
      <c r="B241" s="104" t="str">
        <f t="shared" si="36"/>
        <v>ACDFHIJK</v>
      </c>
      <c r="C241" s="104" t="s">
        <v>245</v>
      </c>
      <c r="D241" s="104" t="s">
        <v>232</v>
      </c>
      <c r="E241" s="104" t="s">
        <v>152</v>
      </c>
      <c r="F241" s="104" t="s">
        <v>145</v>
      </c>
      <c r="G241" s="104" t="s">
        <v>142</v>
      </c>
      <c r="H241" s="104" t="s">
        <v>150</v>
      </c>
      <c r="I241" s="104" t="s">
        <v>258</v>
      </c>
      <c r="J241" s="104" t="s">
        <v>246</v>
      </c>
      <c r="K241" s="269">
        <f t="shared" si="45"/>
        <v>72</v>
      </c>
      <c r="L241" s="269">
        <f t="shared" si="46"/>
        <v>74</v>
      </c>
      <c r="M241" s="269">
        <f t="shared" si="47"/>
        <v>70</v>
      </c>
      <c r="N241" s="269">
        <f t="shared" si="48"/>
        <v>67</v>
      </c>
      <c r="O241" s="269">
        <f t="shared" si="49"/>
        <v>65</v>
      </c>
      <c r="P241" s="269">
        <f t="shared" si="34"/>
        <v>68</v>
      </c>
      <c r="Q241" s="269">
        <f t="shared" si="34"/>
        <v>73</v>
      </c>
      <c r="R241" s="269">
        <f t="shared" si="34"/>
        <v>75</v>
      </c>
      <c r="S241" s="269"/>
      <c r="T241" s="269">
        <f t="shared" si="37"/>
        <v>65</v>
      </c>
      <c r="U241" s="269">
        <f t="shared" si="38"/>
        <v>67</v>
      </c>
      <c r="V241" s="269">
        <f t="shared" si="39"/>
        <v>68</v>
      </c>
      <c r="W241" s="269">
        <f t="shared" si="40"/>
        <v>70</v>
      </c>
      <c r="X241" s="269">
        <f t="shared" si="41"/>
        <v>72</v>
      </c>
      <c r="Y241" s="269">
        <f t="shared" si="42"/>
        <v>73</v>
      </c>
      <c r="Z241" s="269">
        <f t="shared" si="43"/>
        <v>74</v>
      </c>
      <c r="AA241" s="269">
        <f t="shared" si="44"/>
        <v>75</v>
      </c>
    </row>
    <row r="242" spans="1:27">
      <c r="A242" s="104">
        <v>241</v>
      </c>
      <c r="B242" s="104" t="str">
        <f t="shared" si="36"/>
        <v>ACDFGJKL</v>
      </c>
      <c r="C242" s="104" t="s">
        <v>145</v>
      </c>
      <c r="D242" s="104" t="s">
        <v>231</v>
      </c>
      <c r="E242" s="104" t="s">
        <v>232</v>
      </c>
      <c r="F242" s="104" t="s">
        <v>150</v>
      </c>
      <c r="G242" s="104" t="s">
        <v>142</v>
      </c>
      <c r="H242" s="104" t="s">
        <v>152</v>
      </c>
      <c r="I242" s="104" t="s">
        <v>259</v>
      </c>
      <c r="J242" s="104" t="s">
        <v>246</v>
      </c>
      <c r="K242" s="269">
        <f t="shared" si="45"/>
        <v>67</v>
      </c>
      <c r="L242" s="269">
        <f t="shared" si="46"/>
        <v>71</v>
      </c>
      <c r="M242" s="269">
        <f t="shared" si="47"/>
        <v>74</v>
      </c>
      <c r="N242" s="269">
        <f t="shared" si="48"/>
        <v>68</v>
      </c>
      <c r="O242" s="269">
        <f t="shared" si="49"/>
        <v>65</v>
      </c>
      <c r="P242" s="269">
        <f t="shared" ref="P242:P267" si="50">CODE(MID(H242,2,1))</f>
        <v>70</v>
      </c>
      <c r="Q242" s="269">
        <f t="shared" ref="Q242:Q267" si="51">CODE(MID(I242,2,1))</f>
        <v>76</v>
      </c>
      <c r="R242" s="269">
        <f t="shared" ref="R242:R267" si="52">CODE(MID(J242,2,1))</f>
        <v>75</v>
      </c>
      <c r="S242" s="269"/>
      <c r="T242" s="269">
        <f t="shared" si="37"/>
        <v>65</v>
      </c>
      <c r="U242" s="269">
        <f t="shared" si="38"/>
        <v>67</v>
      </c>
      <c r="V242" s="269">
        <f t="shared" si="39"/>
        <v>68</v>
      </c>
      <c r="W242" s="269">
        <f t="shared" si="40"/>
        <v>70</v>
      </c>
      <c r="X242" s="269">
        <f t="shared" si="41"/>
        <v>71</v>
      </c>
      <c r="Y242" s="269">
        <f t="shared" si="42"/>
        <v>74</v>
      </c>
      <c r="Z242" s="269">
        <f t="shared" si="43"/>
        <v>75</v>
      </c>
      <c r="AA242" s="269">
        <f t="shared" si="44"/>
        <v>76</v>
      </c>
    </row>
    <row r="243" spans="1:27">
      <c r="A243" s="104">
        <v>242</v>
      </c>
      <c r="B243" s="104" t="str">
        <f t="shared" si="36"/>
        <v>ACDFGIKL</v>
      </c>
      <c r="C243" s="104" t="s">
        <v>145</v>
      </c>
      <c r="D243" s="104" t="s">
        <v>231</v>
      </c>
      <c r="E243" s="104" t="s">
        <v>258</v>
      </c>
      <c r="F243" s="104" t="s">
        <v>150</v>
      </c>
      <c r="G243" s="104" t="s">
        <v>142</v>
      </c>
      <c r="H243" s="104" t="s">
        <v>152</v>
      </c>
      <c r="I243" s="104" t="s">
        <v>259</v>
      </c>
      <c r="J243" s="104" t="s">
        <v>246</v>
      </c>
      <c r="K243" s="269">
        <f t="shared" si="45"/>
        <v>67</v>
      </c>
      <c r="L243" s="269">
        <f t="shared" si="46"/>
        <v>71</v>
      </c>
      <c r="M243" s="269">
        <f t="shared" si="47"/>
        <v>73</v>
      </c>
      <c r="N243" s="269">
        <f t="shared" si="48"/>
        <v>68</v>
      </c>
      <c r="O243" s="269">
        <f t="shared" si="49"/>
        <v>65</v>
      </c>
      <c r="P243" s="269">
        <f t="shared" si="50"/>
        <v>70</v>
      </c>
      <c r="Q243" s="269">
        <f t="shared" si="51"/>
        <v>76</v>
      </c>
      <c r="R243" s="269">
        <f t="shared" si="52"/>
        <v>75</v>
      </c>
      <c r="S243" s="269"/>
      <c r="T243" s="269">
        <f t="shared" si="37"/>
        <v>65</v>
      </c>
      <c r="U243" s="269">
        <f t="shared" si="38"/>
        <v>67</v>
      </c>
      <c r="V243" s="269">
        <f t="shared" si="39"/>
        <v>68</v>
      </c>
      <c r="W243" s="269">
        <f t="shared" si="40"/>
        <v>70</v>
      </c>
      <c r="X243" s="269">
        <f t="shared" si="41"/>
        <v>71</v>
      </c>
      <c r="Y243" s="269">
        <f t="shared" si="42"/>
        <v>73</v>
      </c>
      <c r="Z243" s="269">
        <f t="shared" si="43"/>
        <v>75</v>
      </c>
      <c r="AA243" s="269">
        <f t="shared" si="44"/>
        <v>76</v>
      </c>
    </row>
    <row r="244" spans="1:27">
      <c r="A244" s="104">
        <v>243</v>
      </c>
      <c r="B244" s="104" t="str">
        <f t="shared" si="36"/>
        <v>ACDFGIJL</v>
      </c>
      <c r="C244" s="104" t="s">
        <v>145</v>
      </c>
      <c r="D244" s="104" t="s">
        <v>231</v>
      </c>
      <c r="E244" s="104" t="s">
        <v>232</v>
      </c>
      <c r="F244" s="104" t="s">
        <v>150</v>
      </c>
      <c r="G244" s="104" t="s">
        <v>142</v>
      </c>
      <c r="H244" s="104" t="s">
        <v>152</v>
      </c>
      <c r="I244" s="104" t="s">
        <v>259</v>
      </c>
      <c r="J244" s="104" t="s">
        <v>258</v>
      </c>
      <c r="K244" s="269">
        <f t="shared" si="45"/>
        <v>67</v>
      </c>
      <c r="L244" s="269">
        <f t="shared" si="46"/>
        <v>71</v>
      </c>
      <c r="M244" s="269">
        <f t="shared" si="47"/>
        <v>74</v>
      </c>
      <c r="N244" s="269">
        <f t="shared" si="48"/>
        <v>68</v>
      </c>
      <c r="O244" s="269">
        <f t="shared" si="49"/>
        <v>65</v>
      </c>
      <c r="P244" s="269">
        <f t="shared" si="50"/>
        <v>70</v>
      </c>
      <c r="Q244" s="269">
        <f t="shared" si="51"/>
        <v>76</v>
      </c>
      <c r="R244" s="269">
        <f t="shared" si="52"/>
        <v>73</v>
      </c>
      <c r="S244" s="269"/>
      <c r="T244" s="269">
        <f t="shared" si="37"/>
        <v>65</v>
      </c>
      <c r="U244" s="269">
        <f t="shared" si="38"/>
        <v>67</v>
      </c>
      <c r="V244" s="269">
        <f t="shared" si="39"/>
        <v>68</v>
      </c>
      <c r="W244" s="269">
        <f t="shared" si="40"/>
        <v>70</v>
      </c>
      <c r="X244" s="269">
        <f t="shared" si="41"/>
        <v>71</v>
      </c>
      <c r="Y244" s="269">
        <f t="shared" si="42"/>
        <v>73</v>
      </c>
      <c r="Z244" s="269">
        <f t="shared" si="43"/>
        <v>74</v>
      </c>
      <c r="AA244" s="269">
        <f t="shared" si="44"/>
        <v>76</v>
      </c>
    </row>
    <row r="245" spans="1:27">
      <c r="A245" s="104">
        <v>244</v>
      </c>
      <c r="B245" s="104" t="str">
        <f t="shared" si="36"/>
        <v>ACDFGIJK</v>
      </c>
      <c r="C245" s="104" t="s">
        <v>145</v>
      </c>
      <c r="D245" s="104" t="s">
        <v>231</v>
      </c>
      <c r="E245" s="104" t="s">
        <v>232</v>
      </c>
      <c r="F245" s="104" t="s">
        <v>150</v>
      </c>
      <c r="G245" s="104" t="s">
        <v>142</v>
      </c>
      <c r="H245" s="104" t="s">
        <v>152</v>
      </c>
      <c r="I245" s="104" t="s">
        <v>258</v>
      </c>
      <c r="J245" s="104" t="s">
        <v>246</v>
      </c>
      <c r="K245" s="269">
        <f t="shared" si="45"/>
        <v>67</v>
      </c>
      <c r="L245" s="269">
        <f t="shared" si="46"/>
        <v>71</v>
      </c>
      <c r="M245" s="269">
        <f t="shared" si="47"/>
        <v>74</v>
      </c>
      <c r="N245" s="269">
        <f t="shared" si="48"/>
        <v>68</v>
      </c>
      <c r="O245" s="269">
        <f t="shared" si="49"/>
        <v>65</v>
      </c>
      <c r="P245" s="269">
        <f t="shared" si="50"/>
        <v>70</v>
      </c>
      <c r="Q245" s="269">
        <f t="shared" si="51"/>
        <v>73</v>
      </c>
      <c r="R245" s="269">
        <f t="shared" si="52"/>
        <v>75</v>
      </c>
      <c r="S245" s="269"/>
      <c r="T245" s="269">
        <f t="shared" si="37"/>
        <v>65</v>
      </c>
      <c r="U245" s="269">
        <f t="shared" si="38"/>
        <v>67</v>
      </c>
      <c r="V245" s="269">
        <f t="shared" si="39"/>
        <v>68</v>
      </c>
      <c r="W245" s="269">
        <f t="shared" si="40"/>
        <v>70</v>
      </c>
      <c r="X245" s="269">
        <f t="shared" si="41"/>
        <v>71</v>
      </c>
      <c r="Y245" s="269">
        <f t="shared" si="42"/>
        <v>73</v>
      </c>
      <c r="Z245" s="269">
        <f t="shared" si="43"/>
        <v>74</v>
      </c>
      <c r="AA245" s="269">
        <f t="shared" si="44"/>
        <v>75</v>
      </c>
    </row>
    <row r="246" spans="1:27">
      <c r="A246" s="104">
        <v>245</v>
      </c>
      <c r="B246" s="104" t="str">
        <f t="shared" si="36"/>
        <v>ACDFGHKL</v>
      </c>
      <c r="C246" s="104" t="s">
        <v>245</v>
      </c>
      <c r="D246" s="104" t="s">
        <v>231</v>
      </c>
      <c r="E246" s="104" t="s">
        <v>152</v>
      </c>
      <c r="F246" s="104" t="s">
        <v>145</v>
      </c>
      <c r="G246" s="104" t="s">
        <v>142</v>
      </c>
      <c r="H246" s="104" t="s">
        <v>150</v>
      </c>
      <c r="I246" s="104" t="s">
        <v>259</v>
      </c>
      <c r="J246" s="104" t="s">
        <v>246</v>
      </c>
      <c r="K246" s="269">
        <f t="shared" si="45"/>
        <v>72</v>
      </c>
      <c r="L246" s="269">
        <f t="shared" si="46"/>
        <v>71</v>
      </c>
      <c r="M246" s="269">
        <f t="shared" si="47"/>
        <v>70</v>
      </c>
      <c r="N246" s="269">
        <f t="shared" si="48"/>
        <v>67</v>
      </c>
      <c r="O246" s="269">
        <f t="shared" si="49"/>
        <v>65</v>
      </c>
      <c r="P246" s="269">
        <f t="shared" si="50"/>
        <v>68</v>
      </c>
      <c r="Q246" s="269">
        <f t="shared" si="51"/>
        <v>76</v>
      </c>
      <c r="R246" s="269">
        <f t="shared" si="52"/>
        <v>75</v>
      </c>
      <c r="S246" s="269"/>
      <c r="T246" s="269">
        <f t="shared" si="37"/>
        <v>65</v>
      </c>
      <c r="U246" s="269">
        <f t="shared" si="38"/>
        <v>67</v>
      </c>
      <c r="V246" s="269">
        <f t="shared" si="39"/>
        <v>68</v>
      </c>
      <c r="W246" s="269">
        <f t="shared" si="40"/>
        <v>70</v>
      </c>
      <c r="X246" s="269">
        <f t="shared" si="41"/>
        <v>71</v>
      </c>
      <c r="Y246" s="269">
        <f t="shared" si="42"/>
        <v>72</v>
      </c>
      <c r="Z246" s="269">
        <f t="shared" si="43"/>
        <v>75</v>
      </c>
      <c r="AA246" s="269">
        <f t="shared" si="44"/>
        <v>76</v>
      </c>
    </row>
    <row r="247" spans="1:27">
      <c r="A247" s="104">
        <v>246</v>
      </c>
      <c r="B247" s="104" t="str">
        <f t="shared" si="36"/>
        <v>ACDFGHJL</v>
      </c>
      <c r="C247" s="104" t="s">
        <v>145</v>
      </c>
      <c r="D247" s="104" t="s">
        <v>231</v>
      </c>
      <c r="E247" s="104" t="s">
        <v>232</v>
      </c>
      <c r="F247" s="104" t="s">
        <v>150</v>
      </c>
      <c r="G247" s="104" t="s">
        <v>142</v>
      </c>
      <c r="H247" s="104" t="s">
        <v>152</v>
      </c>
      <c r="I247" s="104" t="s">
        <v>259</v>
      </c>
      <c r="J247" s="104" t="s">
        <v>245</v>
      </c>
      <c r="K247" s="269">
        <f t="shared" si="45"/>
        <v>67</v>
      </c>
      <c r="L247" s="269">
        <f t="shared" si="46"/>
        <v>71</v>
      </c>
      <c r="M247" s="269">
        <f t="shared" si="47"/>
        <v>74</v>
      </c>
      <c r="N247" s="269">
        <f t="shared" si="48"/>
        <v>68</v>
      </c>
      <c r="O247" s="269">
        <f t="shared" si="49"/>
        <v>65</v>
      </c>
      <c r="P247" s="269">
        <f t="shared" si="50"/>
        <v>70</v>
      </c>
      <c r="Q247" s="269">
        <f t="shared" si="51"/>
        <v>76</v>
      </c>
      <c r="R247" s="269">
        <f t="shared" si="52"/>
        <v>72</v>
      </c>
      <c r="S247" s="269"/>
      <c r="T247" s="269">
        <f t="shared" si="37"/>
        <v>65</v>
      </c>
      <c r="U247" s="269">
        <f t="shared" si="38"/>
        <v>67</v>
      </c>
      <c r="V247" s="269">
        <f t="shared" si="39"/>
        <v>68</v>
      </c>
      <c r="W247" s="269">
        <f t="shared" si="40"/>
        <v>70</v>
      </c>
      <c r="X247" s="269">
        <f t="shared" si="41"/>
        <v>71</v>
      </c>
      <c r="Y247" s="269">
        <f t="shared" si="42"/>
        <v>72</v>
      </c>
      <c r="Z247" s="269">
        <f t="shared" si="43"/>
        <v>74</v>
      </c>
      <c r="AA247" s="269">
        <f t="shared" si="44"/>
        <v>76</v>
      </c>
    </row>
    <row r="248" spans="1:27">
      <c r="A248" s="104">
        <v>247</v>
      </c>
      <c r="B248" s="104" t="str">
        <f t="shared" si="36"/>
        <v>ACDFGHJK</v>
      </c>
      <c r="C248" s="104" t="s">
        <v>245</v>
      </c>
      <c r="D248" s="104" t="s">
        <v>231</v>
      </c>
      <c r="E248" s="104" t="s">
        <v>232</v>
      </c>
      <c r="F248" s="104" t="s">
        <v>145</v>
      </c>
      <c r="G248" s="104" t="s">
        <v>142</v>
      </c>
      <c r="H248" s="104" t="s">
        <v>152</v>
      </c>
      <c r="I248" s="104" t="s">
        <v>150</v>
      </c>
      <c r="J248" s="104" t="s">
        <v>246</v>
      </c>
      <c r="K248" s="269">
        <f t="shared" si="45"/>
        <v>72</v>
      </c>
      <c r="L248" s="269">
        <f t="shared" si="46"/>
        <v>71</v>
      </c>
      <c r="M248" s="269">
        <f t="shared" si="47"/>
        <v>74</v>
      </c>
      <c r="N248" s="269">
        <f t="shared" si="48"/>
        <v>67</v>
      </c>
      <c r="O248" s="269">
        <f t="shared" si="49"/>
        <v>65</v>
      </c>
      <c r="P248" s="269">
        <f t="shared" si="50"/>
        <v>70</v>
      </c>
      <c r="Q248" s="269">
        <f t="shared" si="51"/>
        <v>68</v>
      </c>
      <c r="R248" s="269">
        <f t="shared" si="52"/>
        <v>75</v>
      </c>
      <c r="S248" s="269"/>
      <c r="T248" s="269">
        <f t="shared" si="37"/>
        <v>65</v>
      </c>
      <c r="U248" s="269">
        <f t="shared" si="38"/>
        <v>67</v>
      </c>
      <c r="V248" s="269">
        <f t="shared" si="39"/>
        <v>68</v>
      </c>
      <c r="W248" s="269">
        <f t="shared" si="40"/>
        <v>70</v>
      </c>
      <c r="X248" s="269">
        <f t="shared" si="41"/>
        <v>71</v>
      </c>
      <c r="Y248" s="269">
        <f t="shared" si="42"/>
        <v>72</v>
      </c>
      <c r="Z248" s="269">
        <f t="shared" si="43"/>
        <v>74</v>
      </c>
      <c r="AA248" s="269">
        <f t="shared" si="44"/>
        <v>75</v>
      </c>
    </row>
    <row r="249" spans="1:27">
      <c r="A249" s="104">
        <v>248</v>
      </c>
      <c r="B249" s="104" t="str">
        <f t="shared" si="36"/>
        <v>ACDFGHIL</v>
      </c>
      <c r="C249" s="104" t="s">
        <v>245</v>
      </c>
      <c r="D249" s="104" t="s">
        <v>231</v>
      </c>
      <c r="E249" s="104" t="s">
        <v>152</v>
      </c>
      <c r="F249" s="104" t="s">
        <v>145</v>
      </c>
      <c r="G249" s="104" t="s">
        <v>142</v>
      </c>
      <c r="H249" s="104" t="s">
        <v>150</v>
      </c>
      <c r="I249" s="104" t="s">
        <v>259</v>
      </c>
      <c r="J249" s="104" t="s">
        <v>258</v>
      </c>
      <c r="K249" s="269">
        <f t="shared" si="45"/>
        <v>72</v>
      </c>
      <c r="L249" s="269">
        <f t="shared" si="46"/>
        <v>71</v>
      </c>
      <c r="M249" s="269">
        <f t="shared" si="47"/>
        <v>70</v>
      </c>
      <c r="N249" s="269">
        <f t="shared" si="48"/>
        <v>67</v>
      </c>
      <c r="O249" s="269">
        <f t="shared" si="49"/>
        <v>65</v>
      </c>
      <c r="P249" s="269">
        <f t="shared" si="50"/>
        <v>68</v>
      </c>
      <c r="Q249" s="269">
        <f t="shared" si="51"/>
        <v>76</v>
      </c>
      <c r="R249" s="269">
        <f t="shared" si="52"/>
        <v>73</v>
      </c>
      <c r="S249" s="269"/>
      <c r="T249" s="269">
        <f t="shared" si="37"/>
        <v>65</v>
      </c>
      <c r="U249" s="269">
        <f t="shared" si="38"/>
        <v>67</v>
      </c>
      <c r="V249" s="269">
        <f t="shared" si="39"/>
        <v>68</v>
      </c>
      <c r="W249" s="269">
        <f t="shared" si="40"/>
        <v>70</v>
      </c>
      <c r="X249" s="269">
        <f t="shared" si="41"/>
        <v>71</v>
      </c>
      <c r="Y249" s="269">
        <f t="shared" si="42"/>
        <v>72</v>
      </c>
      <c r="Z249" s="269">
        <f t="shared" si="43"/>
        <v>73</v>
      </c>
      <c r="AA249" s="269">
        <f t="shared" si="44"/>
        <v>76</v>
      </c>
    </row>
    <row r="250" spans="1:27">
      <c r="A250" s="104">
        <v>249</v>
      </c>
      <c r="B250" s="104" t="str">
        <f t="shared" si="36"/>
        <v>ACDFGHIK</v>
      </c>
      <c r="C250" s="104" t="s">
        <v>245</v>
      </c>
      <c r="D250" s="104" t="s">
        <v>231</v>
      </c>
      <c r="E250" s="104" t="s">
        <v>152</v>
      </c>
      <c r="F250" s="104" t="s">
        <v>145</v>
      </c>
      <c r="G250" s="104" t="s">
        <v>142</v>
      </c>
      <c r="H250" s="104" t="s">
        <v>150</v>
      </c>
      <c r="I250" s="104" t="s">
        <v>258</v>
      </c>
      <c r="J250" s="104" t="s">
        <v>246</v>
      </c>
      <c r="K250" s="269">
        <f t="shared" si="45"/>
        <v>72</v>
      </c>
      <c r="L250" s="269">
        <f t="shared" si="46"/>
        <v>71</v>
      </c>
      <c r="M250" s="269">
        <f t="shared" si="47"/>
        <v>70</v>
      </c>
      <c r="N250" s="269">
        <f t="shared" si="48"/>
        <v>67</v>
      </c>
      <c r="O250" s="269">
        <f t="shared" si="49"/>
        <v>65</v>
      </c>
      <c r="P250" s="269">
        <f t="shared" si="50"/>
        <v>68</v>
      </c>
      <c r="Q250" s="269">
        <f t="shared" si="51"/>
        <v>73</v>
      </c>
      <c r="R250" s="269">
        <f t="shared" si="52"/>
        <v>75</v>
      </c>
      <c r="S250" s="269"/>
      <c r="T250" s="269">
        <f t="shared" si="37"/>
        <v>65</v>
      </c>
      <c r="U250" s="269">
        <f t="shared" si="38"/>
        <v>67</v>
      </c>
      <c r="V250" s="269">
        <f t="shared" si="39"/>
        <v>68</v>
      </c>
      <c r="W250" s="269">
        <f t="shared" si="40"/>
        <v>70</v>
      </c>
      <c r="X250" s="269">
        <f t="shared" si="41"/>
        <v>71</v>
      </c>
      <c r="Y250" s="269">
        <f t="shared" si="42"/>
        <v>72</v>
      </c>
      <c r="Z250" s="269">
        <f t="shared" si="43"/>
        <v>73</v>
      </c>
      <c r="AA250" s="269">
        <f t="shared" si="44"/>
        <v>75</v>
      </c>
    </row>
    <row r="251" spans="1:27">
      <c r="A251" s="104">
        <v>250</v>
      </c>
      <c r="B251" s="104" t="str">
        <f t="shared" si="36"/>
        <v>ACDFGHIJ</v>
      </c>
      <c r="C251" s="104" t="s">
        <v>245</v>
      </c>
      <c r="D251" s="104" t="s">
        <v>231</v>
      </c>
      <c r="E251" s="104" t="s">
        <v>232</v>
      </c>
      <c r="F251" s="104" t="s">
        <v>145</v>
      </c>
      <c r="G251" s="104" t="s">
        <v>142</v>
      </c>
      <c r="H251" s="104" t="s">
        <v>152</v>
      </c>
      <c r="I251" s="104" t="s">
        <v>150</v>
      </c>
      <c r="J251" s="104" t="s">
        <v>258</v>
      </c>
      <c r="K251" s="269">
        <f t="shared" si="45"/>
        <v>72</v>
      </c>
      <c r="L251" s="269">
        <f t="shared" si="46"/>
        <v>71</v>
      </c>
      <c r="M251" s="269">
        <f t="shared" si="47"/>
        <v>74</v>
      </c>
      <c r="N251" s="269">
        <f t="shared" si="48"/>
        <v>67</v>
      </c>
      <c r="O251" s="269">
        <f t="shared" si="49"/>
        <v>65</v>
      </c>
      <c r="P251" s="269">
        <f t="shared" si="50"/>
        <v>70</v>
      </c>
      <c r="Q251" s="269">
        <f t="shared" si="51"/>
        <v>68</v>
      </c>
      <c r="R251" s="269">
        <f t="shared" si="52"/>
        <v>73</v>
      </c>
      <c r="S251" s="269"/>
      <c r="T251" s="269">
        <f t="shared" si="37"/>
        <v>65</v>
      </c>
      <c r="U251" s="269">
        <f t="shared" si="38"/>
        <v>67</v>
      </c>
      <c r="V251" s="269">
        <f t="shared" si="39"/>
        <v>68</v>
      </c>
      <c r="W251" s="269">
        <f t="shared" si="40"/>
        <v>70</v>
      </c>
      <c r="X251" s="269">
        <f t="shared" si="41"/>
        <v>71</v>
      </c>
      <c r="Y251" s="269">
        <f t="shared" si="42"/>
        <v>72</v>
      </c>
      <c r="Z251" s="269">
        <f t="shared" si="43"/>
        <v>73</v>
      </c>
      <c r="AA251" s="269">
        <f t="shared" si="44"/>
        <v>74</v>
      </c>
    </row>
    <row r="252" spans="1:27">
      <c r="A252" s="104">
        <v>251</v>
      </c>
      <c r="B252" s="104" t="str">
        <f t="shared" si="36"/>
        <v>ACDEIJKL</v>
      </c>
      <c r="C252" s="104" t="s">
        <v>151</v>
      </c>
      <c r="D252" s="104" t="s">
        <v>232</v>
      </c>
      <c r="E252" s="104" t="s">
        <v>258</v>
      </c>
      <c r="F252" s="104" t="s">
        <v>145</v>
      </c>
      <c r="G252" s="104" t="s">
        <v>142</v>
      </c>
      <c r="H252" s="104" t="s">
        <v>150</v>
      </c>
      <c r="I252" s="104" t="s">
        <v>259</v>
      </c>
      <c r="J252" s="104" t="s">
        <v>246</v>
      </c>
      <c r="K252" s="269">
        <f t="shared" si="45"/>
        <v>69</v>
      </c>
      <c r="L252" s="269">
        <f t="shared" si="46"/>
        <v>74</v>
      </c>
      <c r="M252" s="269">
        <f t="shared" si="47"/>
        <v>73</v>
      </c>
      <c r="N252" s="269">
        <f t="shared" si="48"/>
        <v>67</v>
      </c>
      <c r="O252" s="269">
        <f t="shared" si="49"/>
        <v>65</v>
      </c>
      <c r="P252" s="269">
        <f t="shared" si="50"/>
        <v>68</v>
      </c>
      <c r="Q252" s="269">
        <f t="shared" si="51"/>
        <v>76</v>
      </c>
      <c r="R252" s="269">
        <f t="shared" si="52"/>
        <v>75</v>
      </c>
      <c r="S252" s="269"/>
      <c r="T252" s="269">
        <f t="shared" si="37"/>
        <v>65</v>
      </c>
      <c r="U252" s="269">
        <f t="shared" si="38"/>
        <v>67</v>
      </c>
      <c r="V252" s="269">
        <f t="shared" si="39"/>
        <v>68</v>
      </c>
      <c r="W252" s="269">
        <f t="shared" si="40"/>
        <v>69</v>
      </c>
      <c r="X252" s="269">
        <f t="shared" si="41"/>
        <v>73</v>
      </c>
      <c r="Y252" s="269">
        <f t="shared" si="42"/>
        <v>74</v>
      </c>
      <c r="Z252" s="269">
        <f t="shared" si="43"/>
        <v>75</v>
      </c>
      <c r="AA252" s="269">
        <f t="shared" si="44"/>
        <v>76</v>
      </c>
    </row>
    <row r="253" spans="1:27">
      <c r="A253" s="104">
        <v>252</v>
      </c>
      <c r="B253" s="104" t="str">
        <f t="shared" si="36"/>
        <v>ACDEHJKL</v>
      </c>
      <c r="C253" s="104" t="s">
        <v>245</v>
      </c>
      <c r="D253" s="104" t="s">
        <v>232</v>
      </c>
      <c r="E253" s="104" t="s">
        <v>151</v>
      </c>
      <c r="F253" s="104" t="s">
        <v>145</v>
      </c>
      <c r="G253" s="104" t="s">
        <v>142</v>
      </c>
      <c r="H253" s="104" t="s">
        <v>150</v>
      </c>
      <c r="I253" s="104" t="s">
        <v>259</v>
      </c>
      <c r="J253" s="104" t="s">
        <v>246</v>
      </c>
      <c r="K253" s="269">
        <f t="shared" si="45"/>
        <v>72</v>
      </c>
      <c r="L253" s="269">
        <f t="shared" si="46"/>
        <v>74</v>
      </c>
      <c r="M253" s="269">
        <f t="shared" si="47"/>
        <v>69</v>
      </c>
      <c r="N253" s="269">
        <f t="shared" si="48"/>
        <v>67</v>
      </c>
      <c r="O253" s="269">
        <f t="shared" si="49"/>
        <v>65</v>
      </c>
      <c r="P253" s="269">
        <f t="shared" si="50"/>
        <v>68</v>
      </c>
      <c r="Q253" s="269">
        <f t="shared" si="51"/>
        <v>76</v>
      </c>
      <c r="R253" s="269">
        <f t="shared" si="52"/>
        <v>75</v>
      </c>
      <c r="S253" s="269"/>
      <c r="T253" s="269">
        <f t="shared" si="37"/>
        <v>65</v>
      </c>
      <c r="U253" s="269">
        <f t="shared" si="38"/>
        <v>67</v>
      </c>
      <c r="V253" s="269">
        <f t="shared" si="39"/>
        <v>68</v>
      </c>
      <c r="W253" s="269">
        <f t="shared" si="40"/>
        <v>69</v>
      </c>
      <c r="X253" s="269">
        <f t="shared" si="41"/>
        <v>72</v>
      </c>
      <c r="Y253" s="269">
        <f t="shared" si="42"/>
        <v>74</v>
      </c>
      <c r="Z253" s="269">
        <f t="shared" si="43"/>
        <v>75</v>
      </c>
      <c r="AA253" s="269">
        <f t="shared" si="44"/>
        <v>76</v>
      </c>
    </row>
    <row r="254" spans="1:27">
      <c r="A254" s="104">
        <v>253</v>
      </c>
      <c r="B254" s="104" t="str">
        <f t="shared" si="36"/>
        <v>ACDEHIKL</v>
      </c>
      <c r="C254" s="104" t="s">
        <v>245</v>
      </c>
      <c r="D254" s="104" t="s">
        <v>151</v>
      </c>
      <c r="E254" s="104" t="s">
        <v>258</v>
      </c>
      <c r="F254" s="104" t="s">
        <v>145</v>
      </c>
      <c r="G254" s="104" t="s">
        <v>142</v>
      </c>
      <c r="H254" s="104" t="s">
        <v>150</v>
      </c>
      <c r="I254" s="104" t="s">
        <v>259</v>
      </c>
      <c r="J254" s="104" t="s">
        <v>246</v>
      </c>
      <c r="K254" s="269">
        <f t="shared" si="45"/>
        <v>72</v>
      </c>
      <c r="L254" s="269">
        <f t="shared" si="46"/>
        <v>69</v>
      </c>
      <c r="M254" s="269">
        <f t="shared" si="47"/>
        <v>73</v>
      </c>
      <c r="N254" s="269">
        <f t="shared" si="48"/>
        <v>67</v>
      </c>
      <c r="O254" s="269">
        <f t="shared" si="49"/>
        <v>65</v>
      </c>
      <c r="P254" s="269">
        <f t="shared" si="50"/>
        <v>68</v>
      </c>
      <c r="Q254" s="269">
        <f t="shared" si="51"/>
        <v>76</v>
      </c>
      <c r="R254" s="269">
        <f t="shared" si="52"/>
        <v>75</v>
      </c>
      <c r="S254" s="269"/>
      <c r="T254" s="269">
        <f t="shared" si="37"/>
        <v>65</v>
      </c>
      <c r="U254" s="269">
        <f t="shared" si="38"/>
        <v>67</v>
      </c>
      <c r="V254" s="269">
        <f t="shared" si="39"/>
        <v>68</v>
      </c>
      <c r="W254" s="269">
        <f t="shared" si="40"/>
        <v>69</v>
      </c>
      <c r="X254" s="269">
        <f t="shared" si="41"/>
        <v>72</v>
      </c>
      <c r="Y254" s="269">
        <f t="shared" si="42"/>
        <v>73</v>
      </c>
      <c r="Z254" s="269">
        <f t="shared" si="43"/>
        <v>75</v>
      </c>
      <c r="AA254" s="269">
        <f t="shared" si="44"/>
        <v>76</v>
      </c>
    </row>
    <row r="255" spans="1:27">
      <c r="A255" s="104">
        <v>254</v>
      </c>
      <c r="B255" s="104" t="str">
        <f t="shared" si="36"/>
        <v>ACDEHIJL</v>
      </c>
      <c r="C255" s="104" t="s">
        <v>245</v>
      </c>
      <c r="D255" s="104" t="s">
        <v>232</v>
      </c>
      <c r="E255" s="104" t="s">
        <v>151</v>
      </c>
      <c r="F255" s="104" t="s">
        <v>145</v>
      </c>
      <c r="G255" s="104" t="s">
        <v>142</v>
      </c>
      <c r="H255" s="104" t="s">
        <v>150</v>
      </c>
      <c r="I255" s="104" t="s">
        <v>259</v>
      </c>
      <c r="J255" s="104" t="s">
        <v>258</v>
      </c>
      <c r="K255" s="269">
        <f t="shared" si="45"/>
        <v>72</v>
      </c>
      <c r="L255" s="269">
        <f t="shared" si="46"/>
        <v>74</v>
      </c>
      <c r="M255" s="269">
        <f t="shared" si="47"/>
        <v>69</v>
      </c>
      <c r="N255" s="269">
        <f t="shared" si="48"/>
        <v>67</v>
      </c>
      <c r="O255" s="269">
        <f t="shared" si="49"/>
        <v>65</v>
      </c>
      <c r="P255" s="269">
        <f t="shared" si="50"/>
        <v>68</v>
      </c>
      <c r="Q255" s="269">
        <f t="shared" si="51"/>
        <v>76</v>
      </c>
      <c r="R255" s="269">
        <f t="shared" si="52"/>
        <v>73</v>
      </c>
      <c r="S255" s="269"/>
      <c r="T255" s="269">
        <f t="shared" si="37"/>
        <v>65</v>
      </c>
      <c r="U255" s="269">
        <f t="shared" si="38"/>
        <v>67</v>
      </c>
      <c r="V255" s="269">
        <f t="shared" si="39"/>
        <v>68</v>
      </c>
      <c r="W255" s="269">
        <f t="shared" si="40"/>
        <v>69</v>
      </c>
      <c r="X255" s="269">
        <f t="shared" si="41"/>
        <v>72</v>
      </c>
      <c r="Y255" s="269">
        <f t="shared" si="42"/>
        <v>73</v>
      </c>
      <c r="Z255" s="269">
        <f t="shared" si="43"/>
        <v>74</v>
      </c>
      <c r="AA255" s="269">
        <f t="shared" si="44"/>
        <v>76</v>
      </c>
    </row>
    <row r="256" spans="1:27">
      <c r="A256" s="104">
        <v>255</v>
      </c>
      <c r="B256" s="104" t="str">
        <f t="shared" si="36"/>
        <v>ACDEHIJK</v>
      </c>
      <c r="C256" s="104" t="s">
        <v>245</v>
      </c>
      <c r="D256" s="104" t="s">
        <v>232</v>
      </c>
      <c r="E256" s="104" t="s">
        <v>151</v>
      </c>
      <c r="F256" s="104" t="s">
        <v>145</v>
      </c>
      <c r="G256" s="104" t="s">
        <v>142</v>
      </c>
      <c r="H256" s="104" t="s">
        <v>150</v>
      </c>
      <c r="I256" s="104" t="s">
        <v>258</v>
      </c>
      <c r="J256" s="104" t="s">
        <v>246</v>
      </c>
      <c r="K256" s="269">
        <f t="shared" si="45"/>
        <v>72</v>
      </c>
      <c r="L256" s="269">
        <f t="shared" si="46"/>
        <v>74</v>
      </c>
      <c r="M256" s="269">
        <f t="shared" si="47"/>
        <v>69</v>
      </c>
      <c r="N256" s="269">
        <f t="shared" si="48"/>
        <v>67</v>
      </c>
      <c r="O256" s="269">
        <f t="shared" si="49"/>
        <v>65</v>
      </c>
      <c r="P256" s="269">
        <f t="shared" si="50"/>
        <v>68</v>
      </c>
      <c r="Q256" s="269">
        <f t="shared" si="51"/>
        <v>73</v>
      </c>
      <c r="R256" s="269">
        <f t="shared" si="52"/>
        <v>75</v>
      </c>
      <c r="S256" s="269"/>
      <c r="T256" s="269">
        <f t="shared" si="37"/>
        <v>65</v>
      </c>
      <c r="U256" s="269">
        <f t="shared" si="38"/>
        <v>67</v>
      </c>
      <c r="V256" s="269">
        <f t="shared" si="39"/>
        <v>68</v>
      </c>
      <c r="W256" s="269">
        <f t="shared" si="40"/>
        <v>69</v>
      </c>
      <c r="X256" s="269">
        <f t="shared" si="41"/>
        <v>72</v>
      </c>
      <c r="Y256" s="269">
        <f t="shared" si="42"/>
        <v>73</v>
      </c>
      <c r="Z256" s="269">
        <f t="shared" si="43"/>
        <v>74</v>
      </c>
      <c r="AA256" s="269">
        <f t="shared" si="44"/>
        <v>75</v>
      </c>
    </row>
    <row r="257" spans="1:27">
      <c r="A257" s="104">
        <v>256</v>
      </c>
      <c r="B257" s="104" t="str">
        <f t="shared" si="36"/>
        <v>ACDEGJKL</v>
      </c>
      <c r="C257" s="104" t="s">
        <v>151</v>
      </c>
      <c r="D257" s="104" t="s">
        <v>231</v>
      </c>
      <c r="E257" s="104" t="s">
        <v>232</v>
      </c>
      <c r="F257" s="104" t="s">
        <v>145</v>
      </c>
      <c r="G257" s="104" t="s">
        <v>142</v>
      </c>
      <c r="H257" s="104" t="s">
        <v>150</v>
      </c>
      <c r="I257" s="104" t="s">
        <v>259</v>
      </c>
      <c r="J257" s="104" t="s">
        <v>246</v>
      </c>
      <c r="K257" s="269">
        <f t="shared" si="45"/>
        <v>69</v>
      </c>
      <c r="L257" s="269">
        <f t="shared" si="46"/>
        <v>71</v>
      </c>
      <c r="M257" s="269">
        <f t="shared" si="47"/>
        <v>74</v>
      </c>
      <c r="N257" s="269">
        <f t="shared" si="48"/>
        <v>67</v>
      </c>
      <c r="O257" s="269">
        <f t="shared" si="49"/>
        <v>65</v>
      </c>
      <c r="P257" s="269">
        <f t="shared" si="50"/>
        <v>68</v>
      </c>
      <c r="Q257" s="269">
        <f t="shared" si="51"/>
        <v>76</v>
      </c>
      <c r="R257" s="269">
        <f t="shared" si="52"/>
        <v>75</v>
      </c>
      <c r="S257" s="269"/>
      <c r="T257" s="269">
        <f t="shared" si="37"/>
        <v>65</v>
      </c>
      <c r="U257" s="269">
        <f t="shared" si="38"/>
        <v>67</v>
      </c>
      <c r="V257" s="269">
        <f t="shared" si="39"/>
        <v>68</v>
      </c>
      <c r="W257" s="269">
        <f t="shared" si="40"/>
        <v>69</v>
      </c>
      <c r="X257" s="269">
        <f t="shared" si="41"/>
        <v>71</v>
      </c>
      <c r="Y257" s="269">
        <f t="shared" si="42"/>
        <v>74</v>
      </c>
      <c r="Z257" s="269">
        <f t="shared" si="43"/>
        <v>75</v>
      </c>
      <c r="AA257" s="269">
        <f t="shared" si="44"/>
        <v>76</v>
      </c>
    </row>
    <row r="258" spans="1:27">
      <c r="A258" s="104">
        <v>257</v>
      </c>
      <c r="B258" s="104" t="str">
        <f t="shared" si="36"/>
        <v>ACDEGIKL</v>
      </c>
      <c r="C258" s="104" t="s">
        <v>151</v>
      </c>
      <c r="D258" s="104" t="s">
        <v>231</v>
      </c>
      <c r="E258" s="104" t="s">
        <v>258</v>
      </c>
      <c r="F258" s="104" t="s">
        <v>145</v>
      </c>
      <c r="G258" s="104" t="s">
        <v>142</v>
      </c>
      <c r="H258" s="104" t="s">
        <v>150</v>
      </c>
      <c r="I258" s="104" t="s">
        <v>259</v>
      </c>
      <c r="J258" s="104" t="s">
        <v>246</v>
      </c>
      <c r="K258" s="269">
        <f t="shared" si="45"/>
        <v>69</v>
      </c>
      <c r="L258" s="269">
        <f t="shared" si="46"/>
        <v>71</v>
      </c>
      <c r="M258" s="269">
        <f t="shared" si="47"/>
        <v>73</v>
      </c>
      <c r="N258" s="269">
        <f t="shared" si="48"/>
        <v>67</v>
      </c>
      <c r="O258" s="269">
        <f t="shared" si="49"/>
        <v>65</v>
      </c>
      <c r="P258" s="269">
        <f t="shared" si="50"/>
        <v>68</v>
      </c>
      <c r="Q258" s="269">
        <f t="shared" si="51"/>
        <v>76</v>
      </c>
      <c r="R258" s="269">
        <f t="shared" si="52"/>
        <v>75</v>
      </c>
      <c r="S258" s="269"/>
      <c r="T258" s="269">
        <f t="shared" si="37"/>
        <v>65</v>
      </c>
      <c r="U258" s="269">
        <f t="shared" si="38"/>
        <v>67</v>
      </c>
      <c r="V258" s="269">
        <f t="shared" si="39"/>
        <v>68</v>
      </c>
      <c r="W258" s="269">
        <f t="shared" si="40"/>
        <v>69</v>
      </c>
      <c r="X258" s="269">
        <f t="shared" si="41"/>
        <v>71</v>
      </c>
      <c r="Y258" s="269">
        <f t="shared" si="42"/>
        <v>73</v>
      </c>
      <c r="Z258" s="269">
        <f t="shared" si="43"/>
        <v>75</v>
      </c>
      <c r="AA258" s="269">
        <f t="shared" si="44"/>
        <v>76</v>
      </c>
    </row>
    <row r="259" spans="1:27">
      <c r="A259" s="104">
        <v>258</v>
      </c>
      <c r="B259" s="104" t="str">
        <f t="shared" ref="B259:B322" si="53">CONCATENATE(CHAR(T259),CHAR(U259),CHAR(V259),CHAR(W259),CHAR(X259),CHAR(Y259),CHAR(Z259),CHAR(AA259))</f>
        <v>ACDEGIJL</v>
      </c>
      <c r="C259" s="104" t="s">
        <v>151</v>
      </c>
      <c r="D259" s="104" t="s">
        <v>231</v>
      </c>
      <c r="E259" s="104" t="s">
        <v>232</v>
      </c>
      <c r="F259" s="104" t="s">
        <v>145</v>
      </c>
      <c r="G259" s="104" t="s">
        <v>142</v>
      </c>
      <c r="H259" s="104" t="s">
        <v>150</v>
      </c>
      <c r="I259" s="104" t="s">
        <v>259</v>
      </c>
      <c r="J259" s="104" t="s">
        <v>258</v>
      </c>
      <c r="K259" s="269">
        <f t="shared" si="45"/>
        <v>69</v>
      </c>
      <c r="L259" s="269">
        <f t="shared" si="46"/>
        <v>71</v>
      </c>
      <c r="M259" s="269">
        <f t="shared" si="47"/>
        <v>74</v>
      </c>
      <c r="N259" s="269">
        <f t="shared" si="48"/>
        <v>67</v>
      </c>
      <c r="O259" s="269">
        <f t="shared" si="49"/>
        <v>65</v>
      </c>
      <c r="P259" s="269">
        <f t="shared" si="50"/>
        <v>68</v>
      </c>
      <c r="Q259" s="269">
        <f t="shared" si="51"/>
        <v>76</v>
      </c>
      <c r="R259" s="269">
        <f t="shared" si="52"/>
        <v>73</v>
      </c>
      <c r="S259" s="269"/>
      <c r="T259" s="269">
        <f t="shared" ref="T259:T322" si="54">SMALL($K259:$R259,1)</f>
        <v>65</v>
      </c>
      <c r="U259" s="269">
        <f t="shared" ref="U259:U322" si="55">SMALL($K259:$R259,2)</f>
        <v>67</v>
      </c>
      <c r="V259" s="269">
        <f t="shared" ref="V259:V322" si="56">SMALL($K259:$R259,3)</f>
        <v>68</v>
      </c>
      <c r="W259" s="269">
        <f t="shared" ref="W259:W322" si="57">SMALL($K259:$R259,4)</f>
        <v>69</v>
      </c>
      <c r="X259" s="269">
        <f t="shared" ref="X259:X322" si="58">SMALL($K259:$R259,5)</f>
        <v>71</v>
      </c>
      <c r="Y259" s="269">
        <f t="shared" ref="Y259:Y322" si="59">SMALL($K259:$R259,6)</f>
        <v>73</v>
      </c>
      <c r="Z259" s="269">
        <f t="shared" ref="Z259:Z322" si="60">SMALL($K259:$R259,7)</f>
        <v>74</v>
      </c>
      <c r="AA259" s="269">
        <f t="shared" ref="AA259:AA322" si="61">SMALL($K259:$R259,8)</f>
        <v>76</v>
      </c>
    </row>
    <row r="260" spans="1:27">
      <c r="A260" s="104">
        <v>259</v>
      </c>
      <c r="B260" s="104" t="str">
        <f t="shared" si="53"/>
        <v>ACDEGIJK</v>
      </c>
      <c r="C260" s="104" t="s">
        <v>151</v>
      </c>
      <c r="D260" s="104" t="s">
        <v>231</v>
      </c>
      <c r="E260" s="104" t="s">
        <v>232</v>
      </c>
      <c r="F260" s="104" t="s">
        <v>145</v>
      </c>
      <c r="G260" s="104" t="s">
        <v>142</v>
      </c>
      <c r="H260" s="104" t="s">
        <v>150</v>
      </c>
      <c r="I260" s="104" t="s">
        <v>258</v>
      </c>
      <c r="J260" s="104" t="s">
        <v>246</v>
      </c>
      <c r="K260" s="269">
        <f t="shared" si="45"/>
        <v>69</v>
      </c>
      <c r="L260" s="269">
        <f t="shared" si="46"/>
        <v>71</v>
      </c>
      <c r="M260" s="269">
        <f t="shared" si="47"/>
        <v>74</v>
      </c>
      <c r="N260" s="269">
        <f t="shared" si="48"/>
        <v>67</v>
      </c>
      <c r="O260" s="269">
        <f t="shared" si="49"/>
        <v>65</v>
      </c>
      <c r="P260" s="269">
        <f t="shared" si="50"/>
        <v>68</v>
      </c>
      <c r="Q260" s="269">
        <f t="shared" si="51"/>
        <v>73</v>
      </c>
      <c r="R260" s="269">
        <f t="shared" si="52"/>
        <v>75</v>
      </c>
      <c r="S260" s="269"/>
      <c r="T260" s="269">
        <f t="shared" si="54"/>
        <v>65</v>
      </c>
      <c r="U260" s="269">
        <f t="shared" si="55"/>
        <v>67</v>
      </c>
      <c r="V260" s="269">
        <f t="shared" si="56"/>
        <v>68</v>
      </c>
      <c r="W260" s="269">
        <f t="shared" si="57"/>
        <v>69</v>
      </c>
      <c r="X260" s="269">
        <f t="shared" si="58"/>
        <v>71</v>
      </c>
      <c r="Y260" s="269">
        <f t="shared" si="59"/>
        <v>73</v>
      </c>
      <c r="Z260" s="269">
        <f t="shared" si="60"/>
        <v>74</v>
      </c>
      <c r="AA260" s="269">
        <f t="shared" si="61"/>
        <v>75</v>
      </c>
    </row>
    <row r="261" spans="1:27">
      <c r="A261" s="104">
        <v>260</v>
      </c>
      <c r="B261" s="104" t="str">
        <f t="shared" si="53"/>
        <v>ACDEGHKL</v>
      </c>
      <c r="C261" s="104" t="s">
        <v>245</v>
      </c>
      <c r="D261" s="104" t="s">
        <v>231</v>
      </c>
      <c r="E261" s="104" t="s">
        <v>151</v>
      </c>
      <c r="F261" s="104" t="s">
        <v>145</v>
      </c>
      <c r="G261" s="104" t="s">
        <v>142</v>
      </c>
      <c r="H261" s="104" t="s">
        <v>150</v>
      </c>
      <c r="I261" s="104" t="s">
        <v>259</v>
      </c>
      <c r="J261" s="104" t="s">
        <v>246</v>
      </c>
      <c r="K261" s="269">
        <f t="shared" si="45"/>
        <v>72</v>
      </c>
      <c r="L261" s="269">
        <f t="shared" si="46"/>
        <v>71</v>
      </c>
      <c r="M261" s="269">
        <f t="shared" si="47"/>
        <v>69</v>
      </c>
      <c r="N261" s="269">
        <f t="shared" si="48"/>
        <v>67</v>
      </c>
      <c r="O261" s="269">
        <f t="shared" si="49"/>
        <v>65</v>
      </c>
      <c r="P261" s="269">
        <f t="shared" si="50"/>
        <v>68</v>
      </c>
      <c r="Q261" s="269">
        <f t="shared" si="51"/>
        <v>76</v>
      </c>
      <c r="R261" s="269">
        <f t="shared" si="52"/>
        <v>75</v>
      </c>
      <c r="S261" s="269"/>
      <c r="T261" s="269">
        <f t="shared" si="54"/>
        <v>65</v>
      </c>
      <c r="U261" s="269">
        <f t="shared" si="55"/>
        <v>67</v>
      </c>
      <c r="V261" s="269">
        <f t="shared" si="56"/>
        <v>68</v>
      </c>
      <c r="W261" s="269">
        <f t="shared" si="57"/>
        <v>69</v>
      </c>
      <c r="X261" s="269">
        <f t="shared" si="58"/>
        <v>71</v>
      </c>
      <c r="Y261" s="269">
        <f t="shared" si="59"/>
        <v>72</v>
      </c>
      <c r="Z261" s="269">
        <f t="shared" si="60"/>
        <v>75</v>
      </c>
      <c r="AA261" s="269">
        <f t="shared" si="61"/>
        <v>76</v>
      </c>
    </row>
    <row r="262" spans="1:27">
      <c r="A262" s="104">
        <v>261</v>
      </c>
      <c r="B262" s="104" t="str">
        <f t="shared" si="53"/>
        <v>ACDEGHJL</v>
      </c>
      <c r="C262" s="104" t="s">
        <v>245</v>
      </c>
      <c r="D262" s="104" t="s">
        <v>231</v>
      </c>
      <c r="E262" s="104" t="s">
        <v>232</v>
      </c>
      <c r="F262" s="104" t="s">
        <v>145</v>
      </c>
      <c r="G262" s="104" t="s">
        <v>142</v>
      </c>
      <c r="H262" s="104" t="s">
        <v>150</v>
      </c>
      <c r="I262" s="104" t="s">
        <v>259</v>
      </c>
      <c r="J262" s="104" t="s">
        <v>151</v>
      </c>
      <c r="K262" s="269">
        <f t="shared" si="45"/>
        <v>72</v>
      </c>
      <c r="L262" s="269">
        <f t="shared" si="46"/>
        <v>71</v>
      </c>
      <c r="M262" s="269">
        <f t="shared" si="47"/>
        <v>74</v>
      </c>
      <c r="N262" s="269">
        <f t="shared" si="48"/>
        <v>67</v>
      </c>
      <c r="O262" s="269">
        <f t="shared" si="49"/>
        <v>65</v>
      </c>
      <c r="P262" s="269">
        <f t="shared" si="50"/>
        <v>68</v>
      </c>
      <c r="Q262" s="269">
        <f t="shared" si="51"/>
        <v>76</v>
      </c>
      <c r="R262" s="269">
        <f t="shared" si="52"/>
        <v>69</v>
      </c>
      <c r="S262" s="269"/>
      <c r="T262" s="269">
        <f t="shared" si="54"/>
        <v>65</v>
      </c>
      <c r="U262" s="269">
        <f t="shared" si="55"/>
        <v>67</v>
      </c>
      <c r="V262" s="269">
        <f t="shared" si="56"/>
        <v>68</v>
      </c>
      <c r="W262" s="269">
        <f t="shared" si="57"/>
        <v>69</v>
      </c>
      <c r="X262" s="269">
        <f t="shared" si="58"/>
        <v>71</v>
      </c>
      <c r="Y262" s="269">
        <f t="shared" si="59"/>
        <v>72</v>
      </c>
      <c r="Z262" s="269">
        <f t="shared" si="60"/>
        <v>74</v>
      </c>
      <c r="AA262" s="269">
        <f t="shared" si="61"/>
        <v>76</v>
      </c>
    </row>
    <row r="263" spans="1:27">
      <c r="A263" s="104">
        <v>262</v>
      </c>
      <c r="B263" s="104" t="str">
        <f t="shared" si="53"/>
        <v>ACDEGHJK</v>
      </c>
      <c r="C263" s="104" t="s">
        <v>245</v>
      </c>
      <c r="D263" s="104" t="s">
        <v>231</v>
      </c>
      <c r="E263" s="104" t="s">
        <v>232</v>
      </c>
      <c r="F263" s="104" t="s">
        <v>145</v>
      </c>
      <c r="G263" s="104" t="s">
        <v>142</v>
      </c>
      <c r="H263" s="104" t="s">
        <v>150</v>
      </c>
      <c r="I263" s="104" t="s">
        <v>151</v>
      </c>
      <c r="J263" s="104" t="s">
        <v>246</v>
      </c>
      <c r="K263" s="269">
        <f t="shared" si="45"/>
        <v>72</v>
      </c>
      <c r="L263" s="269">
        <f t="shared" si="46"/>
        <v>71</v>
      </c>
      <c r="M263" s="269">
        <f t="shared" si="47"/>
        <v>74</v>
      </c>
      <c r="N263" s="269">
        <f t="shared" si="48"/>
        <v>67</v>
      </c>
      <c r="O263" s="269">
        <f t="shared" si="49"/>
        <v>65</v>
      </c>
      <c r="P263" s="269">
        <f t="shared" si="50"/>
        <v>68</v>
      </c>
      <c r="Q263" s="269">
        <f t="shared" si="51"/>
        <v>69</v>
      </c>
      <c r="R263" s="269">
        <f t="shared" si="52"/>
        <v>75</v>
      </c>
      <c r="S263" s="269"/>
      <c r="T263" s="269">
        <f t="shared" si="54"/>
        <v>65</v>
      </c>
      <c r="U263" s="269">
        <f t="shared" si="55"/>
        <v>67</v>
      </c>
      <c r="V263" s="269">
        <f t="shared" si="56"/>
        <v>68</v>
      </c>
      <c r="W263" s="269">
        <f t="shared" si="57"/>
        <v>69</v>
      </c>
      <c r="X263" s="269">
        <f t="shared" si="58"/>
        <v>71</v>
      </c>
      <c r="Y263" s="269">
        <f t="shared" si="59"/>
        <v>72</v>
      </c>
      <c r="Z263" s="269">
        <f t="shared" si="60"/>
        <v>74</v>
      </c>
      <c r="AA263" s="269">
        <f t="shared" si="61"/>
        <v>75</v>
      </c>
    </row>
    <row r="264" spans="1:27">
      <c r="A264" s="104">
        <v>263</v>
      </c>
      <c r="B264" s="104" t="str">
        <f t="shared" si="53"/>
        <v>ACDEGHIL</v>
      </c>
      <c r="C264" s="104" t="s">
        <v>245</v>
      </c>
      <c r="D264" s="104" t="s">
        <v>231</v>
      </c>
      <c r="E264" s="104" t="s">
        <v>151</v>
      </c>
      <c r="F264" s="104" t="s">
        <v>145</v>
      </c>
      <c r="G264" s="104" t="s">
        <v>142</v>
      </c>
      <c r="H264" s="104" t="s">
        <v>150</v>
      </c>
      <c r="I264" s="104" t="s">
        <v>259</v>
      </c>
      <c r="J264" s="104" t="s">
        <v>258</v>
      </c>
      <c r="K264" s="269">
        <f t="shared" si="45"/>
        <v>72</v>
      </c>
      <c r="L264" s="269">
        <f t="shared" si="46"/>
        <v>71</v>
      </c>
      <c r="M264" s="269">
        <f t="shared" si="47"/>
        <v>69</v>
      </c>
      <c r="N264" s="269">
        <f t="shared" si="48"/>
        <v>67</v>
      </c>
      <c r="O264" s="269">
        <f t="shared" si="49"/>
        <v>65</v>
      </c>
      <c r="P264" s="269">
        <f t="shared" si="50"/>
        <v>68</v>
      </c>
      <c r="Q264" s="269">
        <f t="shared" si="51"/>
        <v>76</v>
      </c>
      <c r="R264" s="269">
        <f t="shared" si="52"/>
        <v>73</v>
      </c>
      <c r="S264" s="269"/>
      <c r="T264" s="269">
        <f t="shared" si="54"/>
        <v>65</v>
      </c>
      <c r="U264" s="269">
        <f t="shared" si="55"/>
        <v>67</v>
      </c>
      <c r="V264" s="269">
        <f t="shared" si="56"/>
        <v>68</v>
      </c>
      <c r="W264" s="269">
        <f t="shared" si="57"/>
        <v>69</v>
      </c>
      <c r="X264" s="269">
        <f t="shared" si="58"/>
        <v>71</v>
      </c>
      <c r="Y264" s="269">
        <f t="shared" si="59"/>
        <v>72</v>
      </c>
      <c r="Z264" s="269">
        <f t="shared" si="60"/>
        <v>73</v>
      </c>
      <c r="AA264" s="269">
        <f t="shared" si="61"/>
        <v>76</v>
      </c>
    </row>
    <row r="265" spans="1:27">
      <c r="A265" s="104">
        <v>264</v>
      </c>
      <c r="B265" s="104" t="str">
        <f t="shared" si="53"/>
        <v>ACDEGHIK</v>
      </c>
      <c r="C265" s="104" t="s">
        <v>245</v>
      </c>
      <c r="D265" s="104" t="s">
        <v>231</v>
      </c>
      <c r="E265" s="104" t="s">
        <v>151</v>
      </c>
      <c r="F265" s="104" t="s">
        <v>145</v>
      </c>
      <c r="G265" s="104" t="s">
        <v>142</v>
      </c>
      <c r="H265" s="104" t="s">
        <v>150</v>
      </c>
      <c r="I265" s="104" t="s">
        <v>258</v>
      </c>
      <c r="J265" s="104" t="s">
        <v>246</v>
      </c>
      <c r="K265" s="269">
        <f t="shared" si="45"/>
        <v>72</v>
      </c>
      <c r="L265" s="269">
        <f t="shared" si="46"/>
        <v>71</v>
      </c>
      <c r="M265" s="269">
        <f t="shared" si="47"/>
        <v>69</v>
      </c>
      <c r="N265" s="269">
        <f t="shared" si="48"/>
        <v>67</v>
      </c>
      <c r="O265" s="269">
        <f t="shared" si="49"/>
        <v>65</v>
      </c>
      <c r="P265" s="269">
        <f t="shared" si="50"/>
        <v>68</v>
      </c>
      <c r="Q265" s="269">
        <f t="shared" si="51"/>
        <v>73</v>
      </c>
      <c r="R265" s="269">
        <f t="shared" si="52"/>
        <v>75</v>
      </c>
      <c r="S265" s="269"/>
      <c r="T265" s="269">
        <f t="shared" si="54"/>
        <v>65</v>
      </c>
      <c r="U265" s="269">
        <f t="shared" si="55"/>
        <v>67</v>
      </c>
      <c r="V265" s="269">
        <f t="shared" si="56"/>
        <v>68</v>
      </c>
      <c r="W265" s="269">
        <f t="shared" si="57"/>
        <v>69</v>
      </c>
      <c r="X265" s="269">
        <f t="shared" si="58"/>
        <v>71</v>
      </c>
      <c r="Y265" s="269">
        <f t="shared" si="59"/>
        <v>72</v>
      </c>
      <c r="Z265" s="269">
        <f t="shared" si="60"/>
        <v>73</v>
      </c>
      <c r="AA265" s="269">
        <f t="shared" si="61"/>
        <v>75</v>
      </c>
    </row>
    <row r="266" spans="1:27">
      <c r="A266" s="104">
        <v>265</v>
      </c>
      <c r="B266" s="104" t="str">
        <f t="shared" si="53"/>
        <v>ACDEGHIJ</v>
      </c>
      <c r="C266" s="104" t="s">
        <v>245</v>
      </c>
      <c r="D266" s="104" t="s">
        <v>231</v>
      </c>
      <c r="E266" s="104" t="s">
        <v>232</v>
      </c>
      <c r="F266" s="104" t="s">
        <v>145</v>
      </c>
      <c r="G266" s="104" t="s">
        <v>142</v>
      </c>
      <c r="H266" s="104" t="s">
        <v>150</v>
      </c>
      <c r="I266" s="104" t="s">
        <v>151</v>
      </c>
      <c r="J266" s="104" t="s">
        <v>258</v>
      </c>
      <c r="K266" s="269">
        <f t="shared" si="45"/>
        <v>72</v>
      </c>
      <c r="L266" s="269">
        <f t="shared" si="46"/>
        <v>71</v>
      </c>
      <c r="M266" s="269">
        <f t="shared" si="47"/>
        <v>74</v>
      </c>
      <c r="N266" s="269">
        <f t="shared" si="48"/>
        <v>67</v>
      </c>
      <c r="O266" s="269">
        <f t="shared" si="49"/>
        <v>65</v>
      </c>
      <c r="P266" s="269">
        <f t="shared" si="50"/>
        <v>68</v>
      </c>
      <c r="Q266" s="269">
        <f t="shared" si="51"/>
        <v>69</v>
      </c>
      <c r="R266" s="269">
        <f t="shared" si="52"/>
        <v>73</v>
      </c>
      <c r="S266" s="269"/>
      <c r="T266" s="269">
        <f t="shared" si="54"/>
        <v>65</v>
      </c>
      <c r="U266" s="269">
        <f t="shared" si="55"/>
        <v>67</v>
      </c>
      <c r="V266" s="269">
        <f t="shared" si="56"/>
        <v>68</v>
      </c>
      <c r="W266" s="269">
        <f t="shared" si="57"/>
        <v>69</v>
      </c>
      <c r="X266" s="269">
        <f t="shared" si="58"/>
        <v>71</v>
      </c>
      <c r="Y266" s="269">
        <f t="shared" si="59"/>
        <v>72</v>
      </c>
      <c r="Z266" s="269">
        <f t="shared" si="60"/>
        <v>73</v>
      </c>
      <c r="AA266" s="269">
        <f t="shared" si="61"/>
        <v>74</v>
      </c>
    </row>
    <row r="267" spans="1:27">
      <c r="A267" s="104">
        <v>266</v>
      </c>
      <c r="B267" s="104" t="str">
        <f t="shared" si="53"/>
        <v>ACDEFJKL</v>
      </c>
      <c r="C267" s="104" t="s">
        <v>145</v>
      </c>
      <c r="D267" s="104" t="s">
        <v>232</v>
      </c>
      <c r="E267" s="104" t="s">
        <v>151</v>
      </c>
      <c r="F267" s="104" t="s">
        <v>150</v>
      </c>
      <c r="G267" s="104" t="s">
        <v>142</v>
      </c>
      <c r="H267" s="104" t="s">
        <v>152</v>
      </c>
      <c r="I267" s="104" t="s">
        <v>259</v>
      </c>
      <c r="J267" s="104" t="s">
        <v>246</v>
      </c>
      <c r="K267" s="269">
        <f t="shared" si="45"/>
        <v>67</v>
      </c>
      <c r="L267" s="269">
        <f t="shared" si="46"/>
        <v>74</v>
      </c>
      <c r="M267" s="269">
        <f t="shared" si="47"/>
        <v>69</v>
      </c>
      <c r="N267" s="269">
        <f t="shared" si="48"/>
        <v>68</v>
      </c>
      <c r="O267" s="269">
        <f t="shared" si="49"/>
        <v>65</v>
      </c>
      <c r="P267" s="269">
        <f t="shared" si="50"/>
        <v>70</v>
      </c>
      <c r="Q267" s="269">
        <f t="shared" si="51"/>
        <v>76</v>
      </c>
      <c r="R267" s="269">
        <f t="shared" si="52"/>
        <v>75</v>
      </c>
      <c r="S267" s="269"/>
      <c r="T267" s="269">
        <f t="shared" si="54"/>
        <v>65</v>
      </c>
      <c r="U267" s="269">
        <f t="shared" si="55"/>
        <v>67</v>
      </c>
      <c r="V267" s="269">
        <f t="shared" si="56"/>
        <v>68</v>
      </c>
      <c r="W267" s="269">
        <f t="shared" si="57"/>
        <v>69</v>
      </c>
      <c r="X267" s="269">
        <f t="shared" si="58"/>
        <v>70</v>
      </c>
      <c r="Y267" s="269">
        <f t="shared" si="59"/>
        <v>74</v>
      </c>
      <c r="Z267" s="269">
        <f t="shared" si="60"/>
        <v>75</v>
      </c>
      <c r="AA267" s="269">
        <f t="shared" si="61"/>
        <v>76</v>
      </c>
    </row>
    <row r="268" spans="1:27">
      <c r="A268" s="104">
        <v>267</v>
      </c>
      <c r="B268" s="104" t="str">
        <f t="shared" si="53"/>
        <v>ACDEFIKL</v>
      </c>
      <c r="C268" s="104" t="s">
        <v>145</v>
      </c>
      <c r="D268" s="104" t="s">
        <v>151</v>
      </c>
      <c r="E268" s="104" t="s">
        <v>258</v>
      </c>
      <c r="F268" s="104" t="s">
        <v>150</v>
      </c>
      <c r="G268" s="104" t="s">
        <v>142</v>
      </c>
      <c r="H268" s="104" t="s">
        <v>152</v>
      </c>
      <c r="I268" s="104" t="s">
        <v>259</v>
      </c>
      <c r="J268" s="104" t="s">
        <v>246</v>
      </c>
      <c r="K268" s="269">
        <f t="shared" si="45"/>
        <v>67</v>
      </c>
      <c r="L268" s="269">
        <f t="shared" si="46"/>
        <v>69</v>
      </c>
      <c r="M268" s="269">
        <f t="shared" si="47"/>
        <v>73</v>
      </c>
      <c r="N268" s="269">
        <f t="shared" si="48"/>
        <v>68</v>
      </c>
      <c r="O268" s="269">
        <f t="shared" si="49"/>
        <v>65</v>
      </c>
      <c r="P268" s="269">
        <f>CODE(MID(H268,2,1))</f>
        <v>70</v>
      </c>
      <c r="Q268" s="269">
        <f>CODE(MID(I268,2,1))</f>
        <v>76</v>
      </c>
      <c r="R268" s="269">
        <f t="shared" ref="R268:R331" si="62">CODE(MID(J268,2,1))</f>
        <v>75</v>
      </c>
      <c r="S268" s="269"/>
      <c r="T268" s="269">
        <f t="shared" si="54"/>
        <v>65</v>
      </c>
      <c r="U268" s="269">
        <f t="shared" si="55"/>
        <v>67</v>
      </c>
      <c r="V268" s="269">
        <f t="shared" si="56"/>
        <v>68</v>
      </c>
      <c r="W268" s="269">
        <f t="shared" si="57"/>
        <v>69</v>
      </c>
      <c r="X268" s="269">
        <f t="shared" si="58"/>
        <v>70</v>
      </c>
      <c r="Y268" s="269">
        <f t="shared" si="59"/>
        <v>73</v>
      </c>
      <c r="Z268" s="269">
        <f t="shared" si="60"/>
        <v>75</v>
      </c>
      <c r="AA268" s="269">
        <f t="shared" si="61"/>
        <v>76</v>
      </c>
    </row>
    <row r="269" spans="1:27">
      <c r="A269" s="104">
        <v>268</v>
      </c>
      <c r="B269" s="104" t="str">
        <f t="shared" si="53"/>
        <v>ACDEFIJL</v>
      </c>
      <c r="C269" s="104" t="s">
        <v>145</v>
      </c>
      <c r="D269" s="104" t="s">
        <v>232</v>
      </c>
      <c r="E269" s="104" t="s">
        <v>151</v>
      </c>
      <c r="F269" s="104" t="s">
        <v>150</v>
      </c>
      <c r="G269" s="104" t="s">
        <v>142</v>
      </c>
      <c r="H269" s="104" t="s">
        <v>152</v>
      </c>
      <c r="I269" s="104" t="s">
        <v>259</v>
      </c>
      <c r="J269" s="104" t="s">
        <v>258</v>
      </c>
      <c r="K269" s="269">
        <f t="shared" ref="K269:Q305" si="63">CODE(MID(C269,2,1))</f>
        <v>67</v>
      </c>
      <c r="L269" s="269">
        <f t="shared" si="63"/>
        <v>74</v>
      </c>
      <c r="M269" s="269">
        <f t="shared" si="63"/>
        <v>69</v>
      </c>
      <c r="N269" s="269">
        <f t="shared" si="63"/>
        <v>68</v>
      </c>
      <c r="O269" s="269">
        <f t="shared" si="63"/>
        <v>65</v>
      </c>
      <c r="P269" s="269">
        <f t="shared" si="63"/>
        <v>70</v>
      </c>
      <c r="Q269" s="269">
        <f t="shared" si="63"/>
        <v>76</v>
      </c>
      <c r="R269" s="269">
        <f t="shared" si="62"/>
        <v>73</v>
      </c>
      <c r="S269" s="269"/>
      <c r="T269" s="269">
        <f t="shared" si="54"/>
        <v>65</v>
      </c>
      <c r="U269" s="269">
        <f t="shared" si="55"/>
        <v>67</v>
      </c>
      <c r="V269" s="269">
        <f t="shared" si="56"/>
        <v>68</v>
      </c>
      <c r="W269" s="269">
        <f t="shared" si="57"/>
        <v>69</v>
      </c>
      <c r="X269" s="269">
        <f t="shared" si="58"/>
        <v>70</v>
      </c>
      <c r="Y269" s="269">
        <f t="shared" si="59"/>
        <v>73</v>
      </c>
      <c r="Z269" s="269">
        <f t="shared" si="60"/>
        <v>74</v>
      </c>
      <c r="AA269" s="269">
        <f t="shared" si="61"/>
        <v>76</v>
      </c>
    </row>
    <row r="270" spans="1:27">
      <c r="A270" s="104">
        <v>269</v>
      </c>
      <c r="B270" s="104" t="str">
        <f t="shared" si="53"/>
        <v>ACDEFIJK</v>
      </c>
      <c r="C270" s="104" t="s">
        <v>145</v>
      </c>
      <c r="D270" s="104" t="s">
        <v>232</v>
      </c>
      <c r="E270" s="104" t="s">
        <v>151</v>
      </c>
      <c r="F270" s="104" t="s">
        <v>150</v>
      </c>
      <c r="G270" s="104" t="s">
        <v>142</v>
      </c>
      <c r="H270" s="104" t="s">
        <v>152</v>
      </c>
      <c r="I270" s="104" t="s">
        <v>258</v>
      </c>
      <c r="J270" s="104" t="s">
        <v>246</v>
      </c>
      <c r="K270" s="269">
        <f t="shared" si="63"/>
        <v>67</v>
      </c>
      <c r="L270" s="269">
        <f t="shared" si="63"/>
        <v>74</v>
      </c>
      <c r="M270" s="269">
        <f t="shared" si="63"/>
        <v>69</v>
      </c>
      <c r="N270" s="269">
        <f t="shared" si="63"/>
        <v>68</v>
      </c>
      <c r="O270" s="269">
        <f t="shared" si="63"/>
        <v>65</v>
      </c>
      <c r="P270" s="269">
        <f t="shared" si="63"/>
        <v>70</v>
      </c>
      <c r="Q270" s="269">
        <f t="shared" si="63"/>
        <v>73</v>
      </c>
      <c r="R270" s="269">
        <f t="shared" si="62"/>
        <v>75</v>
      </c>
      <c r="S270" s="269"/>
      <c r="T270" s="269">
        <f t="shared" si="54"/>
        <v>65</v>
      </c>
      <c r="U270" s="269">
        <f t="shared" si="55"/>
        <v>67</v>
      </c>
      <c r="V270" s="269">
        <f t="shared" si="56"/>
        <v>68</v>
      </c>
      <c r="W270" s="269">
        <f t="shared" si="57"/>
        <v>69</v>
      </c>
      <c r="X270" s="269">
        <f t="shared" si="58"/>
        <v>70</v>
      </c>
      <c r="Y270" s="269">
        <f t="shared" si="59"/>
        <v>73</v>
      </c>
      <c r="Z270" s="269">
        <f t="shared" si="60"/>
        <v>74</v>
      </c>
      <c r="AA270" s="269">
        <f t="shared" si="61"/>
        <v>75</v>
      </c>
    </row>
    <row r="271" spans="1:27">
      <c r="A271" s="104">
        <v>270</v>
      </c>
      <c r="B271" s="104" t="str">
        <f t="shared" si="53"/>
        <v>ACDEFHKL</v>
      </c>
      <c r="C271" s="104" t="s">
        <v>245</v>
      </c>
      <c r="D271" s="104" t="s">
        <v>151</v>
      </c>
      <c r="E271" s="104" t="s">
        <v>152</v>
      </c>
      <c r="F271" s="104" t="s">
        <v>145</v>
      </c>
      <c r="G271" s="104" t="s">
        <v>142</v>
      </c>
      <c r="H271" s="104" t="s">
        <v>150</v>
      </c>
      <c r="I271" s="104" t="s">
        <v>259</v>
      </c>
      <c r="J271" s="104" t="s">
        <v>246</v>
      </c>
      <c r="K271" s="269">
        <f t="shared" si="63"/>
        <v>72</v>
      </c>
      <c r="L271" s="269">
        <f t="shared" si="63"/>
        <v>69</v>
      </c>
      <c r="M271" s="269">
        <f t="shared" si="63"/>
        <v>70</v>
      </c>
      <c r="N271" s="269">
        <f t="shared" si="63"/>
        <v>67</v>
      </c>
      <c r="O271" s="269">
        <f t="shared" si="63"/>
        <v>65</v>
      </c>
      <c r="P271" s="269">
        <f t="shared" si="63"/>
        <v>68</v>
      </c>
      <c r="Q271" s="269">
        <f t="shared" si="63"/>
        <v>76</v>
      </c>
      <c r="R271" s="269">
        <f t="shared" si="62"/>
        <v>75</v>
      </c>
      <c r="S271" s="269"/>
      <c r="T271" s="269">
        <f t="shared" si="54"/>
        <v>65</v>
      </c>
      <c r="U271" s="269">
        <f t="shared" si="55"/>
        <v>67</v>
      </c>
      <c r="V271" s="269">
        <f t="shared" si="56"/>
        <v>68</v>
      </c>
      <c r="W271" s="269">
        <f t="shared" si="57"/>
        <v>69</v>
      </c>
      <c r="X271" s="269">
        <f t="shared" si="58"/>
        <v>70</v>
      </c>
      <c r="Y271" s="269">
        <f t="shared" si="59"/>
        <v>72</v>
      </c>
      <c r="Z271" s="269">
        <f t="shared" si="60"/>
        <v>75</v>
      </c>
      <c r="AA271" s="269">
        <f t="shared" si="61"/>
        <v>76</v>
      </c>
    </row>
    <row r="272" spans="1:27">
      <c r="A272" s="104">
        <v>271</v>
      </c>
      <c r="B272" s="104" t="str">
        <f t="shared" si="53"/>
        <v>ACDEFHJL</v>
      </c>
      <c r="C272" s="104" t="s">
        <v>245</v>
      </c>
      <c r="D272" s="104" t="s">
        <v>232</v>
      </c>
      <c r="E272" s="104" t="s">
        <v>152</v>
      </c>
      <c r="F272" s="104" t="s">
        <v>145</v>
      </c>
      <c r="G272" s="104" t="s">
        <v>142</v>
      </c>
      <c r="H272" s="104" t="s">
        <v>150</v>
      </c>
      <c r="I272" s="104" t="s">
        <v>259</v>
      </c>
      <c r="J272" s="104" t="s">
        <v>151</v>
      </c>
      <c r="K272" s="269">
        <f t="shared" si="63"/>
        <v>72</v>
      </c>
      <c r="L272" s="269">
        <f t="shared" si="63"/>
        <v>74</v>
      </c>
      <c r="M272" s="269">
        <f t="shared" si="63"/>
        <v>70</v>
      </c>
      <c r="N272" s="269">
        <f t="shared" si="63"/>
        <v>67</v>
      </c>
      <c r="O272" s="269">
        <f t="shared" si="63"/>
        <v>65</v>
      </c>
      <c r="P272" s="269">
        <f t="shared" si="63"/>
        <v>68</v>
      </c>
      <c r="Q272" s="269">
        <f t="shared" si="63"/>
        <v>76</v>
      </c>
      <c r="R272" s="269">
        <f t="shared" si="62"/>
        <v>69</v>
      </c>
      <c r="S272" s="269"/>
      <c r="T272" s="269">
        <f t="shared" si="54"/>
        <v>65</v>
      </c>
      <c r="U272" s="269">
        <f t="shared" si="55"/>
        <v>67</v>
      </c>
      <c r="V272" s="269">
        <f t="shared" si="56"/>
        <v>68</v>
      </c>
      <c r="W272" s="269">
        <f t="shared" si="57"/>
        <v>69</v>
      </c>
      <c r="X272" s="269">
        <f t="shared" si="58"/>
        <v>70</v>
      </c>
      <c r="Y272" s="269">
        <f t="shared" si="59"/>
        <v>72</v>
      </c>
      <c r="Z272" s="269">
        <f t="shared" si="60"/>
        <v>74</v>
      </c>
      <c r="AA272" s="269">
        <f t="shared" si="61"/>
        <v>76</v>
      </c>
    </row>
    <row r="273" spans="1:27">
      <c r="A273" s="104">
        <v>272</v>
      </c>
      <c r="B273" s="104" t="str">
        <f t="shared" si="53"/>
        <v>ACDEFHJK</v>
      </c>
      <c r="C273" s="104" t="s">
        <v>245</v>
      </c>
      <c r="D273" s="104" t="s">
        <v>232</v>
      </c>
      <c r="E273" s="104" t="s">
        <v>151</v>
      </c>
      <c r="F273" s="104" t="s">
        <v>145</v>
      </c>
      <c r="G273" s="104" t="s">
        <v>142</v>
      </c>
      <c r="H273" s="104" t="s">
        <v>152</v>
      </c>
      <c r="I273" s="104" t="s">
        <v>150</v>
      </c>
      <c r="J273" s="104" t="s">
        <v>246</v>
      </c>
      <c r="K273" s="269">
        <f t="shared" si="63"/>
        <v>72</v>
      </c>
      <c r="L273" s="269">
        <f t="shared" si="63"/>
        <v>74</v>
      </c>
      <c r="M273" s="269">
        <f t="shared" si="63"/>
        <v>69</v>
      </c>
      <c r="N273" s="269">
        <f t="shared" si="63"/>
        <v>67</v>
      </c>
      <c r="O273" s="269">
        <f t="shared" si="63"/>
        <v>65</v>
      </c>
      <c r="P273" s="269">
        <f t="shared" si="63"/>
        <v>70</v>
      </c>
      <c r="Q273" s="269">
        <f t="shared" si="63"/>
        <v>68</v>
      </c>
      <c r="R273" s="269">
        <f t="shared" si="62"/>
        <v>75</v>
      </c>
      <c r="S273" s="269"/>
      <c r="T273" s="269">
        <f t="shared" si="54"/>
        <v>65</v>
      </c>
      <c r="U273" s="269">
        <f t="shared" si="55"/>
        <v>67</v>
      </c>
      <c r="V273" s="269">
        <f t="shared" si="56"/>
        <v>68</v>
      </c>
      <c r="W273" s="269">
        <f t="shared" si="57"/>
        <v>69</v>
      </c>
      <c r="X273" s="269">
        <f t="shared" si="58"/>
        <v>70</v>
      </c>
      <c r="Y273" s="269">
        <f t="shared" si="59"/>
        <v>72</v>
      </c>
      <c r="Z273" s="269">
        <f t="shared" si="60"/>
        <v>74</v>
      </c>
      <c r="AA273" s="269">
        <f t="shared" si="61"/>
        <v>75</v>
      </c>
    </row>
    <row r="274" spans="1:27">
      <c r="A274" s="104">
        <v>273</v>
      </c>
      <c r="B274" s="104" t="str">
        <f t="shared" si="53"/>
        <v>ACDEFHIL</v>
      </c>
      <c r="C274" s="104" t="s">
        <v>245</v>
      </c>
      <c r="D274" s="104" t="s">
        <v>151</v>
      </c>
      <c r="E274" s="104" t="s">
        <v>152</v>
      </c>
      <c r="F274" s="104" t="s">
        <v>145</v>
      </c>
      <c r="G274" s="104" t="s">
        <v>142</v>
      </c>
      <c r="H274" s="104" t="s">
        <v>150</v>
      </c>
      <c r="I274" s="104" t="s">
        <v>259</v>
      </c>
      <c r="J274" s="104" t="s">
        <v>258</v>
      </c>
      <c r="K274" s="269">
        <f t="shared" si="63"/>
        <v>72</v>
      </c>
      <c r="L274" s="269">
        <f t="shared" si="63"/>
        <v>69</v>
      </c>
      <c r="M274" s="269">
        <f t="shared" si="63"/>
        <v>70</v>
      </c>
      <c r="N274" s="269">
        <f t="shared" si="63"/>
        <v>67</v>
      </c>
      <c r="O274" s="269">
        <f t="shared" si="63"/>
        <v>65</v>
      </c>
      <c r="P274" s="269">
        <f t="shared" si="63"/>
        <v>68</v>
      </c>
      <c r="Q274" s="269">
        <f t="shared" si="63"/>
        <v>76</v>
      </c>
      <c r="R274" s="269">
        <f t="shared" si="62"/>
        <v>73</v>
      </c>
      <c r="S274" s="269"/>
      <c r="T274" s="269">
        <f t="shared" si="54"/>
        <v>65</v>
      </c>
      <c r="U274" s="269">
        <f t="shared" si="55"/>
        <v>67</v>
      </c>
      <c r="V274" s="269">
        <f t="shared" si="56"/>
        <v>68</v>
      </c>
      <c r="W274" s="269">
        <f t="shared" si="57"/>
        <v>69</v>
      </c>
      <c r="X274" s="269">
        <f t="shared" si="58"/>
        <v>70</v>
      </c>
      <c r="Y274" s="269">
        <f t="shared" si="59"/>
        <v>72</v>
      </c>
      <c r="Z274" s="269">
        <f t="shared" si="60"/>
        <v>73</v>
      </c>
      <c r="AA274" s="269">
        <f t="shared" si="61"/>
        <v>76</v>
      </c>
    </row>
    <row r="275" spans="1:27">
      <c r="A275" s="104">
        <v>274</v>
      </c>
      <c r="B275" s="104" t="str">
        <f t="shared" si="53"/>
        <v>ACDEFHIK</v>
      </c>
      <c r="C275" s="104" t="s">
        <v>245</v>
      </c>
      <c r="D275" s="104" t="s">
        <v>151</v>
      </c>
      <c r="E275" s="104" t="s">
        <v>152</v>
      </c>
      <c r="F275" s="104" t="s">
        <v>145</v>
      </c>
      <c r="G275" s="104" t="s">
        <v>142</v>
      </c>
      <c r="H275" s="104" t="s">
        <v>150</v>
      </c>
      <c r="I275" s="104" t="s">
        <v>258</v>
      </c>
      <c r="J275" s="104" t="s">
        <v>246</v>
      </c>
      <c r="K275" s="269">
        <f t="shared" si="63"/>
        <v>72</v>
      </c>
      <c r="L275" s="269">
        <f t="shared" si="63"/>
        <v>69</v>
      </c>
      <c r="M275" s="269">
        <f t="shared" si="63"/>
        <v>70</v>
      </c>
      <c r="N275" s="269">
        <f t="shared" si="63"/>
        <v>67</v>
      </c>
      <c r="O275" s="269">
        <f t="shared" si="63"/>
        <v>65</v>
      </c>
      <c r="P275" s="269">
        <f t="shared" si="63"/>
        <v>68</v>
      </c>
      <c r="Q275" s="269">
        <f t="shared" si="63"/>
        <v>73</v>
      </c>
      <c r="R275" s="269">
        <f t="shared" si="62"/>
        <v>75</v>
      </c>
      <c r="S275" s="269"/>
      <c r="T275" s="269">
        <f t="shared" si="54"/>
        <v>65</v>
      </c>
      <c r="U275" s="269">
        <f t="shared" si="55"/>
        <v>67</v>
      </c>
      <c r="V275" s="269">
        <f t="shared" si="56"/>
        <v>68</v>
      </c>
      <c r="W275" s="269">
        <f t="shared" si="57"/>
        <v>69</v>
      </c>
      <c r="X275" s="269">
        <f t="shared" si="58"/>
        <v>70</v>
      </c>
      <c r="Y275" s="269">
        <f t="shared" si="59"/>
        <v>72</v>
      </c>
      <c r="Z275" s="269">
        <f t="shared" si="60"/>
        <v>73</v>
      </c>
      <c r="AA275" s="269">
        <f t="shared" si="61"/>
        <v>75</v>
      </c>
    </row>
    <row r="276" spans="1:27">
      <c r="A276" s="104">
        <v>275</v>
      </c>
      <c r="B276" s="104" t="str">
        <f t="shared" si="53"/>
        <v>ACDEFHIJ</v>
      </c>
      <c r="C276" s="104" t="s">
        <v>245</v>
      </c>
      <c r="D276" s="104" t="s">
        <v>232</v>
      </c>
      <c r="E276" s="104" t="s">
        <v>151</v>
      </c>
      <c r="F276" s="104" t="s">
        <v>145</v>
      </c>
      <c r="G276" s="104" t="s">
        <v>142</v>
      </c>
      <c r="H276" s="104" t="s">
        <v>152</v>
      </c>
      <c r="I276" s="104" t="s">
        <v>150</v>
      </c>
      <c r="J276" s="104" t="s">
        <v>258</v>
      </c>
      <c r="K276" s="269">
        <f t="shared" si="63"/>
        <v>72</v>
      </c>
      <c r="L276" s="269">
        <f t="shared" si="63"/>
        <v>74</v>
      </c>
      <c r="M276" s="269">
        <f t="shared" si="63"/>
        <v>69</v>
      </c>
      <c r="N276" s="269">
        <f t="shared" si="63"/>
        <v>67</v>
      </c>
      <c r="O276" s="269">
        <f t="shared" si="63"/>
        <v>65</v>
      </c>
      <c r="P276" s="269">
        <f t="shared" si="63"/>
        <v>70</v>
      </c>
      <c r="Q276" s="269">
        <f t="shared" si="63"/>
        <v>68</v>
      </c>
      <c r="R276" s="269">
        <f t="shared" si="62"/>
        <v>73</v>
      </c>
      <c r="S276" s="269"/>
      <c r="T276" s="269">
        <f t="shared" si="54"/>
        <v>65</v>
      </c>
      <c r="U276" s="269">
        <f t="shared" si="55"/>
        <v>67</v>
      </c>
      <c r="V276" s="269">
        <f t="shared" si="56"/>
        <v>68</v>
      </c>
      <c r="W276" s="269">
        <f t="shared" si="57"/>
        <v>69</v>
      </c>
      <c r="X276" s="269">
        <f t="shared" si="58"/>
        <v>70</v>
      </c>
      <c r="Y276" s="269">
        <f t="shared" si="59"/>
        <v>72</v>
      </c>
      <c r="Z276" s="269">
        <f t="shared" si="60"/>
        <v>73</v>
      </c>
      <c r="AA276" s="269">
        <f t="shared" si="61"/>
        <v>74</v>
      </c>
    </row>
    <row r="277" spans="1:27">
      <c r="A277" s="104">
        <v>276</v>
      </c>
      <c r="B277" s="104" t="str">
        <f t="shared" si="53"/>
        <v>ACDEFGKL</v>
      </c>
      <c r="C277" s="104" t="s">
        <v>145</v>
      </c>
      <c r="D277" s="104" t="s">
        <v>231</v>
      </c>
      <c r="E277" s="104" t="s">
        <v>151</v>
      </c>
      <c r="F277" s="104" t="s">
        <v>150</v>
      </c>
      <c r="G277" s="104" t="s">
        <v>142</v>
      </c>
      <c r="H277" s="104" t="s">
        <v>152</v>
      </c>
      <c r="I277" s="104" t="s">
        <v>259</v>
      </c>
      <c r="J277" s="104" t="s">
        <v>246</v>
      </c>
      <c r="K277" s="269">
        <f t="shared" si="63"/>
        <v>67</v>
      </c>
      <c r="L277" s="269">
        <f t="shared" si="63"/>
        <v>71</v>
      </c>
      <c r="M277" s="269">
        <f t="shared" si="63"/>
        <v>69</v>
      </c>
      <c r="N277" s="269">
        <f t="shared" si="63"/>
        <v>68</v>
      </c>
      <c r="O277" s="269">
        <f t="shared" si="63"/>
        <v>65</v>
      </c>
      <c r="P277" s="269">
        <f t="shared" si="63"/>
        <v>70</v>
      </c>
      <c r="Q277" s="269">
        <f t="shared" si="63"/>
        <v>76</v>
      </c>
      <c r="R277" s="269">
        <f t="shared" si="62"/>
        <v>75</v>
      </c>
      <c r="S277" s="269"/>
      <c r="T277" s="269">
        <f t="shared" si="54"/>
        <v>65</v>
      </c>
      <c r="U277" s="269">
        <f t="shared" si="55"/>
        <v>67</v>
      </c>
      <c r="V277" s="269">
        <f t="shared" si="56"/>
        <v>68</v>
      </c>
      <c r="W277" s="269">
        <f t="shared" si="57"/>
        <v>69</v>
      </c>
      <c r="X277" s="269">
        <f t="shared" si="58"/>
        <v>70</v>
      </c>
      <c r="Y277" s="269">
        <f t="shared" si="59"/>
        <v>71</v>
      </c>
      <c r="Z277" s="269">
        <f t="shared" si="60"/>
        <v>75</v>
      </c>
      <c r="AA277" s="269">
        <f t="shared" si="61"/>
        <v>76</v>
      </c>
    </row>
    <row r="278" spans="1:27">
      <c r="A278" s="104">
        <v>277</v>
      </c>
      <c r="B278" s="104" t="str">
        <f t="shared" si="53"/>
        <v>ACDEFGJL</v>
      </c>
      <c r="C278" s="104" t="s">
        <v>145</v>
      </c>
      <c r="D278" s="104" t="s">
        <v>231</v>
      </c>
      <c r="E278" s="104" t="s">
        <v>232</v>
      </c>
      <c r="F278" s="104" t="s">
        <v>150</v>
      </c>
      <c r="G278" s="104" t="s">
        <v>142</v>
      </c>
      <c r="H278" s="104" t="s">
        <v>152</v>
      </c>
      <c r="I278" s="104" t="s">
        <v>259</v>
      </c>
      <c r="J278" s="104" t="s">
        <v>151</v>
      </c>
      <c r="K278" s="269">
        <f t="shared" si="63"/>
        <v>67</v>
      </c>
      <c r="L278" s="269">
        <f t="shared" si="63"/>
        <v>71</v>
      </c>
      <c r="M278" s="269">
        <f t="shared" si="63"/>
        <v>74</v>
      </c>
      <c r="N278" s="269">
        <f t="shared" si="63"/>
        <v>68</v>
      </c>
      <c r="O278" s="269">
        <f t="shared" si="63"/>
        <v>65</v>
      </c>
      <c r="P278" s="269">
        <f t="shared" si="63"/>
        <v>70</v>
      </c>
      <c r="Q278" s="269">
        <f t="shared" si="63"/>
        <v>76</v>
      </c>
      <c r="R278" s="269">
        <f t="shared" si="62"/>
        <v>69</v>
      </c>
      <c r="S278" s="269"/>
      <c r="T278" s="269">
        <f t="shared" si="54"/>
        <v>65</v>
      </c>
      <c r="U278" s="269">
        <f t="shared" si="55"/>
        <v>67</v>
      </c>
      <c r="V278" s="269">
        <f t="shared" si="56"/>
        <v>68</v>
      </c>
      <c r="W278" s="269">
        <f t="shared" si="57"/>
        <v>69</v>
      </c>
      <c r="X278" s="269">
        <f t="shared" si="58"/>
        <v>70</v>
      </c>
      <c r="Y278" s="269">
        <f t="shared" si="59"/>
        <v>71</v>
      </c>
      <c r="Z278" s="269">
        <f t="shared" si="60"/>
        <v>74</v>
      </c>
      <c r="AA278" s="269">
        <f t="shared" si="61"/>
        <v>76</v>
      </c>
    </row>
    <row r="279" spans="1:27">
      <c r="A279" s="104">
        <v>278</v>
      </c>
      <c r="B279" s="104" t="str">
        <f t="shared" si="53"/>
        <v>ACDEFGJK</v>
      </c>
      <c r="C279" s="104" t="s">
        <v>145</v>
      </c>
      <c r="D279" s="104" t="s">
        <v>231</v>
      </c>
      <c r="E279" s="104" t="s">
        <v>232</v>
      </c>
      <c r="F279" s="104" t="s">
        <v>150</v>
      </c>
      <c r="G279" s="104" t="s">
        <v>142</v>
      </c>
      <c r="H279" s="104" t="s">
        <v>152</v>
      </c>
      <c r="I279" s="104" t="s">
        <v>151</v>
      </c>
      <c r="J279" s="104" t="s">
        <v>246</v>
      </c>
      <c r="K279" s="269">
        <f t="shared" si="63"/>
        <v>67</v>
      </c>
      <c r="L279" s="269">
        <f t="shared" si="63"/>
        <v>71</v>
      </c>
      <c r="M279" s="269">
        <f t="shared" si="63"/>
        <v>74</v>
      </c>
      <c r="N279" s="269">
        <f t="shared" si="63"/>
        <v>68</v>
      </c>
      <c r="O279" s="269">
        <f t="shared" si="63"/>
        <v>65</v>
      </c>
      <c r="P279" s="269">
        <f t="shared" si="63"/>
        <v>70</v>
      </c>
      <c r="Q279" s="269">
        <f t="shared" si="63"/>
        <v>69</v>
      </c>
      <c r="R279" s="269">
        <f t="shared" si="62"/>
        <v>75</v>
      </c>
      <c r="S279" s="269"/>
      <c r="T279" s="269">
        <f t="shared" si="54"/>
        <v>65</v>
      </c>
      <c r="U279" s="269">
        <f t="shared" si="55"/>
        <v>67</v>
      </c>
      <c r="V279" s="269">
        <f t="shared" si="56"/>
        <v>68</v>
      </c>
      <c r="W279" s="269">
        <f t="shared" si="57"/>
        <v>69</v>
      </c>
      <c r="X279" s="269">
        <f t="shared" si="58"/>
        <v>70</v>
      </c>
      <c r="Y279" s="269">
        <f t="shared" si="59"/>
        <v>71</v>
      </c>
      <c r="Z279" s="269">
        <f t="shared" si="60"/>
        <v>74</v>
      </c>
      <c r="AA279" s="269">
        <f t="shared" si="61"/>
        <v>75</v>
      </c>
    </row>
    <row r="280" spans="1:27">
      <c r="A280" s="104">
        <v>279</v>
      </c>
      <c r="B280" s="104" t="str">
        <f t="shared" si="53"/>
        <v>ACDEFGIL</v>
      </c>
      <c r="C280" s="104" t="s">
        <v>145</v>
      </c>
      <c r="D280" s="104" t="s">
        <v>231</v>
      </c>
      <c r="E280" s="104" t="s">
        <v>151</v>
      </c>
      <c r="F280" s="104" t="s">
        <v>150</v>
      </c>
      <c r="G280" s="104" t="s">
        <v>142</v>
      </c>
      <c r="H280" s="104" t="s">
        <v>152</v>
      </c>
      <c r="I280" s="104" t="s">
        <v>259</v>
      </c>
      <c r="J280" s="104" t="s">
        <v>258</v>
      </c>
      <c r="K280" s="269">
        <f t="shared" si="63"/>
        <v>67</v>
      </c>
      <c r="L280" s="269">
        <f t="shared" si="63"/>
        <v>71</v>
      </c>
      <c r="M280" s="269">
        <f t="shared" si="63"/>
        <v>69</v>
      </c>
      <c r="N280" s="269">
        <f t="shared" si="63"/>
        <v>68</v>
      </c>
      <c r="O280" s="269">
        <f t="shared" si="63"/>
        <v>65</v>
      </c>
      <c r="P280" s="269">
        <f t="shared" si="63"/>
        <v>70</v>
      </c>
      <c r="Q280" s="269">
        <f t="shared" si="63"/>
        <v>76</v>
      </c>
      <c r="R280" s="269">
        <f t="shared" si="62"/>
        <v>73</v>
      </c>
      <c r="S280" s="269"/>
      <c r="T280" s="269">
        <f t="shared" si="54"/>
        <v>65</v>
      </c>
      <c r="U280" s="269">
        <f t="shared" si="55"/>
        <v>67</v>
      </c>
      <c r="V280" s="269">
        <f t="shared" si="56"/>
        <v>68</v>
      </c>
      <c r="W280" s="269">
        <f t="shared" si="57"/>
        <v>69</v>
      </c>
      <c r="X280" s="269">
        <f t="shared" si="58"/>
        <v>70</v>
      </c>
      <c r="Y280" s="269">
        <f t="shared" si="59"/>
        <v>71</v>
      </c>
      <c r="Z280" s="269">
        <f t="shared" si="60"/>
        <v>73</v>
      </c>
      <c r="AA280" s="269">
        <f t="shared" si="61"/>
        <v>76</v>
      </c>
    </row>
    <row r="281" spans="1:27">
      <c r="A281" s="104">
        <v>280</v>
      </c>
      <c r="B281" s="104" t="str">
        <f t="shared" si="53"/>
        <v>ACDEFGIK</v>
      </c>
      <c r="C281" s="104" t="s">
        <v>145</v>
      </c>
      <c r="D281" s="104" t="s">
        <v>231</v>
      </c>
      <c r="E281" s="104" t="s">
        <v>151</v>
      </c>
      <c r="F281" s="104" t="s">
        <v>150</v>
      </c>
      <c r="G281" s="104" t="s">
        <v>142</v>
      </c>
      <c r="H281" s="104" t="s">
        <v>152</v>
      </c>
      <c r="I281" s="104" t="s">
        <v>258</v>
      </c>
      <c r="J281" s="104" t="s">
        <v>246</v>
      </c>
      <c r="K281" s="269">
        <f t="shared" si="63"/>
        <v>67</v>
      </c>
      <c r="L281" s="269">
        <f t="shared" si="63"/>
        <v>71</v>
      </c>
      <c r="M281" s="269">
        <f t="shared" si="63"/>
        <v>69</v>
      </c>
      <c r="N281" s="269">
        <f t="shared" si="63"/>
        <v>68</v>
      </c>
      <c r="O281" s="269">
        <f t="shared" si="63"/>
        <v>65</v>
      </c>
      <c r="P281" s="269">
        <f t="shared" si="63"/>
        <v>70</v>
      </c>
      <c r="Q281" s="269">
        <f t="shared" si="63"/>
        <v>73</v>
      </c>
      <c r="R281" s="269">
        <f t="shared" si="62"/>
        <v>75</v>
      </c>
      <c r="S281" s="269"/>
      <c r="T281" s="269">
        <f t="shared" si="54"/>
        <v>65</v>
      </c>
      <c r="U281" s="269">
        <f t="shared" si="55"/>
        <v>67</v>
      </c>
      <c r="V281" s="269">
        <f t="shared" si="56"/>
        <v>68</v>
      </c>
      <c r="W281" s="269">
        <f t="shared" si="57"/>
        <v>69</v>
      </c>
      <c r="X281" s="269">
        <f t="shared" si="58"/>
        <v>70</v>
      </c>
      <c r="Y281" s="269">
        <f t="shared" si="59"/>
        <v>71</v>
      </c>
      <c r="Z281" s="269">
        <f t="shared" si="60"/>
        <v>73</v>
      </c>
      <c r="AA281" s="269">
        <f t="shared" si="61"/>
        <v>75</v>
      </c>
    </row>
    <row r="282" spans="1:27">
      <c r="A282" s="104">
        <v>281</v>
      </c>
      <c r="B282" s="104" t="str">
        <f t="shared" si="53"/>
        <v>ACDEFGIJ</v>
      </c>
      <c r="C282" s="104" t="s">
        <v>145</v>
      </c>
      <c r="D282" s="104" t="s">
        <v>231</v>
      </c>
      <c r="E282" s="104" t="s">
        <v>232</v>
      </c>
      <c r="F282" s="104" t="s">
        <v>150</v>
      </c>
      <c r="G282" s="104" t="s">
        <v>142</v>
      </c>
      <c r="H282" s="104" t="s">
        <v>152</v>
      </c>
      <c r="I282" s="104" t="s">
        <v>151</v>
      </c>
      <c r="J282" s="104" t="s">
        <v>258</v>
      </c>
      <c r="K282" s="269">
        <f t="shared" si="63"/>
        <v>67</v>
      </c>
      <c r="L282" s="269">
        <f t="shared" si="63"/>
        <v>71</v>
      </c>
      <c r="M282" s="269">
        <f t="shared" si="63"/>
        <v>74</v>
      </c>
      <c r="N282" s="269">
        <f t="shared" si="63"/>
        <v>68</v>
      </c>
      <c r="O282" s="269">
        <f t="shared" si="63"/>
        <v>65</v>
      </c>
      <c r="P282" s="269">
        <f t="shared" si="63"/>
        <v>70</v>
      </c>
      <c r="Q282" s="269">
        <f t="shared" si="63"/>
        <v>69</v>
      </c>
      <c r="R282" s="269">
        <f t="shared" si="62"/>
        <v>73</v>
      </c>
      <c r="S282" s="269"/>
      <c r="T282" s="269">
        <f t="shared" si="54"/>
        <v>65</v>
      </c>
      <c r="U282" s="269">
        <f t="shared" si="55"/>
        <v>67</v>
      </c>
      <c r="V282" s="269">
        <f t="shared" si="56"/>
        <v>68</v>
      </c>
      <c r="W282" s="269">
        <f t="shared" si="57"/>
        <v>69</v>
      </c>
      <c r="X282" s="269">
        <f t="shared" si="58"/>
        <v>70</v>
      </c>
      <c r="Y282" s="269">
        <f t="shared" si="59"/>
        <v>71</v>
      </c>
      <c r="Z282" s="269">
        <f t="shared" si="60"/>
        <v>73</v>
      </c>
      <c r="AA282" s="269">
        <f t="shared" si="61"/>
        <v>74</v>
      </c>
    </row>
    <row r="283" spans="1:27">
      <c r="A283" s="104">
        <v>282</v>
      </c>
      <c r="B283" s="104" t="str">
        <f t="shared" si="53"/>
        <v>ACDEFGHL</v>
      </c>
      <c r="C283" s="104" t="s">
        <v>245</v>
      </c>
      <c r="D283" s="104" t="s">
        <v>231</v>
      </c>
      <c r="E283" s="104" t="s">
        <v>152</v>
      </c>
      <c r="F283" s="104" t="s">
        <v>145</v>
      </c>
      <c r="G283" s="104" t="s">
        <v>142</v>
      </c>
      <c r="H283" s="104" t="s">
        <v>150</v>
      </c>
      <c r="I283" s="104" t="s">
        <v>259</v>
      </c>
      <c r="J283" s="104" t="s">
        <v>151</v>
      </c>
      <c r="K283" s="269">
        <f t="shared" si="63"/>
        <v>72</v>
      </c>
      <c r="L283" s="269">
        <f t="shared" si="63"/>
        <v>71</v>
      </c>
      <c r="M283" s="269">
        <f t="shared" si="63"/>
        <v>70</v>
      </c>
      <c r="N283" s="269">
        <f t="shared" si="63"/>
        <v>67</v>
      </c>
      <c r="O283" s="269">
        <f t="shared" si="63"/>
        <v>65</v>
      </c>
      <c r="P283" s="269">
        <f t="shared" si="63"/>
        <v>68</v>
      </c>
      <c r="Q283" s="269">
        <f t="shared" si="63"/>
        <v>76</v>
      </c>
      <c r="R283" s="269">
        <f t="shared" si="62"/>
        <v>69</v>
      </c>
      <c r="S283" s="269"/>
      <c r="T283" s="269">
        <f t="shared" si="54"/>
        <v>65</v>
      </c>
      <c r="U283" s="269">
        <f t="shared" si="55"/>
        <v>67</v>
      </c>
      <c r="V283" s="269">
        <f t="shared" si="56"/>
        <v>68</v>
      </c>
      <c r="W283" s="269">
        <f t="shared" si="57"/>
        <v>69</v>
      </c>
      <c r="X283" s="269">
        <f t="shared" si="58"/>
        <v>70</v>
      </c>
      <c r="Y283" s="269">
        <f t="shared" si="59"/>
        <v>71</v>
      </c>
      <c r="Z283" s="269">
        <f t="shared" si="60"/>
        <v>72</v>
      </c>
      <c r="AA283" s="269">
        <f t="shared" si="61"/>
        <v>76</v>
      </c>
    </row>
    <row r="284" spans="1:27">
      <c r="A284" s="104">
        <v>283</v>
      </c>
      <c r="B284" s="104" t="str">
        <f t="shared" si="53"/>
        <v>ACDEFGHK</v>
      </c>
      <c r="C284" s="104" t="s">
        <v>245</v>
      </c>
      <c r="D284" s="104" t="s">
        <v>231</v>
      </c>
      <c r="E284" s="104" t="s">
        <v>151</v>
      </c>
      <c r="F284" s="104" t="s">
        <v>145</v>
      </c>
      <c r="G284" s="104" t="s">
        <v>142</v>
      </c>
      <c r="H284" s="104" t="s">
        <v>152</v>
      </c>
      <c r="I284" s="104" t="s">
        <v>150</v>
      </c>
      <c r="J284" s="104" t="s">
        <v>246</v>
      </c>
      <c r="K284" s="269">
        <f t="shared" si="63"/>
        <v>72</v>
      </c>
      <c r="L284" s="269">
        <f t="shared" si="63"/>
        <v>71</v>
      </c>
      <c r="M284" s="269">
        <f t="shared" si="63"/>
        <v>69</v>
      </c>
      <c r="N284" s="269">
        <f t="shared" si="63"/>
        <v>67</v>
      </c>
      <c r="O284" s="269">
        <f t="shared" si="63"/>
        <v>65</v>
      </c>
      <c r="P284" s="269">
        <f t="shared" si="63"/>
        <v>70</v>
      </c>
      <c r="Q284" s="269">
        <f t="shared" si="63"/>
        <v>68</v>
      </c>
      <c r="R284" s="269">
        <f t="shared" si="62"/>
        <v>75</v>
      </c>
      <c r="S284" s="269"/>
      <c r="T284" s="269">
        <f t="shared" si="54"/>
        <v>65</v>
      </c>
      <c r="U284" s="269">
        <f t="shared" si="55"/>
        <v>67</v>
      </c>
      <c r="V284" s="269">
        <f t="shared" si="56"/>
        <v>68</v>
      </c>
      <c r="W284" s="269">
        <f t="shared" si="57"/>
        <v>69</v>
      </c>
      <c r="X284" s="269">
        <f t="shared" si="58"/>
        <v>70</v>
      </c>
      <c r="Y284" s="269">
        <f t="shared" si="59"/>
        <v>71</v>
      </c>
      <c r="Z284" s="269">
        <f t="shared" si="60"/>
        <v>72</v>
      </c>
      <c r="AA284" s="269">
        <f t="shared" si="61"/>
        <v>75</v>
      </c>
    </row>
    <row r="285" spans="1:27">
      <c r="A285" s="104">
        <v>284</v>
      </c>
      <c r="B285" s="104" t="str">
        <f t="shared" si="53"/>
        <v>ACDEFGHJ</v>
      </c>
      <c r="C285" s="104" t="s">
        <v>245</v>
      </c>
      <c r="D285" s="104" t="s">
        <v>231</v>
      </c>
      <c r="E285" s="104" t="s">
        <v>232</v>
      </c>
      <c r="F285" s="104" t="s">
        <v>145</v>
      </c>
      <c r="G285" s="104" t="s">
        <v>142</v>
      </c>
      <c r="H285" s="104" t="s">
        <v>152</v>
      </c>
      <c r="I285" s="104" t="s">
        <v>150</v>
      </c>
      <c r="J285" s="104" t="s">
        <v>151</v>
      </c>
      <c r="K285" s="269">
        <f t="shared" si="63"/>
        <v>72</v>
      </c>
      <c r="L285" s="269">
        <f t="shared" si="63"/>
        <v>71</v>
      </c>
      <c r="M285" s="269">
        <f t="shared" si="63"/>
        <v>74</v>
      </c>
      <c r="N285" s="269">
        <f t="shared" si="63"/>
        <v>67</v>
      </c>
      <c r="O285" s="269">
        <f t="shared" si="63"/>
        <v>65</v>
      </c>
      <c r="P285" s="269">
        <f t="shared" si="63"/>
        <v>70</v>
      </c>
      <c r="Q285" s="269">
        <f t="shared" si="63"/>
        <v>68</v>
      </c>
      <c r="R285" s="269">
        <f t="shared" si="62"/>
        <v>69</v>
      </c>
      <c r="S285" s="269"/>
      <c r="T285" s="269">
        <f t="shared" si="54"/>
        <v>65</v>
      </c>
      <c r="U285" s="269">
        <f t="shared" si="55"/>
        <v>67</v>
      </c>
      <c r="V285" s="269">
        <f t="shared" si="56"/>
        <v>68</v>
      </c>
      <c r="W285" s="269">
        <f t="shared" si="57"/>
        <v>69</v>
      </c>
      <c r="X285" s="269">
        <f t="shared" si="58"/>
        <v>70</v>
      </c>
      <c r="Y285" s="269">
        <f t="shared" si="59"/>
        <v>71</v>
      </c>
      <c r="Z285" s="269">
        <f t="shared" si="60"/>
        <v>72</v>
      </c>
      <c r="AA285" s="269">
        <f t="shared" si="61"/>
        <v>74</v>
      </c>
    </row>
    <row r="286" spans="1:27">
      <c r="A286" s="104">
        <v>285</v>
      </c>
      <c r="B286" s="104" t="str">
        <f t="shared" si="53"/>
        <v>ACDEFGHI</v>
      </c>
      <c r="C286" s="104" t="s">
        <v>245</v>
      </c>
      <c r="D286" s="104" t="s">
        <v>231</v>
      </c>
      <c r="E286" s="104" t="s">
        <v>151</v>
      </c>
      <c r="F286" s="104" t="s">
        <v>145</v>
      </c>
      <c r="G286" s="104" t="s">
        <v>142</v>
      </c>
      <c r="H286" s="104" t="s">
        <v>152</v>
      </c>
      <c r="I286" s="104" t="s">
        <v>150</v>
      </c>
      <c r="J286" s="104" t="s">
        <v>258</v>
      </c>
      <c r="K286" s="269">
        <f t="shared" si="63"/>
        <v>72</v>
      </c>
      <c r="L286" s="269">
        <f t="shared" si="63"/>
        <v>71</v>
      </c>
      <c r="M286" s="269">
        <f t="shared" si="63"/>
        <v>69</v>
      </c>
      <c r="N286" s="269">
        <f t="shared" si="63"/>
        <v>67</v>
      </c>
      <c r="O286" s="269">
        <f t="shared" si="63"/>
        <v>65</v>
      </c>
      <c r="P286" s="269">
        <f t="shared" si="63"/>
        <v>70</v>
      </c>
      <c r="Q286" s="269">
        <f t="shared" si="63"/>
        <v>68</v>
      </c>
      <c r="R286" s="269">
        <f t="shared" si="62"/>
        <v>73</v>
      </c>
      <c r="S286" s="269"/>
      <c r="T286" s="269">
        <f t="shared" si="54"/>
        <v>65</v>
      </c>
      <c r="U286" s="269">
        <f t="shared" si="55"/>
        <v>67</v>
      </c>
      <c r="V286" s="269">
        <f t="shared" si="56"/>
        <v>68</v>
      </c>
      <c r="W286" s="269">
        <f t="shared" si="57"/>
        <v>69</v>
      </c>
      <c r="X286" s="269">
        <f t="shared" si="58"/>
        <v>70</v>
      </c>
      <c r="Y286" s="269">
        <f t="shared" si="59"/>
        <v>71</v>
      </c>
      <c r="Z286" s="269">
        <f t="shared" si="60"/>
        <v>72</v>
      </c>
      <c r="AA286" s="269">
        <f t="shared" si="61"/>
        <v>73</v>
      </c>
    </row>
    <row r="287" spans="1:27">
      <c r="A287" s="104">
        <v>286</v>
      </c>
      <c r="B287" s="104" t="str">
        <f t="shared" si="53"/>
        <v>ABGHIJKL</v>
      </c>
      <c r="C287" s="104" t="s">
        <v>245</v>
      </c>
      <c r="D287" s="104" t="s">
        <v>232</v>
      </c>
      <c r="E287" s="104" t="s">
        <v>144</v>
      </c>
      <c r="F287" s="104" t="s">
        <v>142</v>
      </c>
      <c r="G287" s="104" t="s">
        <v>258</v>
      </c>
      <c r="H287" s="104" t="s">
        <v>231</v>
      </c>
      <c r="I287" s="104" t="s">
        <v>259</v>
      </c>
      <c r="J287" s="104" t="s">
        <v>246</v>
      </c>
      <c r="K287" s="269">
        <f t="shared" si="63"/>
        <v>72</v>
      </c>
      <c r="L287" s="269">
        <f t="shared" si="63"/>
        <v>74</v>
      </c>
      <c r="M287" s="269">
        <f t="shared" si="63"/>
        <v>66</v>
      </c>
      <c r="N287" s="269">
        <f t="shared" si="63"/>
        <v>65</v>
      </c>
      <c r="O287" s="269">
        <f t="shared" si="63"/>
        <v>73</v>
      </c>
      <c r="P287" s="269">
        <f t="shared" si="63"/>
        <v>71</v>
      </c>
      <c r="Q287" s="269">
        <f t="shared" si="63"/>
        <v>76</v>
      </c>
      <c r="R287" s="269">
        <f t="shared" si="62"/>
        <v>75</v>
      </c>
      <c r="S287" s="269"/>
      <c r="T287" s="269">
        <f t="shared" si="54"/>
        <v>65</v>
      </c>
      <c r="U287" s="269">
        <f t="shared" si="55"/>
        <v>66</v>
      </c>
      <c r="V287" s="269">
        <f t="shared" si="56"/>
        <v>71</v>
      </c>
      <c r="W287" s="269">
        <f t="shared" si="57"/>
        <v>72</v>
      </c>
      <c r="X287" s="269">
        <f t="shared" si="58"/>
        <v>73</v>
      </c>
      <c r="Y287" s="269">
        <f t="shared" si="59"/>
        <v>74</v>
      </c>
      <c r="Z287" s="269">
        <f t="shared" si="60"/>
        <v>75</v>
      </c>
      <c r="AA287" s="269">
        <f t="shared" si="61"/>
        <v>76</v>
      </c>
    </row>
    <row r="288" spans="1:27">
      <c r="A288" s="104">
        <v>287</v>
      </c>
      <c r="B288" s="104" t="str">
        <f t="shared" si="53"/>
        <v>ABFHIJKL</v>
      </c>
      <c r="C288" s="104" t="s">
        <v>245</v>
      </c>
      <c r="D288" s="104" t="s">
        <v>232</v>
      </c>
      <c r="E288" s="104" t="s">
        <v>144</v>
      </c>
      <c r="F288" s="104" t="s">
        <v>142</v>
      </c>
      <c r="G288" s="104" t="s">
        <v>258</v>
      </c>
      <c r="H288" s="104" t="s">
        <v>152</v>
      </c>
      <c r="I288" s="104" t="s">
        <v>259</v>
      </c>
      <c r="J288" s="104" t="s">
        <v>246</v>
      </c>
      <c r="K288" s="269">
        <f t="shared" si="63"/>
        <v>72</v>
      </c>
      <c r="L288" s="269">
        <f t="shared" si="63"/>
        <v>74</v>
      </c>
      <c r="M288" s="269">
        <f t="shared" si="63"/>
        <v>66</v>
      </c>
      <c r="N288" s="269">
        <f t="shared" si="63"/>
        <v>65</v>
      </c>
      <c r="O288" s="269">
        <f t="shared" si="63"/>
        <v>73</v>
      </c>
      <c r="P288" s="269">
        <f t="shared" si="63"/>
        <v>70</v>
      </c>
      <c r="Q288" s="269">
        <f t="shared" si="63"/>
        <v>76</v>
      </c>
      <c r="R288" s="269">
        <f t="shared" si="62"/>
        <v>75</v>
      </c>
      <c r="S288" s="269"/>
      <c r="T288" s="269">
        <f t="shared" si="54"/>
        <v>65</v>
      </c>
      <c r="U288" s="269">
        <f t="shared" si="55"/>
        <v>66</v>
      </c>
      <c r="V288" s="269">
        <f t="shared" si="56"/>
        <v>70</v>
      </c>
      <c r="W288" s="269">
        <f t="shared" si="57"/>
        <v>72</v>
      </c>
      <c r="X288" s="269">
        <f t="shared" si="58"/>
        <v>73</v>
      </c>
      <c r="Y288" s="269">
        <f t="shared" si="59"/>
        <v>74</v>
      </c>
      <c r="Z288" s="269">
        <f t="shared" si="60"/>
        <v>75</v>
      </c>
      <c r="AA288" s="269">
        <f t="shared" si="61"/>
        <v>76</v>
      </c>
    </row>
    <row r="289" spans="1:27">
      <c r="A289" s="104">
        <v>288</v>
      </c>
      <c r="B289" s="104" t="str">
        <f t="shared" si="53"/>
        <v>ABFGIJKL</v>
      </c>
      <c r="C289" s="104" t="s">
        <v>258</v>
      </c>
      <c r="D289" s="104" t="s">
        <v>232</v>
      </c>
      <c r="E289" s="104" t="s">
        <v>144</v>
      </c>
      <c r="F289" s="104" t="s">
        <v>152</v>
      </c>
      <c r="G289" s="104" t="s">
        <v>142</v>
      </c>
      <c r="H289" s="104" t="s">
        <v>231</v>
      </c>
      <c r="I289" s="104" t="s">
        <v>259</v>
      </c>
      <c r="J289" s="104" t="s">
        <v>246</v>
      </c>
      <c r="K289" s="269">
        <f t="shared" si="63"/>
        <v>73</v>
      </c>
      <c r="L289" s="269">
        <f t="shared" si="63"/>
        <v>74</v>
      </c>
      <c r="M289" s="269">
        <f t="shared" si="63"/>
        <v>66</v>
      </c>
      <c r="N289" s="269">
        <f t="shared" si="63"/>
        <v>70</v>
      </c>
      <c r="O289" s="269">
        <f t="shared" si="63"/>
        <v>65</v>
      </c>
      <c r="P289" s="269">
        <f t="shared" si="63"/>
        <v>71</v>
      </c>
      <c r="Q289" s="269">
        <f t="shared" si="63"/>
        <v>76</v>
      </c>
      <c r="R289" s="269">
        <f t="shared" si="62"/>
        <v>75</v>
      </c>
      <c r="S289" s="269"/>
      <c r="T289" s="269">
        <f t="shared" si="54"/>
        <v>65</v>
      </c>
      <c r="U289" s="269">
        <f t="shared" si="55"/>
        <v>66</v>
      </c>
      <c r="V289" s="269">
        <f t="shared" si="56"/>
        <v>70</v>
      </c>
      <c r="W289" s="269">
        <f t="shared" si="57"/>
        <v>71</v>
      </c>
      <c r="X289" s="269">
        <f t="shared" si="58"/>
        <v>73</v>
      </c>
      <c r="Y289" s="269">
        <f t="shared" si="59"/>
        <v>74</v>
      </c>
      <c r="Z289" s="269">
        <f t="shared" si="60"/>
        <v>75</v>
      </c>
      <c r="AA289" s="269">
        <f t="shared" si="61"/>
        <v>76</v>
      </c>
    </row>
    <row r="290" spans="1:27">
      <c r="A290" s="104">
        <v>289</v>
      </c>
      <c r="B290" s="104" t="str">
        <f t="shared" si="53"/>
        <v>ABFGHJKL</v>
      </c>
      <c r="C290" s="104" t="s">
        <v>245</v>
      </c>
      <c r="D290" s="104" t="s">
        <v>232</v>
      </c>
      <c r="E290" s="104" t="s">
        <v>144</v>
      </c>
      <c r="F290" s="104" t="s">
        <v>152</v>
      </c>
      <c r="G290" s="104" t="s">
        <v>142</v>
      </c>
      <c r="H290" s="104" t="s">
        <v>231</v>
      </c>
      <c r="I290" s="104" t="s">
        <v>259</v>
      </c>
      <c r="J290" s="104" t="s">
        <v>246</v>
      </c>
      <c r="K290" s="269">
        <f t="shared" si="63"/>
        <v>72</v>
      </c>
      <c r="L290" s="269">
        <f t="shared" si="63"/>
        <v>74</v>
      </c>
      <c r="M290" s="269">
        <f t="shared" si="63"/>
        <v>66</v>
      </c>
      <c r="N290" s="269">
        <f t="shared" si="63"/>
        <v>70</v>
      </c>
      <c r="O290" s="269">
        <f t="shared" si="63"/>
        <v>65</v>
      </c>
      <c r="P290" s="269">
        <f t="shared" si="63"/>
        <v>71</v>
      </c>
      <c r="Q290" s="269">
        <f t="shared" si="63"/>
        <v>76</v>
      </c>
      <c r="R290" s="269">
        <f t="shared" si="62"/>
        <v>75</v>
      </c>
      <c r="S290" s="269"/>
      <c r="T290" s="269">
        <f t="shared" si="54"/>
        <v>65</v>
      </c>
      <c r="U290" s="269">
        <f t="shared" si="55"/>
        <v>66</v>
      </c>
      <c r="V290" s="269">
        <f t="shared" si="56"/>
        <v>70</v>
      </c>
      <c r="W290" s="269">
        <f t="shared" si="57"/>
        <v>71</v>
      </c>
      <c r="X290" s="269">
        <f t="shared" si="58"/>
        <v>72</v>
      </c>
      <c r="Y290" s="269">
        <f t="shared" si="59"/>
        <v>74</v>
      </c>
      <c r="Z290" s="269">
        <f t="shared" si="60"/>
        <v>75</v>
      </c>
      <c r="AA290" s="269">
        <f t="shared" si="61"/>
        <v>76</v>
      </c>
    </row>
    <row r="291" spans="1:27">
      <c r="A291" s="104">
        <v>290</v>
      </c>
      <c r="B291" s="104" t="str">
        <f t="shared" si="53"/>
        <v>ABFGHIKL</v>
      </c>
      <c r="C291" s="104" t="s">
        <v>245</v>
      </c>
      <c r="D291" s="104" t="s">
        <v>231</v>
      </c>
      <c r="E291" s="104" t="s">
        <v>144</v>
      </c>
      <c r="F291" s="104" t="s">
        <v>142</v>
      </c>
      <c r="G291" s="104" t="s">
        <v>258</v>
      </c>
      <c r="H291" s="104" t="s">
        <v>152</v>
      </c>
      <c r="I291" s="104" t="s">
        <v>259</v>
      </c>
      <c r="J291" s="104" t="s">
        <v>246</v>
      </c>
      <c r="K291" s="269">
        <f t="shared" si="63"/>
        <v>72</v>
      </c>
      <c r="L291" s="269">
        <f t="shared" si="63"/>
        <v>71</v>
      </c>
      <c r="M291" s="269">
        <f t="shared" si="63"/>
        <v>66</v>
      </c>
      <c r="N291" s="269">
        <f t="shared" si="63"/>
        <v>65</v>
      </c>
      <c r="O291" s="269">
        <f t="shared" si="63"/>
        <v>73</v>
      </c>
      <c r="P291" s="269">
        <f t="shared" si="63"/>
        <v>70</v>
      </c>
      <c r="Q291" s="269">
        <f t="shared" si="63"/>
        <v>76</v>
      </c>
      <c r="R291" s="269">
        <f t="shared" si="62"/>
        <v>75</v>
      </c>
      <c r="S291" s="269"/>
      <c r="T291" s="269">
        <f t="shared" si="54"/>
        <v>65</v>
      </c>
      <c r="U291" s="269">
        <f t="shared" si="55"/>
        <v>66</v>
      </c>
      <c r="V291" s="269">
        <f t="shared" si="56"/>
        <v>70</v>
      </c>
      <c r="W291" s="269">
        <f t="shared" si="57"/>
        <v>71</v>
      </c>
      <c r="X291" s="269">
        <f t="shared" si="58"/>
        <v>72</v>
      </c>
      <c r="Y291" s="269">
        <f t="shared" si="59"/>
        <v>73</v>
      </c>
      <c r="Z291" s="269">
        <f t="shared" si="60"/>
        <v>75</v>
      </c>
      <c r="AA291" s="269">
        <f t="shared" si="61"/>
        <v>76</v>
      </c>
    </row>
    <row r="292" spans="1:27">
      <c r="A292" s="104">
        <v>291</v>
      </c>
      <c r="B292" s="104" t="str">
        <f t="shared" si="53"/>
        <v>ABFGHIJL</v>
      </c>
      <c r="C292" s="104" t="s">
        <v>245</v>
      </c>
      <c r="D292" s="104" t="s">
        <v>232</v>
      </c>
      <c r="E292" s="104" t="s">
        <v>144</v>
      </c>
      <c r="F292" s="104" t="s">
        <v>152</v>
      </c>
      <c r="G292" s="104" t="s">
        <v>142</v>
      </c>
      <c r="H292" s="104" t="s">
        <v>231</v>
      </c>
      <c r="I292" s="104" t="s">
        <v>259</v>
      </c>
      <c r="J292" s="104" t="s">
        <v>258</v>
      </c>
      <c r="K292" s="269">
        <f t="shared" si="63"/>
        <v>72</v>
      </c>
      <c r="L292" s="269">
        <f t="shared" si="63"/>
        <v>74</v>
      </c>
      <c r="M292" s="269">
        <f t="shared" si="63"/>
        <v>66</v>
      </c>
      <c r="N292" s="269">
        <f t="shared" si="63"/>
        <v>70</v>
      </c>
      <c r="O292" s="269">
        <f t="shared" si="63"/>
        <v>65</v>
      </c>
      <c r="P292" s="269">
        <f t="shared" si="63"/>
        <v>71</v>
      </c>
      <c r="Q292" s="269">
        <f t="shared" si="63"/>
        <v>76</v>
      </c>
      <c r="R292" s="269">
        <f t="shared" si="62"/>
        <v>73</v>
      </c>
      <c r="S292" s="269"/>
      <c r="T292" s="269">
        <f t="shared" si="54"/>
        <v>65</v>
      </c>
      <c r="U292" s="269">
        <f t="shared" si="55"/>
        <v>66</v>
      </c>
      <c r="V292" s="269">
        <f t="shared" si="56"/>
        <v>70</v>
      </c>
      <c r="W292" s="269">
        <f t="shared" si="57"/>
        <v>71</v>
      </c>
      <c r="X292" s="269">
        <f t="shared" si="58"/>
        <v>72</v>
      </c>
      <c r="Y292" s="269">
        <f t="shared" si="59"/>
        <v>73</v>
      </c>
      <c r="Z292" s="269">
        <f t="shared" si="60"/>
        <v>74</v>
      </c>
      <c r="AA292" s="269">
        <f t="shared" si="61"/>
        <v>76</v>
      </c>
    </row>
    <row r="293" spans="1:27">
      <c r="A293" s="104">
        <v>292</v>
      </c>
      <c r="B293" s="104" t="str">
        <f t="shared" si="53"/>
        <v>ABFGHIJK</v>
      </c>
      <c r="C293" s="104" t="s">
        <v>245</v>
      </c>
      <c r="D293" s="104" t="s">
        <v>232</v>
      </c>
      <c r="E293" s="104" t="s">
        <v>144</v>
      </c>
      <c r="F293" s="104" t="s">
        <v>152</v>
      </c>
      <c r="G293" s="104" t="s">
        <v>142</v>
      </c>
      <c r="H293" s="104" t="s">
        <v>231</v>
      </c>
      <c r="I293" s="104" t="s">
        <v>258</v>
      </c>
      <c r="J293" s="104" t="s">
        <v>246</v>
      </c>
      <c r="K293" s="269">
        <f t="shared" si="63"/>
        <v>72</v>
      </c>
      <c r="L293" s="269">
        <f t="shared" si="63"/>
        <v>74</v>
      </c>
      <c r="M293" s="269">
        <f t="shared" si="63"/>
        <v>66</v>
      </c>
      <c r="N293" s="269">
        <f t="shared" si="63"/>
        <v>70</v>
      </c>
      <c r="O293" s="269">
        <f t="shared" si="63"/>
        <v>65</v>
      </c>
      <c r="P293" s="269">
        <f t="shared" si="63"/>
        <v>71</v>
      </c>
      <c r="Q293" s="269">
        <f t="shared" si="63"/>
        <v>73</v>
      </c>
      <c r="R293" s="269">
        <f t="shared" si="62"/>
        <v>75</v>
      </c>
      <c r="S293" s="269"/>
      <c r="T293" s="269">
        <f t="shared" si="54"/>
        <v>65</v>
      </c>
      <c r="U293" s="269">
        <f t="shared" si="55"/>
        <v>66</v>
      </c>
      <c r="V293" s="269">
        <f t="shared" si="56"/>
        <v>70</v>
      </c>
      <c r="W293" s="269">
        <f t="shared" si="57"/>
        <v>71</v>
      </c>
      <c r="X293" s="269">
        <f t="shared" si="58"/>
        <v>72</v>
      </c>
      <c r="Y293" s="269">
        <f t="shared" si="59"/>
        <v>73</v>
      </c>
      <c r="Z293" s="269">
        <f t="shared" si="60"/>
        <v>74</v>
      </c>
      <c r="AA293" s="269">
        <f t="shared" si="61"/>
        <v>75</v>
      </c>
    </row>
    <row r="294" spans="1:27">
      <c r="A294" s="104">
        <v>293</v>
      </c>
      <c r="B294" s="104" t="str">
        <f t="shared" si="53"/>
        <v>ABEHIJKL</v>
      </c>
      <c r="C294" s="104" t="s">
        <v>151</v>
      </c>
      <c r="D294" s="104" t="s">
        <v>232</v>
      </c>
      <c r="E294" s="104" t="s">
        <v>144</v>
      </c>
      <c r="F294" s="104" t="s">
        <v>142</v>
      </c>
      <c r="G294" s="104" t="s">
        <v>258</v>
      </c>
      <c r="H294" s="104" t="s">
        <v>245</v>
      </c>
      <c r="I294" s="104" t="s">
        <v>259</v>
      </c>
      <c r="J294" s="104" t="s">
        <v>246</v>
      </c>
      <c r="K294" s="269">
        <f t="shared" si="63"/>
        <v>69</v>
      </c>
      <c r="L294" s="269">
        <f t="shared" si="63"/>
        <v>74</v>
      </c>
      <c r="M294" s="269">
        <f t="shared" si="63"/>
        <v>66</v>
      </c>
      <c r="N294" s="269">
        <f t="shared" si="63"/>
        <v>65</v>
      </c>
      <c r="O294" s="269">
        <f t="shared" si="63"/>
        <v>73</v>
      </c>
      <c r="P294" s="269">
        <f t="shared" si="63"/>
        <v>72</v>
      </c>
      <c r="Q294" s="269">
        <f t="shared" si="63"/>
        <v>76</v>
      </c>
      <c r="R294" s="269">
        <f t="shared" si="62"/>
        <v>75</v>
      </c>
      <c r="S294" s="269"/>
      <c r="T294" s="269">
        <f t="shared" si="54"/>
        <v>65</v>
      </c>
      <c r="U294" s="269">
        <f t="shared" si="55"/>
        <v>66</v>
      </c>
      <c r="V294" s="269">
        <f t="shared" si="56"/>
        <v>69</v>
      </c>
      <c r="W294" s="269">
        <f t="shared" si="57"/>
        <v>72</v>
      </c>
      <c r="X294" s="269">
        <f t="shared" si="58"/>
        <v>73</v>
      </c>
      <c r="Y294" s="269">
        <f t="shared" si="59"/>
        <v>74</v>
      </c>
      <c r="Z294" s="269">
        <f t="shared" si="60"/>
        <v>75</v>
      </c>
      <c r="AA294" s="269">
        <f t="shared" si="61"/>
        <v>76</v>
      </c>
    </row>
    <row r="295" spans="1:27">
      <c r="A295" s="104">
        <v>294</v>
      </c>
      <c r="B295" s="104" t="str">
        <f t="shared" si="53"/>
        <v>ABEGIJKL</v>
      </c>
      <c r="C295" s="104" t="s">
        <v>151</v>
      </c>
      <c r="D295" s="104" t="s">
        <v>232</v>
      </c>
      <c r="E295" s="104" t="s">
        <v>144</v>
      </c>
      <c r="F295" s="104" t="s">
        <v>142</v>
      </c>
      <c r="G295" s="104" t="s">
        <v>258</v>
      </c>
      <c r="H295" s="104" t="s">
        <v>231</v>
      </c>
      <c r="I295" s="104" t="s">
        <v>259</v>
      </c>
      <c r="J295" s="104" t="s">
        <v>246</v>
      </c>
      <c r="K295" s="269">
        <f t="shared" si="63"/>
        <v>69</v>
      </c>
      <c r="L295" s="269">
        <f t="shared" si="63"/>
        <v>74</v>
      </c>
      <c r="M295" s="269">
        <f t="shared" si="63"/>
        <v>66</v>
      </c>
      <c r="N295" s="269">
        <f t="shared" si="63"/>
        <v>65</v>
      </c>
      <c r="O295" s="269">
        <f t="shared" si="63"/>
        <v>73</v>
      </c>
      <c r="P295" s="269">
        <f t="shared" si="63"/>
        <v>71</v>
      </c>
      <c r="Q295" s="269">
        <f t="shared" si="63"/>
        <v>76</v>
      </c>
      <c r="R295" s="269">
        <f t="shared" si="62"/>
        <v>75</v>
      </c>
      <c r="S295" s="269"/>
      <c r="T295" s="269">
        <f t="shared" si="54"/>
        <v>65</v>
      </c>
      <c r="U295" s="269">
        <f t="shared" si="55"/>
        <v>66</v>
      </c>
      <c r="V295" s="269">
        <f t="shared" si="56"/>
        <v>69</v>
      </c>
      <c r="W295" s="269">
        <f t="shared" si="57"/>
        <v>71</v>
      </c>
      <c r="X295" s="269">
        <f t="shared" si="58"/>
        <v>73</v>
      </c>
      <c r="Y295" s="269">
        <f t="shared" si="59"/>
        <v>74</v>
      </c>
      <c r="Z295" s="269">
        <f t="shared" si="60"/>
        <v>75</v>
      </c>
      <c r="AA295" s="269">
        <f t="shared" si="61"/>
        <v>76</v>
      </c>
    </row>
    <row r="296" spans="1:27">
      <c r="A296" s="104">
        <v>295</v>
      </c>
      <c r="B296" s="104" t="str">
        <f t="shared" si="53"/>
        <v>ABEGHJKL</v>
      </c>
      <c r="C296" s="104" t="s">
        <v>151</v>
      </c>
      <c r="D296" s="104" t="s">
        <v>232</v>
      </c>
      <c r="E296" s="104" t="s">
        <v>144</v>
      </c>
      <c r="F296" s="104" t="s">
        <v>142</v>
      </c>
      <c r="G296" s="104" t="s">
        <v>245</v>
      </c>
      <c r="H296" s="104" t="s">
        <v>231</v>
      </c>
      <c r="I296" s="104" t="s">
        <v>259</v>
      </c>
      <c r="J296" s="104" t="s">
        <v>246</v>
      </c>
      <c r="K296" s="269">
        <f t="shared" si="63"/>
        <v>69</v>
      </c>
      <c r="L296" s="269">
        <f t="shared" si="63"/>
        <v>74</v>
      </c>
      <c r="M296" s="269">
        <f t="shared" si="63"/>
        <v>66</v>
      </c>
      <c r="N296" s="269">
        <f t="shared" si="63"/>
        <v>65</v>
      </c>
      <c r="O296" s="269">
        <f t="shared" si="63"/>
        <v>72</v>
      </c>
      <c r="P296" s="269">
        <f t="shared" si="63"/>
        <v>71</v>
      </c>
      <c r="Q296" s="269">
        <f t="shared" si="63"/>
        <v>76</v>
      </c>
      <c r="R296" s="269">
        <f t="shared" si="62"/>
        <v>75</v>
      </c>
      <c r="S296" s="269"/>
      <c r="T296" s="269">
        <f t="shared" si="54"/>
        <v>65</v>
      </c>
      <c r="U296" s="269">
        <f t="shared" si="55"/>
        <v>66</v>
      </c>
      <c r="V296" s="269">
        <f t="shared" si="56"/>
        <v>69</v>
      </c>
      <c r="W296" s="269">
        <f t="shared" si="57"/>
        <v>71</v>
      </c>
      <c r="X296" s="269">
        <f t="shared" si="58"/>
        <v>72</v>
      </c>
      <c r="Y296" s="269">
        <f t="shared" si="59"/>
        <v>74</v>
      </c>
      <c r="Z296" s="269">
        <f t="shared" si="60"/>
        <v>75</v>
      </c>
      <c r="AA296" s="269">
        <f t="shared" si="61"/>
        <v>76</v>
      </c>
    </row>
    <row r="297" spans="1:27">
      <c r="A297" s="104">
        <v>296</v>
      </c>
      <c r="B297" s="104" t="str">
        <f t="shared" si="53"/>
        <v>ABEGHIKL</v>
      </c>
      <c r="C297" s="104" t="s">
        <v>151</v>
      </c>
      <c r="D297" s="104" t="s">
        <v>231</v>
      </c>
      <c r="E297" s="104" t="s">
        <v>144</v>
      </c>
      <c r="F297" s="104" t="s">
        <v>142</v>
      </c>
      <c r="G297" s="104" t="s">
        <v>258</v>
      </c>
      <c r="H297" s="104" t="s">
        <v>245</v>
      </c>
      <c r="I297" s="104" t="s">
        <v>259</v>
      </c>
      <c r="J297" s="104" t="s">
        <v>246</v>
      </c>
      <c r="K297" s="269">
        <f t="shared" si="63"/>
        <v>69</v>
      </c>
      <c r="L297" s="269">
        <f t="shared" si="63"/>
        <v>71</v>
      </c>
      <c r="M297" s="269">
        <f t="shared" si="63"/>
        <v>66</v>
      </c>
      <c r="N297" s="269">
        <f t="shared" si="63"/>
        <v>65</v>
      </c>
      <c r="O297" s="269">
        <f t="shared" si="63"/>
        <v>73</v>
      </c>
      <c r="P297" s="269">
        <f t="shared" si="63"/>
        <v>72</v>
      </c>
      <c r="Q297" s="269">
        <f t="shared" si="63"/>
        <v>76</v>
      </c>
      <c r="R297" s="269">
        <f t="shared" si="62"/>
        <v>75</v>
      </c>
      <c r="S297" s="269"/>
      <c r="T297" s="269">
        <f t="shared" si="54"/>
        <v>65</v>
      </c>
      <c r="U297" s="269">
        <f t="shared" si="55"/>
        <v>66</v>
      </c>
      <c r="V297" s="269">
        <f t="shared" si="56"/>
        <v>69</v>
      </c>
      <c r="W297" s="269">
        <f t="shared" si="57"/>
        <v>71</v>
      </c>
      <c r="X297" s="269">
        <f t="shared" si="58"/>
        <v>72</v>
      </c>
      <c r="Y297" s="269">
        <f t="shared" si="59"/>
        <v>73</v>
      </c>
      <c r="Z297" s="269">
        <f t="shared" si="60"/>
        <v>75</v>
      </c>
      <c r="AA297" s="269">
        <f t="shared" si="61"/>
        <v>76</v>
      </c>
    </row>
    <row r="298" spans="1:27">
      <c r="A298" s="104">
        <v>297</v>
      </c>
      <c r="B298" s="104" t="str">
        <f t="shared" si="53"/>
        <v>ABEGHIJL</v>
      </c>
      <c r="C298" s="104" t="s">
        <v>151</v>
      </c>
      <c r="D298" s="104" t="s">
        <v>232</v>
      </c>
      <c r="E298" s="104" t="s">
        <v>144</v>
      </c>
      <c r="F298" s="104" t="s">
        <v>142</v>
      </c>
      <c r="G298" s="104" t="s">
        <v>245</v>
      </c>
      <c r="H298" s="104" t="s">
        <v>231</v>
      </c>
      <c r="I298" s="104" t="s">
        <v>259</v>
      </c>
      <c r="J298" s="104" t="s">
        <v>258</v>
      </c>
      <c r="K298" s="269">
        <f t="shared" si="63"/>
        <v>69</v>
      </c>
      <c r="L298" s="269">
        <f t="shared" si="63"/>
        <v>74</v>
      </c>
      <c r="M298" s="269">
        <f t="shared" si="63"/>
        <v>66</v>
      </c>
      <c r="N298" s="269">
        <f t="shared" si="63"/>
        <v>65</v>
      </c>
      <c r="O298" s="269">
        <f t="shared" si="63"/>
        <v>72</v>
      </c>
      <c r="P298" s="269">
        <f t="shared" si="63"/>
        <v>71</v>
      </c>
      <c r="Q298" s="269">
        <f t="shared" si="63"/>
        <v>76</v>
      </c>
      <c r="R298" s="269">
        <f t="shared" si="62"/>
        <v>73</v>
      </c>
      <c r="S298" s="269"/>
      <c r="T298" s="269">
        <f t="shared" si="54"/>
        <v>65</v>
      </c>
      <c r="U298" s="269">
        <f t="shared" si="55"/>
        <v>66</v>
      </c>
      <c r="V298" s="269">
        <f t="shared" si="56"/>
        <v>69</v>
      </c>
      <c r="W298" s="269">
        <f t="shared" si="57"/>
        <v>71</v>
      </c>
      <c r="X298" s="269">
        <f t="shared" si="58"/>
        <v>72</v>
      </c>
      <c r="Y298" s="269">
        <f t="shared" si="59"/>
        <v>73</v>
      </c>
      <c r="Z298" s="269">
        <f t="shared" si="60"/>
        <v>74</v>
      </c>
      <c r="AA298" s="269">
        <f t="shared" si="61"/>
        <v>76</v>
      </c>
    </row>
    <row r="299" spans="1:27">
      <c r="A299" s="104">
        <v>298</v>
      </c>
      <c r="B299" s="104" t="str">
        <f t="shared" si="53"/>
        <v>ABEGHIJK</v>
      </c>
      <c r="C299" s="104" t="s">
        <v>151</v>
      </c>
      <c r="D299" s="104" t="s">
        <v>232</v>
      </c>
      <c r="E299" s="104" t="s">
        <v>144</v>
      </c>
      <c r="F299" s="104" t="s">
        <v>142</v>
      </c>
      <c r="G299" s="104" t="s">
        <v>245</v>
      </c>
      <c r="H299" s="104" t="s">
        <v>231</v>
      </c>
      <c r="I299" s="104" t="s">
        <v>258</v>
      </c>
      <c r="J299" s="104" t="s">
        <v>246</v>
      </c>
      <c r="K299" s="269">
        <f t="shared" si="63"/>
        <v>69</v>
      </c>
      <c r="L299" s="269">
        <f t="shared" si="63"/>
        <v>74</v>
      </c>
      <c r="M299" s="269">
        <f t="shared" si="63"/>
        <v>66</v>
      </c>
      <c r="N299" s="269">
        <f t="shared" si="63"/>
        <v>65</v>
      </c>
      <c r="O299" s="269">
        <f t="shared" si="63"/>
        <v>72</v>
      </c>
      <c r="P299" s="269">
        <f t="shared" si="63"/>
        <v>71</v>
      </c>
      <c r="Q299" s="269">
        <f t="shared" si="63"/>
        <v>73</v>
      </c>
      <c r="R299" s="269">
        <f t="shared" si="62"/>
        <v>75</v>
      </c>
      <c r="S299" s="269"/>
      <c r="T299" s="269">
        <f t="shared" si="54"/>
        <v>65</v>
      </c>
      <c r="U299" s="269">
        <f t="shared" si="55"/>
        <v>66</v>
      </c>
      <c r="V299" s="269">
        <f t="shared" si="56"/>
        <v>69</v>
      </c>
      <c r="W299" s="269">
        <f t="shared" si="57"/>
        <v>71</v>
      </c>
      <c r="X299" s="269">
        <f t="shared" si="58"/>
        <v>72</v>
      </c>
      <c r="Y299" s="269">
        <f t="shared" si="59"/>
        <v>73</v>
      </c>
      <c r="Z299" s="269">
        <f t="shared" si="60"/>
        <v>74</v>
      </c>
      <c r="AA299" s="269">
        <f t="shared" si="61"/>
        <v>75</v>
      </c>
    </row>
    <row r="300" spans="1:27">
      <c r="A300" s="104">
        <v>299</v>
      </c>
      <c r="B300" s="104" t="str">
        <f t="shared" si="53"/>
        <v>ABEFIJKL</v>
      </c>
      <c r="C300" s="104" t="s">
        <v>151</v>
      </c>
      <c r="D300" s="104" t="s">
        <v>232</v>
      </c>
      <c r="E300" s="104" t="s">
        <v>144</v>
      </c>
      <c r="F300" s="104" t="s">
        <v>142</v>
      </c>
      <c r="G300" s="104" t="s">
        <v>258</v>
      </c>
      <c r="H300" s="104" t="s">
        <v>152</v>
      </c>
      <c r="I300" s="104" t="s">
        <v>259</v>
      </c>
      <c r="J300" s="104" t="s">
        <v>246</v>
      </c>
      <c r="K300" s="269">
        <f t="shared" si="63"/>
        <v>69</v>
      </c>
      <c r="L300" s="269">
        <f t="shared" si="63"/>
        <v>74</v>
      </c>
      <c r="M300" s="269">
        <f t="shared" si="63"/>
        <v>66</v>
      </c>
      <c r="N300" s="269">
        <f t="shared" si="63"/>
        <v>65</v>
      </c>
      <c r="O300" s="269">
        <f t="shared" si="63"/>
        <v>73</v>
      </c>
      <c r="P300" s="269">
        <f t="shared" si="63"/>
        <v>70</v>
      </c>
      <c r="Q300" s="269">
        <f t="shared" si="63"/>
        <v>76</v>
      </c>
      <c r="R300" s="269">
        <f t="shared" si="62"/>
        <v>75</v>
      </c>
      <c r="S300" s="269"/>
      <c r="T300" s="269">
        <f t="shared" si="54"/>
        <v>65</v>
      </c>
      <c r="U300" s="269">
        <f t="shared" si="55"/>
        <v>66</v>
      </c>
      <c r="V300" s="269">
        <f t="shared" si="56"/>
        <v>69</v>
      </c>
      <c r="W300" s="269">
        <f t="shared" si="57"/>
        <v>70</v>
      </c>
      <c r="X300" s="269">
        <f t="shared" si="58"/>
        <v>73</v>
      </c>
      <c r="Y300" s="269">
        <f t="shared" si="59"/>
        <v>74</v>
      </c>
      <c r="Z300" s="269">
        <f t="shared" si="60"/>
        <v>75</v>
      </c>
      <c r="AA300" s="269">
        <f t="shared" si="61"/>
        <v>76</v>
      </c>
    </row>
    <row r="301" spans="1:27">
      <c r="A301" s="104">
        <v>300</v>
      </c>
      <c r="B301" s="104" t="str">
        <f t="shared" si="53"/>
        <v>ABEFHJKL</v>
      </c>
      <c r="C301" s="104" t="s">
        <v>151</v>
      </c>
      <c r="D301" s="104" t="s">
        <v>232</v>
      </c>
      <c r="E301" s="104" t="s">
        <v>144</v>
      </c>
      <c r="F301" s="104" t="s">
        <v>152</v>
      </c>
      <c r="G301" s="104" t="s">
        <v>142</v>
      </c>
      <c r="H301" s="104" t="s">
        <v>245</v>
      </c>
      <c r="I301" s="104" t="s">
        <v>259</v>
      </c>
      <c r="J301" s="104" t="s">
        <v>246</v>
      </c>
      <c r="K301" s="269">
        <f t="shared" si="63"/>
        <v>69</v>
      </c>
      <c r="L301" s="269">
        <f t="shared" si="63"/>
        <v>74</v>
      </c>
      <c r="M301" s="269">
        <f t="shared" si="63"/>
        <v>66</v>
      </c>
      <c r="N301" s="269">
        <f t="shared" si="63"/>
        <v>70</v>
      </c>
      <c r="O301" s="269">
        <f t="shared" si="63"/>
        <v>65</v>
      </c>
      <c r="P301" s="269">
        <f t="shared" si="63"/>
        <v>72</v>
      </c>
      <c r="Q301" s="269">
        <f t="shared" si="63"/>
        <v>76</v>
      </c>
      <c r="R301" s="269">
        <f t="shared" si="62"/>
        <v>75</v>
      </c>
      <c r="S301" s="269"/>
      <c r="T301" s="269">
        <f t="shared" si="54"/>
        <v>65</v>
      </c>
      <c r="U301" s="269">
        <f t="shared" si="55"/>
        <v>66</v>
      </c>
      <c r="V301" s="269">
        <f t="shared" si="56"/>
        <v>69</v>
      </c>
      <c r="W301" s="269">
        <f t="shared" si="57"/>
        <v>70</v>
      </c>
      <c r="X301" s="269">
        <f t="shared" si="58"/>
        <v>72</v>
      </c>
      <c r="Y301" s="269">
        <f t="shared" si="59"/>
        <v>74</v>
      </c>
      <c r="Z301" s="269">
        <f t="shared" si="60"/>
        <v>75</v>
      </c>
      <c r="AA301" s="269">
        <f t="shared" si="61"/>
        <v>76</v>
      </c>
    </row>
    <row r="302" spans="1:27">
      <c r="A302" s="104">
        <v>301</v>
      </c>
      <c r="B302" s="104" t="str">
        <f t="shared" si="53"/>
        <v>ABEFHIKL</v>
      </c>
      <c r="C302" s="104" t="s">
        <v>151</v>
      </c>
      <c r="D302" s="104" t="s">
        <v>258</v>
      </c>
      <c r="E302" s="104" t="s">
        <v>144</v>
      </c>
      <c r="F302" s="104" t="s">
        <v>152</v>
      </c>
      <c r="G302" s="104" t="s">
        <v>142</v>
      </c>
      <c r="H302" s="104" t="s">
        <v>245</v>
      </c>
      <c r="I302" s="104" t="s">
        <v>259</v>
      </c>
      <c r="J302" s="104" t="s">
        <v>246</v>
      </c>
      <c r="K302" s="269">
        <f t="shared" si="63"/>
        <v>69</v>
      </c>
      <c r="L302" s="269">
        <f t="shared" si="63"/>
        <v>73</v>
      </c>
      <c r="M302" s="269">
        <f t="shared" si="63"/>
        <v>66</v>
      </c>
      <c r="N302" s="269">
        <f t="shared" si="63"/>
        <v>70</v>
      </c>
      <c r="O302" s="269">
        <f t="shared" si="63"/>
        <v>65</v>
      </c>
      <c r="P302" s="269">
        <f t="shared" si="63"/>
        <v>72</v>
      </c>
      <c r="Q302" s="269">
        <f t="shared" si="63"/>
        <v>76</v>
      </c>
      <c r="R302" s="269">
        <f t="shared" si="62"/>
        <v>75</v>
      </c>
      <c r="S302" s="269"/>
      <c r="T302" s="269">
        <f t="shared" si="54"/>
        <v>65</v>
      </c>
      <c r="U302" s="269">
        <f t="shared" si="55"/>
        <v>66</v>
      </c>
      <c r="V302" s="269">
        <f t="shared" si="56"/>
        <v>69</v>
      </c>
      <c r="W302" s="269">
        <f t="shared" si="57"/>
        <v>70</v>
      </c>
      <c r="X302" s="269">
        <f t="shared" si="58"/>
        <v>72</v>
      </c>
      <c r="Y302" s="269">
        <f t="shared" si="59"/>
        <v>73</v>
      </c>
      <c r="Z302" s="269">
        <f t="shared" si="60"/>
        <v>75</v>
      </c>
      <c r="AA302" s="269">
        <f t="shared" si="61"/>
        <v>76</v>
      </c>
    </row>
    <row r="303" spans="1:27">
      <c r="A303" s="104">
        <v>302</v>
      </c>
      <c r="B303" s="104" t="str">
        <f t="shared" si="53"/>
        <v>ABEFHIJL</v>
      </c>
      <c r="C303" s="104" t="s">
        <v>151</v>
      </c>
      <c r="D303" s="104" t="s">
        <v>232</v>
      </c>
      <c r="E303" s="104" t="s">
        <v>144</v>
      </c>
      <c r="F303" s="104" t="s">
        <v>152</v>
      </c>
      <c r="G303" s="104" t="s">
        <v>142</v>
      </c>
      <c r="H303" s="104" t="s">
        <v>245</v>
      </c>
      <c r="I303" s="104" t="s">
        <v>259</v>
      </c>
      <c r="J303" s="104" t="s">
        <v>258</v>
      </c>
      <c r="K303" s="269">
        <f t="shared" si="63"/>
        <v>69</v>
      </c>
      <c r="L303" s="269">
        <f t="shared" si="63"/>
        <v>74</v>
      </c>
      <c r="M303" s="269">
        <f t="shared" si="63"/>
        <v>66</v>
      </c>
      <c r="N303" s="269">
        <f t="shared" si="63"/>
        <v>70</v>
      </c>
      <c r="O303" s="269">
        <f t="shared" si="63"/>
        <v>65</v>
      </c>
      <c r="P303" s="269">
        <f t="shared" si="63"/>
        <v>72</v>
      </c>
      <c r="Q303" s="269">
        <f t="shared" si="63"/>
        <v>76</v>
      </c>
      <c r="R303" s="269">
        <f t="shared" si="62"/>
        <v>73</v>
      </c>
      <c r="S303" s="269"/>
      <c r="T303" s="269">
        <f t="shared" si="54"/>
        <v>65</v>
      </c>
      <c r="U303" s="269">
        <f t="shared" si="55"/>
        <v>66</v>
      </c>
      <c r="V303" s="269">
        <f t="shared" si="56"/>
        <v>69</v>
      </c>
      <c r="W303" s="269">
        <f t="shared" si="57"/>
        <v>70</v>
      </c>
      <c r="X303" s="269">
        <f t="shared" si="58"/>
        <v>72</v>
      </c>
      <c r="Y303" s="269">
        <f t="shared" si="59"/>
        <v>73</v>
      </c>
      <c r="Z303" s="269">
        <f t="shared" si="60"/>
        <v>74</v>
      </c>
      <c r="AA303" s="269">
        <f t="shared" si="61"/>
        <v>76</v>
      </c>
    </row>
    <row r="304" spans="1:27">
      <c r="A304" s="104">
        <v>303</v>
      </c>
      <c r="B304" s="104" t="str">
        <f t="shared" si="53"/>
        <v>ABEFHIJK</v>
      </c>
      <c r="C304" s="104" t="s">
        <v>151</v>
      </c>
      <c r="D304" s="104" t="s">
        <v>232</v>
      </c>
      <c r="E304" s="104" t="s">
        <v>144</v>
      </c>
      <c r="F304" s="104" t="s">
        <v>152</v>
      </c>
      <c r="G304" s="104" t="s">
        <v>142</v>
      </c>
      <c r="H304" s="104" t="s">
        <v>245</v>
      </c>
      <c r="I304" s="104" t="s">
        <v>258</v>
      </c>
      <c r="J304" s="104" t="s">
        <v>246</v>
      </c>
      <c r="K304" s="269">
        <f t="shared" si="63"/>
        <v>69</v>
      </c>
      <c r="L304" s="269">
        <f t="shared" si="63"/>
        <v>74</v>
      </c>
      <c r="M304" s="269">
        <f t="shared" si="63"/>
        <v>66</v>
      </c>
      <c r="N304" s="269">
        <f t="shared" si="63"/>
        <v>70</v>
      </c>
      <c r="O304" s="269">
        <f t="shared" si="63"/>
        <v>65</v>
      </c>
      <c r="P304" s="269">
        <f t="shared" si="63"/>
        <v>72</v>
      </c>
      <c r="Q304" s="269">
        <f t="shared" si="63"/>
        <v>73</v>
      </c>
      <c r="R304" s="269">
        <f t="shared" si="62"/>
        <v>75</v>
      </c>
      <c r="S304" s="269"/>
      <c r="T304" s="269">
        <f t="shared" si="54"/>
        <v>65</v>
      </c>
      <c r="U304" s="269">
        <f t="shared" si="55"/>
        <v>66</v>
      </c>
      <c r="V304" s="269">
        <f t="shared" si="56"/>
        <v>69</v>
      </c>
      <c r="W304" s="269">
        <f t="shared" si="57"/>
        <v>70</v>
      </c>
      <c r="X304" s="269">
        <f t="shared" si="58"/>
        <v>72</v>
      </c>
      <c r="Y304" s="269">
        <f t="shared" si="59"/>
        <v>73</v>
      </c>
      <c r="Z304" s="269">
        <f t="shared" si="60"/>
        <v>74</v>
      </c>
      <c r="AA304" s="269">
        <f t="shared" si="61"/>
        <v>75</v>
      </c>
    </row>
    <row r="305" spans="1:27">
      <c r="A305" s="104">
        <v>304</v>
      </c>
      <c r="B305" s="104" t="str">
        <f t="shared" si="53"/>
        <v>ABEFGJKL</v>
      </c>
      <c r="C305" s="104" t="s">
        <v>151</v>
      </c>
      <c r="D305" s="104" t="s">
        <v>232</v>
      </c>
      <c r="E305" s="104" t="s">
        <v>144</v>
      </c>
      <c r="F305" s="104" t="s">
        <v>152</v>
      </c>
      <c r="G305" s="104" t="s">
        <v>142</v>
      </c>
      <c r="H305" s="104" t="s">
        <v>231</v>
      </c>
      <c r="I305" s="104" t="s">
        <v>259</v>
      </c>
      <c r="J305" s="104" t="s">
        <v>246</v>
      </c>
      <c r="K305" s="269">
        <f t="shared" si="63"/>
        <v>69</v>
      </c>
      <c r="L305" s="269">
        <f t="shared" si="63"/>
        <v>74</v>
      </c>
      <c r="M305" s="269">
        <f t="shared" si="63"/>
        <v>66</v>
      </c>
      <c r="N305" s="269">
        <f t="shared" ref="N305:R361" si="64">CODE(MID(F305,2,1))</f>
        <v>70</v>
      </c>
      <c r="O305" s="269">
        <f t="shared" si="64"/>
        <v>65</v>
      </c>
      <c r="P305" s="269">
        <f t="shared" si="64"/>
        <v>71</v>
      </c>
      <c r="Q305" s="269">
        <f t="shared" si="64"/>
        <v>76</v>
      </c>
      <c r="R305" s="269">
        <f t="shared" si="62"/>
        <v>75</v>
      </c>
      <c r="S305" s="269"/>
      <c r="T305" s="269">
        <f t="shared" si="54"/>
        <v>65</v>
      </c>
      <c r="U305" s="269">
        <f t="shared" si="55"/>
        <v>66</v>
      </c>
      <c r="V305" s="269">
        <f t="shared" si="56"/>
        <v>69</v>
      </c>
      <c r="W305" s="269">
        <f t="shared" si="57"/>
        <v>70</v>
      </c>
      <c r="X305" s="269">
        <f t="shared" si="58"/>
        <v>71</v>
      </c>
      <c r="Y305" s="269">
        <f t="shared" si="59"/>
        <v>74</v>
      </c>
      <c r="Z305" s="269">
        <f t="shared" si="60"/>
        <v>75</v>
      </c>
      <c r="AA305" s="269">
        <f t="shared" si="61"/>
        <v>76</v>
      </c>
    </row>
    <row r="306" spans="1:27">
      <c r="A306" s="104">
        <v>305</v>
      </c>
      <c r="B306" s="104" t="str">
        <f t="shared" si="53"/>
        <v>ABEFGIKL</v>
      </c>
      <c r="C306" s="104" t="s">
        <v>151</v>
      </c>
      <c r="D306" s="104" t="s">
        <v>231</v>
      </c>
      <c r="E306" s="104" t="s">
        <v>144</v>
      </c>
      <c r="F306" s="104" t="s">
        <v>142</v>
      </c>
      <c r="G306" s="104" t="s">
        <v>258</v>
      </c>
      <c r="H306" s="104" t="s">
        <v>152</v>
      </c>
      <c r="I306" s="104" t="s">
        <v>259</v>
      </c>
      <c r="J306" s="104" t="s">
        <v>246</v>
      </c>
      <c r="K306" s="269">
        <f t="shared" ref="K306:O369" si="65">CODE(MID(C306,2,1))</f>
        <v>69</v>
      </c>
      <c r="L306" s="269">
        <f t="shared" si="65"/>
        <v>71</v>
      </c>
      <c r="M306" s="269">
        <f t="shared" si="65"/>
        <v>66</v>
      </c>
      <c r="N306" s="269">
        <f t="shared" si="64"/>
        <v>65</v>
      </c>
      <c r="O306" s="269">
        <f t="shared" si="64"/>
        <v>73</v>
      </c>
      <c r="P306" s="269">
        <f t="shared" si="64"/>
        <v>70</v>
      </c>
      <c r="Q306" s="269">
        <f t="shared" si="64"/>
        <v>76</v>
      </c>
      <c r="R306" s="269">
        <f t="shared" si="62"/>
        <v>75</v>
      </c>
      <c r="S306" s="269"/>
      <c r="T306" s="269">
        <f t="shared" si="54"/>
        <v>65</v>
      </c>
      <c r="U306" s="269">
        <f t="shared" si="55"/>
        <v>66</v>
      </c>
      <c r="V306" s="269">
        <f t="shared" si="56"/>
        <v>69</v>
      </c>
      <c r="W306" s="269">
        <f t="shared" si="57"/>
        <v>70</v>
      </c>
      <c r="X306" s="269">
        <f t="shared" si="58"/>
        <v>71</v>
      </c>
      <c r="Y306" s="269">
        <f t="shared" si="59"/>
        <v>73</v>
      </c>
      <c r="Z306" s="269">
        <f t="shared" si="60"/>
        <v>75</v>
      </c>
      <c r="AA306" s="269">
        <f t="shared" si="61"/>
        <v>76</v>
      </c>
    </row>
    <row r="307" spans="1:27">
      <c r="A307" s="104">
        <v>306</v>
      </c>
      <c r="B307" s="104" t="str">
        <f t="shared" si="53"/>
        <v>ABEFGIJL</v>
      </c>
      <c r="C307" s="104" t="s">
        <v>151</v>
      </c>
      <c r="D307" s="104" t="s">
        <v>232</v>
      </c>
      <c r="E307" s="104" t="s">
        <v>144</v>
      </c>
      <c r="F307" s="104" t="s">
        <v>152</v>
      </c>
      <c r="G307" s="104" t="s">
        <v>142</v>
      </c>
      <c r="H307" s="104" t="s">
        <v>231</v>
      </c>
      <c r="I307" s="104" t="s">
        <v>259</v>
      </c>
      <c r="J307" s="104" t="s">
        <v>258</v>
      </c>
      <c r="K307" s="269">
        <f t="shared" si="65"/>
        <v>69</v>
      </c>
      <c r="L307" s="269">
        <f t="shared" si="65"/>
        <v>74</v>
      </c>
      <c r="M307" s="269">
        <f t="shared" si="65"/>
        <v>66</v>
      </c>
      <c r="N307" s="269">
        <f t="shared" si="64"/>
        <v>70</v>
      </c>
      <c r="O307" s="269">
        <f t="shared" si="64"/>
        <v>65</v>
      </c>
      <c r="P307" s="269">
        <f t="shared" si="64"/>
        <v>71</v>
      </c>
      <c r="Q307" s="269">
        <f t="shared" si="64"/>
        <v>76</v>
      </c>
      <c r="R307" s="269">
        <f t="shared" si="62"/>
        <v>73</v>
      </c>
      <c r="S307" s="269"/>
      <c r="T307" s="269">
        <f t="shared" si="54"/>
        <v>65</v>
      </c>
      <c r="U307" s="269">
        <f t="shared" si="55"/>
        <v>66</v>
      </c>
      <c r="V307" s="269">
        <f t="shared" si="56"/>
        <v>69</v>
      </c>
      <c r="W307" s="269">
        <f t="shared" si="57"/>
        <v>70</v>
      </c>
      <c r="X307" s="269">
        <f t="shared" si="58"/>
        <v>71</v>
      </c>
      <c r="Y307" s="269">
        <f t="shared" si="59"/>
        <v>73</v>
      </c>
      <c r="Z307" s="269">
        <f t="shared" si="60"/>
        <v>74</v>
      </c>
      <c r="AA307" s="269">
        <f t="shared" si="61"/>
        <v>76</v>
      </c>
    </row>
    <row r="308" spans="1:27">
      <c r="A308" s="104">
        <v>307</v>
      </c>
      <c r="B308" s="104" t="str">
        <f t="shared" si="53"/>
        <v>ABEFGIJK</v>
      </c>
      <c r="C308" s="104" t="s">
        <v>151</v>
      </c>
      <c r="D308" s="104" t="s">
        <v>232</v>
      </c>
      <c r="E308" s="104" t="s">
        <v>144</v>
      </c>
      <c r="F308" s="104" t="s">
        <v>152</v>
      </c>
      <c r="G308" s="104" t="s">
        <v>142</v>
      </c>
      <c r="H308" s="104" t="s">
        <v>231</v>
      </c>
      <c r="I308" s="104" t="s">
        <v>258</v>
      </c>
      <c r="J308" s="104" t="s">
        <v>246</v>
      </c>
      <c r="K308" s="269">
        <f t="shared" si="65"/>
        <v>69</v>
      </c>
      <c r="L308" s="269">
        <f t="shared" si="65"/>
        <v>74</v>
      </c>
      <c r="M308" s="269">
        <f t="shared" si="65"/>
        <v>66</v>
      </c>
      <c r="N308" s="269">
        <f t="shared" si="64"/>
        <v>70</v>
      </c>
      <c r="O308" s="269">
        <f t="shared" si="64"/>
        <v>65</v>
      </c>
      <c r="P308" s="269">
        <f t="shared" si="64"/>
        <v>71</v>
      </c>
      <c r="Q308" s="269">
        <f t="shared" si="64"/>
        <v>73</v>
      </c>
      <c r="R308" s="269">
        <f t="shared" si="62"/>
        <v>75</v>
      </c>
      <c r="S308" s="269"/>
      <c r="T308" s="269">
        <f t="shared" si="54"/>
        <v>65</v>
      </c>
      <c r="U308" s="269">
        <f t="shared" si="55"/>
        <v>66</v>
      </c>
      <c r="V308" s="269">
        <f t="shared" si="56"/>
        <v>69</v>
      </c>
      <c r="W308" s="269">
        <f t="shared" si="57"/>
        <v>70</v>
      </c>
      <c r="X308" s="269">
        <f t="shared" si="58"/>
        <v>71</v>
      </c>
      <c r="Y308" s="269">
        <f t="shared" si="59"/>
        <v>73</v>
      </c>
      <c r="Z308" s="269">
        <f t="shared" si="60"/>
        <v>74</v>
      </c>
      <c r="AA308" s="269">
        <f t="shared" si="61"/>
        <v>75</v>
      </c>
    </row>
    <row r="309" spans="1:27">
      <c r="A309" s="104">
        <v>308</v>
      </c>
      <c r="B309" s="104" t="str">
        <f t="shared" si="53"/>
        <v>ABEFGHKL</v>
      </c>
      <c r="C309" s="104" t="s">
        <v>151</v>
      </c>
      <c r="D309" s="104" t="s">
        <v>231</v>
      </c>
      <c r="E309" s="104" t="s">
        <v>144</v>
      </c>
      <c r="F309" s="104" t="s">
        <v>152</v>
      </c>
      <c r="G309" s="104" t="s">
        <v>142</v>
      </c>
      <c r="H309" s="104" t="s">
        <v>245</v>
      </c>
      <c r="I309" s="104" t="s">
        <v>259</v>
      </c>
      <c r="J309" s="104" t="s">
        <v>246</v>
      </c>
      <c r="K309" s="269">
        <f t="shared" si="65"/>
        <v>69</v>
      </c>
      <c r="L309" s="269">
        <f t="shared" si="65"/>
        <v>71</v>
      </c>
      <c r="M309" s="269">
        <f t="shared" si="65"/>
        <v>66</v>
      </c>
      <c r="N309" s="269">
        <f t="shared" si="64"/>
        <v>70</v>
      </c>
      <c r="O309" s="269">
        <f t="shared" si="64"/>
        <v>65</v>
      </c>
      <c r="P309" s="269">
        <f t="shared" si="64"/>
        <v>72</v>
      </c>
      <c r="Q309" s="269">
        <f t="shared" si="64"/>
        <v>76</v>
      </c>
      <c r="R309" s="269">
        <f t="shared" si="62"/>
        <v>75</v>
      </c>
      <c r="S309" s="269"/>
      <c r="T309" s="269">
        <f t="shared" si="54"/>
        <v>65</v>
      </c>
      <c r="U309" s="269">
        <f t="shared" si="55"/>
        <v>66</v>
      </c>
      <c r="V309" s="269">
        <f t="shared" si="56"/>
        <v>69</v>
      </c>
      <c r="W309" s="269">
        <f t="shared" si="57"/>
        <v>70</v>
      </c>
      <c r="X309" s="269">
        <f t="shared" si="58"/>
        <v>71</v>
      </c>
      <c r="Y309" s="269">
        <f t="shared" si="59"/>
        <v>72</v>
      </c>
      <c r="Z309" s="269">
        <f t="shared" si="60"/>
        <v>75</v>
      </c>
      <c r="AA309" s="269">
        <f t="shared" si="61"/>
        <v>76</v>
      </c>
    </row>
    <row r="310" spans="1:27">
      <c r="A310" s="104">
        <v>309</v>
      </c>
      <c r="B310" s="104" t="str">
        <f t="shared" si="53"/>
        <v>ABEFGHJL</v>
      </c>
      <c r="C310" s="104" t="s">
        <v>245</v>
      </c>
      <c r="D310" s="104" t="s">
        <v>232</v>
      </c>
      <c r="E310" s="104" t="s">
        <v>144</v>
      </c>
      <c r="F310" s="104" t="s">
        <v>152</v>
      </c>
      <c r="G310" s="104" t="s">
        <v>142</v>
      </c>
      <c r="H310" s="104" t="s">
        <v>231</v>
      </c>
      <c r="I310" s="104" t="s">
        <v>259</v>
      </c>
      <c r="J310" s="104" t="s">
        <v>151</v>
      </c>
      <c r="K310" s="269">
        <f t="shared" si="65"/>
        <v>72</v>
      </c>
      <c r="L310" s="269">
        <f t="shared" si="65"/>
        <v>74</v>
      </c>
      <c r="M310" s="269">
        <f t="shared" si="65"/>
        <v>66</v>
      </c>
      <c r="N310" s="269">
        <f t="shared" si="64"/>
        <v>70</v>
      </c>
      <c r="O310" s="269">
        <f t="shared" si="64"/>
        <v>65</v>
      </c>
      <c r="P310" s="269">
        <f t="shared" si="64"/>
        <v>71</v>
      </c>
      <c r="Q310" s="269">
        <f t="shared" si="64"/>
        <v>76</v>
      </c>
      <c r="R310" s="269">
        <f t="shared" si="62"/>
        <v>69</v>
      </c>
      <c r="S310" s="269"/>
      <c r="T310" s="269">
        <f t="shared" si="54"/>
        <v>65</v>
      </c>
      <c r="U310" s="269">
        <f t="shared" si="55"/>
        <v>66</v>
      </c>
      <c r="V310" s="269">
        <f t="shared" si="56"/>
        <v>69</v>
      </c>
      <c r="W310" s="269">
        <f t="shared" si="57"/>
        <v>70</v>
      </c>
      <c r="X310" s="269">
        <f t="shared" si="58"/>
        <v>71</v>
      </c>
      <c r="Y310" s="269">
        <f t="shared" si="59"/>
        <v>72</v>
      </c>
      <c r="Z310" s="269">
        <f t="shared" si="60"/>
        <v>74</v>
      </c>
      <c r="AA310" s="269">
        <f t="shared" si="61"/>
        <v>76</v>
      </c>
    </row>
    <row r="311" spans="1:27">
      <c r="A311" s="104">
        <v>310</v>
      </c>
      <c r="B311" s="104" t="str">
        <f t="shared" si="53"/>
        <v>ABEFGHJK</v>
      </c>
      <c r="C311" s="104" t="s">
        <v>245</v>
      </c>
      <c r="D311" s="104" t="s">
        <v>232</v>
      </c>
      <c r="E311" s="104" t="s">
        <v>144</v>
      </c>
      <c r="F311" s="104" t="s">
        <v>152</v>
      </c>
      <c r="G311" s="104" t="s">
        <v>142</v>
      </c>
      <c r="H311" s="104" t="s">
        <v>231</v>
      </c>
      <c r="I311" s="104" t="s">
        <v>151</v>
      </c>
      <c r="J311" s="104" t="s">
        <v>246</v>
      </c>
      <c r="K311" s="269">
        <f t="shared" si="65"/>
        <v>72</v>
      </c>
      <c r="L311" s="269">
        <f t="shared" si="65"/>
        <v>74</v>
      </c>
      <c r="M311" s="269">
        <f t="shared" si="65"/>
        <v>66</v>
      </c>
      <c r="N311" s="269">
        <f t="shared" si="64"/>
        <v>70</v>
      </c>
      <c r="O311" s="269">
        <f t="shared" si="64"/>
        <v>65</v>
      </c>
      <c r="P311" s="269">
        <f t="shared" si="64"/>
        <v>71</v>
      </c>
      <c r="Q311" s="269">
        <f t="shared" si="64"/>
        <v>69</v>
      </c>
      <c r="R311" s="269">
        <f t="shared" si="62"/>
        <v>75</v>
      </c>
      <c r="S311" s="269"/>
      <c r="T311" s="269">
        <f t="shared" si="54"/>
        <v>65</v>
      </c>
      <c r="U311" s="269">
        <f t="shared" si="55"/>
        <v>66</v>
      </c>
      <c r="V311" s="269">
        <f t="shared" si="56"/>
        <v>69</v>
      </c>
      <c r="W311" s="269">
        <f t="shared" si="57"/>
        <v>70</v>
      </c>
      <c r="X311" s="269">
        <f t="shared" si="58"/>
        <v>71</v>
      </c>
      <c r="Y311" s="269">
        <f t="shared" si="59"/>
        <v>72</v>
      </c>
      <c r="Z311" s="269">
        <f t="shared" si="60"/>
        <v>74</v>
      </c>
      <c r="AA311" s="269">
        <f t="shared" si="61"/>
        <v>75</v>
      </c>
    </row>
    <row r="312" spans="1:27">
      <c r="A312" s="104">
        <v>311</v>
      </c>
      <c r="B312" s="104" t="str">
        <f t="shared" si="53"/>
        <v>ABEFGHIL</v>
      </c>
      <c r="C312" s="104" t="s">
        <v>151</v>
      </c>
      <c r="D312" s="104" t="s">
        <v>231</v>
      </c>
      <c r="E312" s="104" t="s">
        <v>144</v>
      </c>
      <c r="F312" s="104" t="s">
        <v>152</v>
      </c>
      <c r="G312" s="104" t="s">
        <v>142</v>
      </c>
      <c r="H312" s="104" t="s">
        <v>245</v>
      </c>
      <c r="I312" s="104" t="s">
        <v>259</v>
      </c>
      <c r="J312" s="104" t="s">
        <v>258</v>
      </c>
      <c r="K312" s="269">
        <f t="shared" si="65"/>
        <v>69</v>
      </c>
      <c r="L312" s="269">
        <f t="shared" si="65"/>
        <v>71</v>
      </c>
      <c r="M312" s="269">
        <f t="shared" si="65"/>
        <v>66</v>
      </c>
      <c r="N312" s="269">
        <f t="shared" si="64"/>
        <v>70</v>
      </c>
      <c r="O312" s="269">
        <f t="shared" si="64"/>
        <v>65</v>
      </c>
      <c r="P312" s="269">
        <f t="shared" si="64"/>
        <v>72</v>
      </c>
      <c r="Q312" s="269">
        <f t="shared" si="64"/>
        <v>76</v>
      </c>
      <c r="R312" s="269">
        <f t="shared" si="62"/>
        <v>73</v>
      </c>
      <c r="S312" s="269"/>
      <c r="T312" s="269">
        <f t="shared" si="54"/>
        <v>65</v>
      </c>
      <c r="U312" s="269">
        <f t="shared" si="55"/>
        <v>66</v>
      </c>
      <c r="V312" s="269">
        <f t="shared" si="56"/>
        <v>69</v>
      </c>
      <c r="W312" s="269">
        <f t="shared" si="57"/>
        <v>70</v>
      </c>
      <c r="X312" s="269">
        <f t="shared" si="58"/>
        <v>71</v>
      </c>
      <c r="Y312" s="269">
        <f t="shared" si="59"/>
        <v>72</v>
      </c>
      <c r="Z312" s="269">
        <f t="shared" si="60"/>
        <v>73</v>
      </c>
      <c r="AA312" s="269">
        <f t="shared" si="61"/>
        <v>76</v>
      </c>
    </row>
    <row r="313" spans="1:27">
      <c r="A313" s="104">
        <v>312</v>
      </c>
      <c r="B313" s="104" t="str">
        <f t="shared" si="53"/>
        <v>ABEFGHIK</v>
      </c>
      <c r="C313" s="104" t="s">
        <v>151</v>
      </c>
      <c r="D313" s="104" t="s">
        <v>231</v>
      </c>
      <c r="E313" s="104" t="s">
        <v>144</v>
      </c>
      <c r="F313" s="104" t="s">
        <v>152</v>
      </c>
      <c r="G313" s="104" t="s">
        <v>142</v>
      </c>
      <c r="H313" s="104" t="s">
        <v>245</v>
      </c>
      <c r="I313" s="104" t="s">
        <v>258</v>
      </c>
      <c r="J313" s="104" t="s">
        <v>246</v>
      </c>
      <c r="K313" s="269">
        <f t="shared" si="65"/>
        <v>69</v>
      </c>
      <c r="L313" s="269">
        <f t="shared" si="65"/>
        <v>71</v>
      </c>
      <c r="M313" s="269">
        <f t="shared" si="65"/>
        <v>66</v>
      </c>
      <c r="N313" s="269">
        <f t="shared" si="64"/>
        <v>70</v>
      </c>
      <c r="O313" s="269">
        <f t="shared" si="64"/>
        <v>65</v>
      </c>
      <c r="P313" s="269">
        <f t="shared" si="64"/>
        <v>72</v>
      </c>
      <c r="Q313" s="269">
        <f t="shared" si="64"/>
        <v>73</v>
      </c>
      <c r="R313" s="269">
        <f t="shared" si="62"/>
        <v>75</v>
      </c>
      <c r="S313" s="269"/>
      <c r="T313" s="269">
        <f t="shared" si="54"/>
        <v>65</v>
      </c>
      <c r="U313" s="269">
        <f t="shared" si="55"/>
        <v>66</v>
      </c>
      <c r="V313" s="269">
        <f t="shared" si="56"/>
        <v>69</v>
      </c>
      <c r="W313" s="269">
        <f t="shared" si="57"/>
        <v>70</v>
      </c>
      <c r="X313" s="269">
        <f t="shared" si="58"/>
        <v>71</v>
      </c>
      <c r="Y313" s="269">
        <f t="shared" si="59"/>
        <v>72</v>
      </c>
      <c r="Z313" s="269">
        <f t="shared" si="60"/>
        <v>73</v>
      </c>
      <c r="AA313" s="269">
        <f t="shared" si="61"/>
        <v>75</v>
      </c>
    </row>
    <row r="314" spans="1:27">
      <c r="A314" s="104">
        <v>313</v>
      </c>
      <c r="B314" s="104" t="str">
        <f t="shared" si="53"/>
        <v>ABEFGHIJ</v>
      </c>
      <c r="C314" s="104" t="s">
        <v>245</v>
      </c>
      <c r="D314" s="104" t="s">
        <v>232</v>
      </c>
      <c r="E314" s="104" t="s">
        <v>144</v>
      </c>
      <c r="F314" s="104" t="s">
        <v>152</v>
      </c>
      <c r="G314" s="104" t="s">
        <v>142</v>
      </c>
      <c r="H314" s="104" t="s">
        <v>231</v>
      </c>
      <c r="I314" s="104" t="s">
        <v>151</v>
      </c>
      <c r="J314" s="104" t="s">
        <v>258</v>
      </c>
      <c r="K314" s="269">
        <f t="shared" si="65"/>
        <v>72</v>
      </c>
      <c r="L314" s="269">
        <f t="shared" si="65"/>
        <v>74</v>
      </c>
      <c r="M314" s="269">
        <f t="shared" si="65"/>
        <v>66</v>
      </c>
      <c r="N314" s="269">
        <f t="shared" si="64"/>
        <v>70</v>
      </c>
      <c r="O314" s="269">
        <f t="shared" si="64"/>
        <v>65</v>
      </c>
      <c r="P314" s="269">
        <f t="shared" si="64"/>
        <v>71</v>
      </c>
      <c r="Q314" s="269">
        <f t="shared" si="64"/>
        <v>69</v>
      </c>
      <c r="R314" s="269">
        <f t="shared" si="62"/>
        <v>73</v>
      </c>
      <c r="S314" s="269"/>
      <c r="T314" s="269">
        <f t="shared" si="54"/>
        <v>65</v>
      </c>
      <c r="U314" s="269">
        <f t="shared" si="55"/>
        <v>66</v>
      </c>
      <c r="V314" s="269">
        <f t="shared" si="56"/>
        <v>69</v>
      </c>
      <c r="W314" s="269">
        <f t="shared" si="57"/>
        <v>70</v>
      </c>
      <c r="X314" s="269">
        <f t="shared" si="58"/>
        <v>71</v>
      </c>
      <c r="Y314" s="269">
        <f t="shared" si="59"/>
        <v>72</v>
      </c>
      <c r="Z314" s="269">
        <f t="shared" si="60"/>
        <v>73</v>
      </c>
      <c r="AA314" s="269">
        <f t="shared" si="61"/>
        <v>74</v>
      </c>
    </row>
    <row r="315" spans="1:27">
      <c r="A315" s="104">
        <v>314</v>
      </c>
      <c r="B315" s="104" t="str">
        <f t="shared" si="53"/>
        <v>ABDHIJKL</v>
      </c>
      <c r="C315" s="104" t="s">
        <v>258</v>
      </c>
      <c r="D315" s="104" t="s">
        <v>232</v>
      </c>
      <c r="E315" s="104" t="s">
        <v>144</v>
      </c>
      <c r="F315" s="104" t="s">
        <v>150</v>
      </c>
      <c r="G315" s="104" t="s">
        <v>142</v>
      </c>
      <c r="H315" s="104" t="s">
        <v>245</v>
      </c>
      <c r="I315" s="104" t="s">
        <v>259</v>
      </c>
      <c r="J315" s="104" t="s">
        <v>246</v>
      </c>
      <c r="K315" s="269">
        <f t="shared" si="65"/>
        <v>73</v>
      </c>
      <c r="L315" s="269">
        <f t="shared" si="65"/>
        <v>74</v>
      </c>
      <c r="M315" s="269">
        <f t="shared" si="65"/>
        <v>66</v>
      </c>
      <c r="N315" s="269">
        <f t="shared" si="64"/>
        <v>68</v>
      </c>
      <c r="O315" s="269">
        <f t="shared" si="64"/>
        <v>65</v>
      </c>
      <c r="P315" s="269">
        <f t="shared" si="64"/>
        <v>72</v>
      </c>
      <c r="Q315" s="269">
        <f t="shared" si="64"/>
        <v>76</v>
      </c>
      <c r="R315" s="269">
        <f t="shared" si="62"/>
        <v>75</v>
      </c>
      <c r="S315" s="269"/>
      <c r="T315" s="269">
        <f t="shared" si="54"/>
        <v>65</v>
      </c>
      <c r="U315" s="269">
        <f t="shared" si="55"/>
        <v>66</v>
      </c>
      <c r="V315" s="269">
        <f t="shared" si="56"/>
        <v>68</v>
      </c>
      <c r="W315" s="269">
        <f t="shared" si="57"/>
        <v>72</v>
      </c>
      <c r="X315" s="269">
        <f t="shared" si="58"/>
        <v>73</v>
      </c>
      <c r="Y315" s="269">
        <f t="shared" si="59"/>
        <v>74</v>
      </c>
      <c r="Z315" s="269">
        <f t="shared" si="60"/>
        <v>75</v>
      </c>
      <c r="AA315" s="269">
        <f t="shared" si="61"/>
        <v>76</v>
      </c>
    </row>
    <row r="316" spans="1:27">
      <c r="A316" s="104">
        <v>315</v>
      </c>
      <c r="B316" s="104" t="str">
        <f t="shared" si="53"/>
        <v>ABDGIJKL</v>
      </c>
      <c r="C316" s="104" t="s">
        <v>258</v>
      </c>
      <c r="D316" s="104" t="s">
        <v>232</v>
      </c>
      <c r="E316" s="104" t="s">
        <v>144</v>
      </c>
      <c r="F316" s="104" t="s">
        <v>150</v>
      </c>
      <c r="G316" s="104" t="s">
        <v>142</v>
      </c>
      <c r="H316" s="104" t="s">
        <v>231</v>
      </c>
      <c r="I316" s="104" t="s">
        <v>259</v>
      </c>
      <c r="J316" s="104" t="s">
        <v>246</v>
      </c>
      <c r="K316" s="269">
        <f t="shared" si="65"/>
        <v>73</v>
      </c>
      <c r="L316" s="269">
        <f t="shared" si="65"/>
        <v>74</v>
      </c>
      <c r="M316" s="269">
        <f t="shared" si="65"/>
        <v>66</v>
      </c>
      <c r="N316" s="269">
        <f t="shared" si="64"/>
        <v>68</v>
      </c>
      <c r="O316" s="269">
        <f t="shared" si="64"/>
        <v>65</v>
      </c>
      <c r="P316" s="269">
        <f t="shared" si="64"/>
        <v>71</v>
      </c>
      <c r="Q316" s="269">
        <f t="shared" si="64"/>
        <v>76</v>
      </c>
      <c r="R316" s="269">
        <f t="shared" si="62"/>
        <v>75</v>
      </c>
      <c r="S316" s="269"/>
      <c r="T316" s="269">
        <f t="shared" si="54"/>
        <v>65</v>
      </c>
      <c r="U316" s="269">
        <f t="shared" si="55"/>
        <v>66</v>
      </c>
      <c r="V316" s="269">
        <f t="shared" si="56"/>
        <v>68</v>
      </c>
      <c r="W316" s="269">
        <f t="shared" si="57"/>
        <v>71</v>
      </c>
      <c r="X316" s="269">
        <f t="shared" si="58"/>
        <v>73</v>
      </c>
      <c r="Y316" s="269">
        <f t="shared" si="59"/>
        <v>74</v>
      </c>
      <c r="Z316" s="269">
        <f t="shared" si="60"/>
        <v>75</v>
      </c>
      <c r="AA316" s="269">
        <f t="shared" si="61"/>
        <v>76</v>
      </c>
    </row>
    <row r="317" spans="1:27">
      <c r="A317" s="104">
        <v>316</v>
      </c>
      <c r="B317" s="104" t="str">
        <f t="shared" si="53"/>
        <v>ABDGHJKL</v>
      </c>
      <c r="C317" s="104" t="s">
        <v>245</v>
      </c>
      <c r="D317" s="104" t="s">
        <v>232</v>
      </c>
      <c r="E317" s="104" t="s">
        <v>144</v>
      </c>
      <c r="F317" s="104" t="s">
        <v>150</v>
      </c>
      <c r="G317" s="104" t="s">
        <v>142</v>
      </c>
      <c r="H317" s="104" t="s">
        <v>231</v>
      </c>
      <c r="I317" s="104" t="s">
        <v>259</v>
      </c>
      <c r="J317" s="104" t="s">
        <v>246</v>
      </c>
      <c r="K317" s="269">
        <f t="shared" si="65"/>
        <v>72</v>
      </c>
      <c r="L317" s="269">
        <f t="shared" si="65"/>
        <v>74</v>
      </c>
      <c r="M317" s="269">
        <f t="shared" si="65"/>
        <v>66</v>
      </c>
      <c r="N317" s="269">
        <f t="shared" si="64"/>
        <v>68</v>
      </c>
      <c r="O317" s="269">
        <f t="shared" si="64"/>
        <v>65</v>
      </c>
      <c r="P317" s="269">
        <f t="shared" si="64"/>
        <v>71</v>
      </c>
      <c r="Q317" s="269">
        <f t="shared" si="64"/>
        <v>76</v>
      </c>
      <c r="R317" s="269">
        <f t="shared" si="62"/>
        <v>75</v>
      </c>
      <c r="S317" s="269"/>
      <c r="T317" s="269">
        <f t="shared" si="54"/>
        <v>65</v>
      </c>
      <c r="U317" s="269">
        <f t="shared" si="55"/>
        <v>66</v>
      </c>
      <c r="V317" s="269">
        <f t="shared" si="56"/>
        <v>68</v>
      </c>
      <c r="W317" s="269">
        <f t="shared" si="57"/>
        <v>71</v>
      </c>
      <c r="X317" s="269">
        <f t="shared" si="58"/>
        <v>72</v>
      </c>
      <c r="Y317" s="269">
        <f t="shared" si="59"/>
        <v>74</v>
      </c>
      <c r="Z317" s="269">
        <f t="shared" si="60"/>
        <v>75</v>
      </c>
      <c r="AA317" s="269">
        <f t="shared" si="61"/>
        <v>76</v>
      </c>
    </row>
    <row r="318" spans="1:27">
      <c r="A318" s="104">
        <v>317</v>
      </c>
      <c r="B318" s="104" t="str">
        <f t="shared" si="53"/>
        <v>ABDGHIKL</v>
      </c>
      <c r="C318" s="104" t="s">
        <v>258</v>
      </c>
      <c r="D318" s="104" t="s">
        <v>231</v>
      </c>
      <c r="E318" s="104" t="s">
        <v>144</v>
      </c>
      <c r="F318" s="104" t="s">
        <v>150</v>
      </c>
      <c r="G318" s="104" t="s">
        <v>142</v>
      </c>
      <c r="H318" s="104" t="s">
        <v>245</v>
      </c>
      <c r="I318" s="104" t="s">
        <v>259</v>
      </c>
      <c r="J318" s="104" t="s">
        <v>246</v>
      </c>
      <c r="K318" s="269">
        <f t="shared" si="65"/>
        <v>73</v>
      </c>
      <c r="L318" s="269">
        <f t="shared" si="65"/>
        <v>71</v>
      </c>
      <c r="M318" s="269">
        <f t="shared" si="65"/>
        <v>66</v>
      </c>
      <c r="N318" s="269">
        <f t="shared" si="64"/>
        <v>68</v>
      </c>
      <c r="O318" s="269">
        <f t="shared" si="64"/>
        <v>65</v>
      </c>
      <c r="P318" s="269">
        <f t="shared" si="64"/>
        <v>72</v>
      </c>
      <c r="Q318" s="269">
        <f t="shared" si="64"/>
        <v>76</v>
      </c>
      <c r="R318" s="269">
        <f t="shared" si="62"/>
        <v>75</v>
      </c>
      <c r="S318" s="269"/>
      <c r="T318" s="269">
        <f t="shared" si="54"/>
        <v>65</v>
      </c>
      <c r="U318" s="269">
        <f t="shared" si="55"/>
        <v>66</v>
      </c>
      <c r="V318" s="269">
        <f t="shared" si="56"/>
        <v>68</v>
      </c>
      <c r="W318" s="269">
        <f t="shared" si="57"/>
        <v>71</v>
      </c>
      <c r="X318" s="269">
        <f t="shared" si="58"/>
        <v>72</v>
      </c>
      <c r="Y318" s="269">
        <f t="shared" si="59"/>
        <v>73</v>
      </c>
      <c r="Z318" s="269">
        <f t="shared" si="60"/>
        <v>75</v>
      </c>
      <c r="AA318" s="269">
        <f t="shared" si="61"/>
        <v>76</v>
      </c>
    </row>
    <row r="319" spans="1:27">
      <c r="A319" s="104">
        <v>318</v>
      </c>
      <c r="B319" s="104" t="str">
        <f t="shared" si="53"/>
        <v>ABDGHIJL</v>
      </c>
      <c r="C319" s="104" t="s">
        <v>245</v>
      </c>
      <c r="D319" s="104" t="s">
        <v>232</v>
      </c>
      <c r="E319" s="104" t="s">
        <v>144</v>
      </c>
      <c r="F319" s="104" t="s">
        <v>150</v>
      </c>
      <c r="G319" s="104" t="s">
        <v>142</v>
      </c>
      <c r="H319" s="104" t="s">
        <v>231</v>
      </c>
      <c r="I319" s="104" t="s">
        <v>259</v>
      </c>
      <c r="J319" s="104" t="s">
        <v>258</v>
      </c>
      <c r="K319" s="269">
        <f t="shared" si="65"/>
        <v>72</v>
      </c>
      <c r="L319" s="269">
        <f t="shared" si="65"/>
        <v>74</v>
      </c>
      <c r="M319" s="269">
        <f t="shared" si="65"/>
        <v>66</v>
      </c>
      <c r="N319" s="269">
        <f t="shared" si="64"/>
        <v>68</v>
      </c>
      <c r="O319" s="269">
        <f t="shared" si="64"/>
        <v>65</v>
      </c>
      <c r="P319" s="269">
        <f t="shared" si="64"/>
        <v>71</v>
      </c>
      <c r="Q319" s="269">
        <f t="shared" si="64"/>
        <v>76</v>
      </c>
      <c r="R319" s="269">
        <f t="shared" si="62"/>
        <v>73</v>
      </c>
      <c r="S319" s="269"/>
      <c r="T319" s="269">
        <f t="shared" si="54"/>
        <v>65</v>
      </c>
      <c r="U319" s="269">
        <f t="shared" si="55"/>
        <v>66</v>
      </c>
      <c r="V319" s="269">
        <f t="shared" si="56"/>
        <v>68</v>
      </c>
      <c r="W319" s="269">
        <f t="shared" si="57"/>
        <v>71</v>
      </c>
      <c r="X319" s="269">
        <f t="shared" si="58"/>
        <v>72</v>
      </c>
      <c r="Y319" s="269">
        <f t="shared" si="59"/>
        <v>73</v>
      </c>
      <c r="Z319" s="269">
        <f t="shared" si="60"/>
        <v>74</v>
      </c>
      <c r="AA319" s="269">
        <f t="shared" si="61"/>
        <v>76</v>
      </c>
    </row>
    <row r="320" spans="1:27">
      <c r="A320" s="104">
        <v>319</v>
      </c>
      <c r="B320" s="104" t="str">
        <f t="shared" si="53"/>
        <v>ABDGHIJK</v>
      </c>
      <c r="C320" s="104" t="s">
        <v>245</v>
      </c>
      <c r="D320" s="104" t="s">
        <v>232</v>
      </c>
      <c r="E320" s="104" t="s">
        <v>144</v>
      </c>
      <c r="F320" s="104" t="s">
        <v>150</v>
      </c>
      <c r="G320" s="104" t="s">
        <v>142</v>
      </c>
      <c r="H320" s="104" t="s">
        <v>231</v>
      </c>
      <c r="I320" s="104" t="s">
        <v>258</v>
      </c>
      <c r="J320" s="104" t="s">
        <v>246</v>
      </c>
      <c r="K320" s="269">
        <f t="shared" si="65"/>
        <v>72</v>
      </c>
      <c r="L320" s="269">
        <f t="shared" si="65"/>
        <v>74</v>
      </c>
      <c r="M320" s="269">
        <f t="shared" si="65"/>
        <v>66</v>
      </c>
      <c r="N320" s="269">
        <f t="shared" si="64"/>
        <v>68</v>
      </c>
      <c r="O320" s="269">
        <f t="shared" si="64"/>
        <v>65</v>
      </c>
      <c r="P320" s="269">
        <f t="shared" si="64"/>
        <v>71</v>
      </c>
      <c r="Q320" s="269">
        <f t="shared" si="64"/>
        <v>73</v>
      </c>
      <c r="R320" s="269">
        <f t="shared" si="62"/>
        <v>75</v>
      </c>
      <c r="S320" s="269"/>
      <c r="T320" s="269">
        <f t="shared" si="54"/>
        <v>65</v>
      </c>
      <c r="U320" s="269">
        <f t="shared" si="55"/>
        <v>66</v>
      </c>
      <c r="V320" s="269">
        <f t="shared" si="56"/>
        <v>68</v>
      </c>
      <c r="W320" s="269">
        <f t="shared" si="57"/>
        <v>71</v>
      </c>
      <c r="X320" s="269">
        <f t="shared" si="58"/>
        <v>72</v>
      </c>
      <c r="Y320" s="269">
        <f t="shared" si="59"/>
        <v>73</v>
      </c>
      <c r="Z320" s="269">
        <f t="shared" si="60"/>
        <v>74</v>
      </c>
      <c r="AA320" s="269">
        <f t="shared" si="61"/>
        <v>75</v>
      </c>
    </row>
    <row r="321" spans="1:27">
      <c r="A321" s="104">
        <v>320</v>
      </c>
      <c r="B321" s="104" t="str">
        <f t="shared" si="53"/>
        <v>ABDFIJKL</v>
      </c>
      <c r="C321" s="104" t="s">
        <v>258</v>
      </c>
      <c r="D321" s="104" t="s">
        <v>232</v>
      </c>
      <c r="E321" s="104" t="s">
        <v>144</v>
      </c>
      <c r="F321" s="104" t="s">
        <v>150</v>
      </c>
      <c r="G321" s="104" t="s">
        <v>142</v>
      </c>
      <c r="H321" s="104" t="s">
        <v>152</v>
      </c>
      <c r="I321" s="104" t="s">
        <v>259</v>
      </c>
      <c r="J321" s="104" t="s">
        <v>246</v>
      </c>
      <c r="K321" s="269">
        <f t="shared" si="65"/>
        <v>73</v>
      </c>
      <c r="L321" s="269">
        <f t="shared" si="65"/>
        <v>74</v>
      </c>
      <c r="M321" s="269">
        <f t="shared" si="65"/>
        <v>66</v>
      </c>
      <c r="N321" s="269">
        <f t="shared" si="64"/>
        <v>68</v>
      </c>
      <c r="O321" s="269">
        <f t="shared" si="64"/>
        <v>65</v>
      </c>
      <c r="P321" s="269">
        <f t="shared" si="64"/>
        <v>70</v>
      </c>
      <c r="Q321" s="269">
        <f t="shared" si="64"/>
        <v>76</v>
      </c>
      <c r="R321" s="269">
        <f t="shared" si="62"/>
        <v>75</v>
      </c>
      <c r="S321" s="269"/>
      <c r="T321" s="269">
        <f t="shared" si="54"/>
        <v>65</v>
      </c>
      <c r="U321" s="269">
        <f t="shared" si="55"/>
        <v>66</v>
      </c>
      <c r="V321" s="269">
        <f t="shared" si="56"/>
        <v>68</v>
      </c>
      <c r="W321" s="269">
        <f t="shared" si="57"/>
        <v>70</v>
      </c>
      <c r="X321" s="269">
        <f t="shared" si="58"/>
        <v>73</v>
      </c>
      <c r="Y321" s="269">
        <f t="shared" si="59"/>
        <v>74</v>
      </c>
      <c r="Z321" s="269">
        <f t="shared" si="60"/>
        <v>75</v>
      </c>
      <c r="AA321" s="269">
        <f t="shared" si="61"/>
        <v>76</v>
      </c>
    </row>
    <row r="322" spans="1:27">
      <c r="A322" s="104">
        <v>321</v>
      </c>
      <c r="B322" s="104" t="str">
        <f t="shared" si="53"/>
        <v>ABDFHJKL</v>
      </c>
      <c r="C322" s="104" t="s">
        <v>245</v>
      </c>
      <c r="D322" s="104" t="s">
        <v>232</v>
      </c>
      <c r="E322" s="104" t="s">
        <v>144</v>
      </c>
      <c r="F322" s="104" t="s">
        <v>150</v>
      </c>
      <c r="G322" s="104" t="s">
        <v>142</v>
      </c>
      <c r="H322" s="104" t="s">
        <v>152</v>
      </c>
      <c r="I322" s="104" t="s">
        <v>259</v>
      </c>
      <c r="J322" s="104" t="s">
        <v>246</v>
      </c>
      <c r="K322" s="269">
        <f t="shared" si="65"/>
        <v>72</v>
      </c>
      <c r="L322" s="269">
        <f t="shared" si="65"/>
        <v>74</v>
      </c>
      <c r="M322" s="269">
        <f t="shared" si="65"/>
        <v>66</v>
      </c>
      <c r="N322" s="269">
        <f t="shared" si="64"/>
        <v>68</v>
      </c>
      <c r="O322" s="269">
        <f t="shared" si="64"/>
        <v>65</v>
      </c>
      <c r="P322" s="269">
        <f t="shared" si="64"/>
        <v>70</v>
      </c>
      <c r="Q322" s="269">
        <f t="shared" si="64"/>
        <v>76</v>
      </c>
      <c r="R322" s="269">
        <f t="shared" si="62"/>
        <v>75</v>
      </c>
      <c r="S322" s="269"/>
      <c r="T322" s="269">
        <f t="shared" si="54"/>
        <v>65</v>
      </c>
      <c r="U322" s="269">
        <f t="shared" si="55"/>
        <v>66</v>
      </c>
      <c r="V322" s="269">
        <f t="shared" si="56"/>
        <v>68</v>
      </c>
      <c r="W322" s="269">
        <f t="shared" si="57"/>
        <v>70</v>
      </c>
      <c r="X322" s="269">
        <f t="shared" si="58"/>
        <v>72</v>
      </c>
      <c r="Y322" s="269">
        <f t="shared" si="59"/>
        <v>74</v>
      </c>
      <c r="Z322" s="269">
        <f t="shared" si="60"/>
        <v>75</v>
      </c>
      <c r="AA322" s="269">
        <f t="shared" si="61"/>
        <v>76</v>
      </c>
    </row>
    <row r="323" spans="1:27">
      <c r="A323" s="104">
        <v>322</v>
      </c>
      <c r="B323" s="104" t="str">
        <f t="shared" ref="B323:B386" si="66">CONCATENATE(CHAR(T323),CHAR(U323),CHAR(V323),CHAR(W323),CHAR(X323),CHAR(Y323),CHAR(Z323),CHAR(AA323))</f>
        <v>ABDFHIKL</v>
      </c>
      <c r="C323" s="104" t="s">
        <v>245</v>
      </c>
      <c r="D323" s="104" t="s">
        <v>258</v>
      </c>
      <c r="E323" s="104" t="s">
        <v>144</v>
      </c>
      <c r="F323" s="104" t="s">
        <v>150</v>
      </c>
      <c r="G323" s="104" t="s">
        <v>142</v>
      </c>
      <c r="H323" s="104" t="s">
        <v>152</v>
      </c>
      <c r="I323" s="104" t="s">
        <v>259</v>
      </c>
      <c r="J323" s="104" t="s">
        <v>246</v>
      </c>
      <c r="K323" s="269">
        <f t="shared" si="65"/>
        <v>72</v>
      </c>
      <c r="L323" s="269">
        <f t="shared" si="65"/>
        <v>73</v>
      </c>
      <c r="M323" s="269">
        <f t="shared" si="65"/>
        <v>66</v>
      </c>
      <c r="N323" s="269">
        <f t="shared" si="64"/>
        <v>68</v>
      </c>
      <c r="O323" s="269">
        <f t="shared" si="64"/>
        <v>65</v>
      </c>
      <c r="P323" s="269">
        <f t="shared" si="64"/>
        <v>70</v>
      </c>
      <c r="Q323" s="269">
        <f t="shared" si="64"/>
        <v>76</v>
      </c>
      <c r="R323" s="269">
        <f t="shared" si="62"/>
        <v>75</v>
      </c>
      <c r="S323" s="269"/>
      <c r="T323" s="269">
        <f t="shared" ref="T323:T386" si="67">SMALL($K323:$R323,1)</f>
        <v>65</v>
      </c>
      <c r="U323" s="269">
        <f t="shared" ref="U323:U386" si="68">SMALL($K323:$R323,2)</f>
        <v>66</v>
      </c>
      <c r="V323" s="269">
        <f t="shared" ref="V323:V386" si="69">SMALL($K323:$R323,3)</f>
        <v>68</v>
      </c>
      <c r="W323" s="269">
        <f t="shared" ref="W323:W386" si="70">SMALL($K323:$R323,4)</f>
        <v>70</v>
      </c>
      <c r="X323" s="269">
        <f t="shared" ref="X323:X386" si="71">SMALL($K323:$R323,5)</f>
        <v>72</v>
      </c>
      <c r="Y323" s="269">
        <f t="shared" ref="Y323:Y386" si="72">SMALL($K323:$R323,6)</f>
        <v>73</v>
      </c>
      <c r="Z323" s="269">
        <f t="shared" ref="Z323:Z386" si="73">SMALL($K323:$R323,7)</f>
        <v>75</v>
      </c>
      <c r="AA323" s="269">
        <f t="shared" ref="AA323:AA386" si="74">SMALL($K323:$R323,8)</f>
        <v>76</v>
      </c>
    </row>
    <row r="324" spans="1:27">
      <c r="A324" s="104">
        <v>323</v>
      </c>
      <c r="B324" s="104" t="str">
        <f t="shared" si="66"/>
        <v>ABDFHIJL</v>
      </c>
      <c r="C324" s="104" t="s">
        <v>245</v>
      </c>
      <c r="D324" s="104" t="s">
        <v>232</v>
      </c>
      <c r="E324" s="104" t="s">
        <v>144</v>
      </c>
      <c r="F324" s="104" t="s">
        <v>150</v>
      </c>
      <c r="G324" s="104" t="s">
        <v>142</v>
      </c>
      <c r="H324" s="104" t="s">
        <v>152</v>
      </c>
      <c r="I324" s="104" t="s">
        <v>259</v>
      </c>
      <c r="J324" s="104" t="s">
        <v>258</v>
      </c>
      <c r="K324" s="269">
        <f t="shared" si="65"/>
        <v>72</v>
      </c>
      <c r="L324" s="269">
        <f t="shared" si="65"/>
        <v>74</v>
      </c>
      <c r="M324" s="269">
        <f t="shared" si="65"/>
        <v>66</v>
      </c>
      <c r="N324" s="269">
        <f t="shared" si="64"/>
        <v>68</v>
      </c>
      <c r="O324" s="269">
        <f t="shared" si="64"/>
        <v>65</v>
      </c>
      <c r="P324" s="269">
        <f t="shared" si="64"/>
        <v>70</v>
      </c>
      <c r="Q324" s="269">
        <f t="shared" si="64"/>
        <v>76</v>
      </c>
      <c r="R324" s="269">
        <f t="shared" si="62"/>
        <v>73</v>
      </c>
      <c r="S324" s="269"/>
      <c r="T324" s="269">
        <f t="shared" si="67"/>
        <v>65</v>
      </c>
      <c r="U324" s="269">
        <f t="shared" si="68"/>
        <v>66</v>
      </c>
      <c r="V324" s="269">
        <f t="shared" si="69"/>
        <v>68</v>
      </c>
      <c r="W324" s="269">
        <f t="shared" si="70"/>
        <v>70</v>
      </c>
      <c r="X324" s="269">
        <f t="shared" si="71"/>
        <v>72</v>
      </c>
      <c r="Y324" s="269">
        <f t="shared" si="72"/>
        <v>73</v>
      </c>
      <c r="Z324" s="269">
        <f t="shared" si="73"/>
        <v>74</v>
      </c>
      <c r="AA324" s="269">
        <f t="shared" si="74"/>
        <v>76</v>
      </c>
    </row>
    <row r="325" spans="1:27">
      <c r="A325" s="104">
        <v>324</v>
      </c>
      <c r="B325" s="104" t="str">
        <f t="shared" si="66"/>
        <v>ABDFHIJK</v>
      </c>
      <c r="C325" s="104" t="s">
        <v>245</v>
      </c>
      <c r="D325" s="104" t="s">
        <v>232</v>
      </c>
      <c r="E325" s="104" t="s">
        <v>144</v>
      </c>
      <c r="F325" s="104" t="s">
        <v>150</v>
      </c>
      <c r="G325" s="104" t="s">
        <v>142</v>
      </c>
      <c r="H325" s="104" t="s">
        <v>152</v>
      </c>
      <c r="I325" s="104" t="s">
        <v>258</v>
      </c>
      <c r="J325" s="104" t="s">
        <v>246</v>
      </c>
      <c r="K325" s="269">
        <f t="shared" si="65"/>
        <v>72</v>
      </c>
      <c r="L325" s="269">
        <f t="shared" si="65"/>
        <v>74</v>
      </c>
      <c r="M325" s="269">
        <f t="shared" si="65"/>
        <v>66</v>
      </c>
      <c r="N325" s="269">
        <f t="shared" si="64"/>
        <v>68</v>
      </c>
      <c r="O325" s="269">
        <f t="shared" si="64"/>
        <v>65</v>
      </c>
      <c r="P325" s="269">
        <f t="shared" si="64"/>
        <v>70</v>
      </c>
      <c r="Q325" s="269">
        <f t="shared" si="64"/>
        <v>73</v>
      </c>
      <c r="R325" s="269">
        <f t="shared" si="62"/>
        <v>75</v>
      </c>
      <c r="S325" s="269"/>
      <c r="T325" s="269">
        <f t="shared" si="67"/>
        <v>65</v>
      </c>
      <c r="U325" s="269">
        <f t="shared" si="68"/>
        <v>66</v>
      </c>
      <c r="V325" s="269">
        <f t="shared" si="69"/>
        <v>68</v>
      </c>
      <c r="W325" s="269">
        <f t="shared" si="70"/>
        <v>70</v>
      </c>
      <c r="X325" s="269">
        <f t="shared" si="71"/>
        <v>72</v>
      </c>
      <c r="Y325" s="269">
        <f t="shared" si="72"/>
        <v>73</v>
      </c>
      <c r="Z325" s="269">
        <f t="shared" si="73"/>
        <v>74</v>
      </c>
      <c r="AA325" s="269">
        <f t="shared" si="74"/>
        <v>75</v>
      </c>
    </row>
    <row r="326" spans="1:27">
      <c r="A326" s="104">
        <v>325</v>
      </c>
      <c r="B326" s="104" t="str">
        <f t="shared" si="66"/>
        <v>ABDFGJKL</v>
      </c>
      <c r="C326" s="104" t="s">
        <v>152</v>
      </c>
      <c r="D326" s="104" t="s">
        <v>232</v>
      </c>
      <c r="E326" s="104" t="s">
        <v>144</v>
      </c>
      <c r="F326" s="104" t="s">
        <v>150</v>
      </c>
      <c r="G326" s="104" t="s">
        <v>142</v>
      </c>
      <c r="H326" s="104" t="s">
        <v>231</v>
      </c>
      <c r="I326" s="104" t="s">
        <v>259</v>
      </c>
      <c r="J326" s="104" t="s">
        <v>246</v>
      </c>
      <c r="K326" s="269">
        <f t="shared" si="65"/>
        <v>70</v>
      </c>
      <c r="L326" s="269">
        <f t="shared" si="65"/>
        <v>74</v>
      </c>
      <c r="M326" s="269">
        <f t="shared" si="65"/>
        <v>66</v>
      </c>
      <c r="N326" s="269">
        <f t="shared" si="64"/>
        <v>68</v>
      </c>
      <c r="O326" s="269">
        <f t="shared" si="64"/>
        <v>65</v>
      </c>
      <c r="P326" s="269">
        <f t="shared" si="64"/>
        <v>71</v>
      </c>
      <c r="Q326" s="269">
        <f t="shared" si="64"/>
        <v>76</v>
      </c>
      <c r="R326" s="269">
        <f t="shared" si="62"/>
        <v>75</v>
      </c>
      <c r="S326" s="269"/>
      <c r="T326" s="269">
        <f t="shared" si="67"/>
        <v>65</v>
      </c>
      <c r="U326" s="269">
        <f t="shared" si="68"/>
        <v>66</v>
      </c>
      <c r="V326" s="269">
        <f t="shared" si="69"/>
        <v>68</v>
      </c>
      <c r="W326" s="269">
        <f t="shared" si="70"/>
        <v>70</v>
      </c>
      <c r="X326" s="269">
        <f t="shared" si="71"/>
        <v>71</v>
      </c>
      <c r="Y326" s="269">
        <f t="shared" si="72"/>
        <v>74</v>
      </c>
      <c r="Z326" s="269">
        <f t="shared" si="73"/>
        <v>75</v>
      </c>
      <c r="AA326" s="269">
        <f t="shared" si="74"/>
        <v>76</v>
      </c>
    </row>
    <row r="327" spans="1:27">
      <c r="A327" s="104">
        <v>326</v>
      </c>
      <c r="B327" s="104" t="str">
        <f t="shared" si="66"/>
        <v>ABDFGIKL</v>
      </c>
      <c r="C327" s="104" t="s">
        <v>258</v>
      </c>
      <c r="D327" s="104" t="s">
        <v>231</v>
      </c>
      <c r="E327" s="104" t="s">
        <v>144</v>
      </c>
      <c r="F327" s="104" t="s">
        <v>150</v>
      </c>
      <c r="G327" s="104" t="s">
        <v>142</v>
      </c>
      <c r="H327" s="104" t="s">
        <v>152</v>
      </c>
      <c r="I327" s="104" t="s">
        <v>259</v>
      </c>
      <c r="J327" s="104" t="s">
        <v>246</v>
      </c>
      <c r="K327" s="269">
        <f t="shared" si="65"/>
        <v>73</v>
      </c>
      <c r="L327" s="269">
        <f t="shared" si="65"/>
        <v>71</v>
      </c>
      <c r="M327" s="269">
        <f t="shared" si="65"/>
        <v>66</v>
      </c>
      <c r="N327" s="269">
        <f t="shared" si="64"/>
        <v>68</v>
      </c>
      <c r="O327" s="269">
        <f t="shared" si="64"/>
        <v>65</v>
      </c>
      <c r="P327" s="269">
        <f t="shared" si="64"/>
        <v>70</v>
      </c>
      <c r="Q327" s="269">
        <f t="shared" si="64"/>
        <v>76</v>
      </c>
      <c r="R327" s="269">
        <f t="shared" si="62"/>
        <v>75</v>
      </c>
      <c r="S327" s="269"/>
      <c r="T327" s="269">
        <f t="shared" si="67"/>
        <v>65</v>
      </c>
      <c r="U327" s="269">
        <f t="shared" si="68"/>
        <v>66</v>
      </c>
      <c r="V327" s="269">
        <f t="shared" si="69"/>
        <v>68</v>
      </c>
      <c r="W327" s="269">
        <f t="shared" si="70"/>
        <v>70</v>
      </c>
      <c r="X327" s="269">
        <f t="shared" si="71"/>
        <v>71</v>
      </c>
      <c r="Y327" s="269">
        <f t="shared" si="72"/>
        <v>73</v>
      </c>
      <c r="Z327" s="269">
        <f t="shared" si="73"/>
        <v>75</v>
      </c>
      <c r="AA327" s="269">
        <f t="shared" si="74"/>
        <v>76</v>
      </c>
    </row>
    <row r="328" spans="1:27">
      <c r="A328" s="104">
        <v>327</v>
      </c>
      <c r="B328" s="104" t="str">
        <f t="shared" si="66"/>
        <v>ABDFGIJL</v>
      </c>
      <c r="C328" s="104" t="s">
        <v>152</v>
      </c>
      <c r="D328" s="104" t="s">
        <v>232</v>
      </c>
      <c r="E328" s="104" t="s">
        <v>144</v>
      </c>
      <c r="F328" s="104" t="s">
        <v>150</v>
      </c>
      <c r="G328" s="104" t="s">
        <v>142</v>
      </c>
      <c r="H328" s="104" t="s">
        <v>231</v>
      </c>
      <c r="I328" s="104" t="s">
        <v>259</v>
      </c>
      <c r="J328" s="104" t="s">
        <v>258</v>
      </c>
      <c r="K328" s="269">
        <f t="shared" si="65"/>
        <v>70</v>
      </c>
      <c r="L328" s="269">
        <f t="shared" si="65"/>
        <v>74</v>
      </c>
      <c r="M328" s="269">
        <f t="shared" si="65"/>
        <v>66</v>
      </c>
      <c r="N328" s="269">
        <f t="shared" si="64"/>
        <v>68</v>
      </c>
      <c r="O328" s="269">
        <f t="shared" si="64"/>
        <v>65</v>
      </c>
      <c r="P328" s="269">
        <f t="shared" si="64"/>
        <v>71</v>
      </c>
      <c r="Q328" s="269">
        <f t="shared" si="64"/>
        <v>76</v>
      </c>
      <c r="R328" s="269">
        <f t="shared" si="62"/>
        <v>73</v>
      </c>
      <c r="S328" s="269"/>
      <c r="T328" s="269">
        <f t="shared" si="67"/>
        <v>65</v>
      </c>
      <c r="U328" s="269">
        <f t="shared" si="68"/>
        <v>66</v>
      </c>
      <c r="V328" s="269">
        <f t="shared" si="69"/>
        <v>68</v>
      </c>
      <c r="W328" s="269">
        <f t="shared" si="70"/>
        <v>70</v>
      </c>
      <c r="X328" s="269">
        <f t="shared" si="71"/>
        <v>71</v>
      </c>
      <c r="Y328" s="269">
        <f t="shared" si="72"/>
        <v>73</v>
      </c>
      <c r="Z328" s="269">
        <f t="shared" si="73"/>
        <v>74</v>
      </c>
      <c r="AA328" s="269">
        <f t="shared" si="74"/>
        <v>76</v>
      </c>
    </row>
    <row r="329" spans="1:27">
      <c r="A329" s="104">
        <v>328</v>
      </c>
      <c r="B329" s="104" t="str">
        <f t="shared" si="66"/>
        <v>ABDFGIJK</v>
      </c>
      <c r="C329" s="104" t="s">
        <v>152</v>
      </c>
      <c r="D329" s="104" t="s">
        <v>232</v>
      </c>
      <c r="E329" s="104" t="s">
        <v>144</v>
      </c>
      <c r="F329" s="104" t="s">
        <v>150</v>
      </c>
      <c r="G329" s="104" t="s">
        <v>142</v>
      </c>
      <c r="H329" s="104" t="s">
        <v>231</v>
      </c>
      <c r="I329" s="104" t="s">
        <v>258</v>
      </c>
      <c r="J329" s="104" t="s">
        <v>246</v>
      </c>
      <c r="K329" s="269">
        <f t="shared" si="65"/>
        <v>70</v>
      </c>
      <c r="L329" s="269">
        <f t="shared" si="65"/>
        <v>74</v>
      </c>
      <c r="M329" s="269">
        <f t="shared" si="65"/>
        <v>66</v>
      </c>
      <c r="N329" s="269">
        <f t="shared" si="64"/>
        <v>68</v>
      </c>
      <c r="O329" s="269">
        <f t="shared" si="64"/>
        <v>65</v>
      </c>
      <c r="P329" s="269">
        <f t="shared" si="64"/>
        <v>71</v>
      </c>
      <c r="Q329" s="269">
        <f t="shared" si="64"/>
        <v>73</v>
      </c>
      <c r="R329" s="269">
        <f t="shared" si="62"/>
        <v>75</v>
      </c>
      <c r="S329" s="269"/>
      <c r="T329" s="269">
        <f t="shared" si="67"/>
        <v>65</v>
      </c>
      <c r="U329" s="269">
        <f t="shared" si="68"/>
        <v>66</v>
      </c>
      <c r="V329" s="269">
        <f t="shared" si="69"/>
        <v>68</v>
      </c>
      <c r="W329" s="269">
        <f t="shared" si="70"/>
        <v>70</v>
      </c>
      <c r="X329" s="269">
        <f t="shared" si="71"/>
        <v>71</v>
      </c>
      <c r="Y329" s="269">
        <f t="shared" si="72"/>
        <v>73</v>
      </c>
      <c r="Z329" s="269">
        <f t="shared" si="73"/>
        <v>74</v>
      </c>
      <c r="AA329" s="269">
        <f t="shared" si="74"/>
        <v>75</v>
      </c>
    </row>
    <row r="330" spans="1:27">
      <c r="A330" s="104">
        <v>329</v>
      </c>
      <c r="B330" s="104" t="str">
        <f t="shared" si="66"/>
        <v>ABDFGHKL</v>
      </c>
      <c r="C330" s="104" t="s">
        <v>245</v>
      </c>
      <c r="D330" s="104" t="s">
        <v>231</v>
      </c>
      <c r="E330" s="104" t="s">
        <v>144</v>
      </c>
      <c r="F330" s="104" t="s">
        <v>150</v>
      </c>
      <c r="G330" s="104" t="s">
        <v>142</v>
      </c>
      <c r="H330" s="104" t="s">
        <v>152</v>
      </c>
      <c r="I330" s="104" t="s">
        <v>259</v>
      </c>
      <c r="J330" s="104" t="s">
        <v>246</v>
      </c>
      <c r="K330" s="269">
        <f t="shared" si="65"/>
        <v>72</v>
      </c>
      <c r="L330" s="269">
        <f t="shared" si="65"/>
        <v>71</v>
      </c>
      <c r="M330" s="269">
        <f t="shared" si="65"/>
        <v>66</v>
      </c>
      <c r="N330" s="269">
        <f t="shared" si="64"/>
        <v>68</v>
      </c>
      <c r="O330" s="269">
        <f t="shared" si="64"/>
        <v>65</v>
      </c>
      <c r="P330" s="269">
        <f t="shared" si="64"/>
        <v>70</v>
      </c>
      <c r="Q330" s="269">
        <f t="shared" si="64"/>
        <v>76</v>
      </c>
      <c r="R330" s="269">
        <f t="shared" si="62"/>
        <v>75</v>
      </c>
      <c r="S330" s="269"/>
      <c r="T330" s="269">
        <f t="shared" si="67"/>
        <v>65</v>
      </c>
      <c r="U330" s="269">
        <f t="shared" si="68"/>
        <v>66</v>
      </c>
      <c r="V330" s="269">
        <f t="shared" si="69"/>
        <v>68</v>
      </c>
      <c r="W330" s="269">
        <f t="shared" si="70"/>
        <v>70</v>
      </c>
      <c r="X330" s="269">
        <f t="shared" si="71"/>
        <v>71</v>
      </c>
      <c r="Y330" s="269">
        <f t="shared" si="72"/>
        <v>72</v>
      </c>
      <c r="Z330" s="269">
        <f t="shared" si="73"/>
        <v>75</v>
      </c>
      <c r="AA330" s="269">
        <f t="shared" si="74"/>
        <v>76</v>
      </c>
    </row>
    <row r="331" spans="1:27">
      <c r="A331" s="104">
        <v>330</v>
      </c>
      <c r="B331" s="104" t="str">
        <f t="shared" si="66"/>
        <v>ABDFGHJL</v>
      </c>
      <c r="C331" s="104" t="s">
        <v>245</v>
      </c>
      <c r="D331" s="104" t="s">
        <v>231</v>
      </c>
      <c r="E331" s="104" t="s">
        <v>144</v>
      </c>
      <c r="F331" s="104" t="s">
        <v>150</v>
      </c>
      <c r="G331" s="104" t="s">
        <v>142</v>
      </c>
      <c r="H331" s="104" t="s">
        <v>152</v>
      </c>
      <c r="I331" s="104" t="s">
        <v>259</v>
      </c>
      <c r="J331" s="104" t="s">
        <v>232</v>
      </c>
      <c r="K331" s="269">
        <f t="shared" si="65"/>
        <v>72</v>
      </c>
      <c r="L331" s="269">
        <f t="shared" si="65"/>
        <v>71</v>
      </c>
      <c r="M331" s="269">
        <f t="shared" si="65"/>
        <v>66</v>
      </c>
      <c r="N331" s="269">
        <f t="shared" si="64"/>
        <v>68</v>
      </c>
      <c r="O331" s="269">
        <f t="shared" si="64"/>
        <v>65</v>
      </c>
      <c r="P331" s="269">
        <f t="shared" si="64"/>
        <v>70</v>
      </c>
      <c r="Q331" s="269">
        <f t="shared" si="64"/>
        <v>76</v>
      </c>
      <c r="R331" s="269">
        <f t="shared" si="62"/>
        <v>74</v>
      </c>
      <c r="S331" s="269"/>
      <c r="T331" s="269">
        <f t="shared" si="67"/>
        <v>65</v>
      </c>
      <c r="U331" s="269">
        <f t="shared" si="68"/>
        <v>66</v>
      </c>
      <c r="V331" s="269">
        <f t="shared" si="69"/>
        <v>68</v>
      </c>
      <c r="W331" s="269">
        <f t="shared" si="70"/>
        <v>70</v>
      </c>
      <c r="X331" s="269">
        <f t="shared" si="71"/>
        <v>71</v>
      </c>
      <c r="Y331" s="269">
        <f t="shared" si="72"/>
        <v>72</v>
      </c>
      <c r="Z331" s="269">
        <f t="shared" si="73"/>
        <v>74</v>
      </c>
      <c r="AA331" s="269">
        <f t="shared" si="74"/>
        <v>76</v>
      </c>
    </row>
    <row r="332" spans="1:27">
      <c r="A332" s="104">
        <v>331</v>
      </c>
      <c r="B332" s="104" t="str">
        <f t="shared" si="66"/>
        <v>ABDFGHJK</v>
      </c>
      <c r="C332" s="104" t="s">
        <v>245</v>
      </c>
      <c r="D332" s="104" t="s">
        <v>231</v>
      </c>
      <c r="E332" s="104" t="s">
        <v>144</v>
      </c>
      <c r="F332" s="104" t="s">
        <v>150</v>
      </c>
      <c r="G332" s="104" t="s">
        <v>142</v>
      </c>
      <c r="H332" s="104" t="s">
        <v>152</v>
      </c>
      <c r="I332" s="104" t="s">
        <v>232</v>
      </c>
      <c r="J332" s="104" t="s">
        <v>246</v>
      </c>
      <c r="K332" s="269">
        <f t="shared" si="65"/>
        <v>72</v>
      </c>
      <c r="L332" s="269">
        <f t="shared" si="65"/>
        <v>71</v>
      </c>
      <c r="M332" s="269">
        <f t="shared" si="65"/>
        <v>66</v>
      </c>
      <c r="N332" s="269">
        <f t="shared" si="64"/>
        <v>68</v>
      </c>
      <c r="O332" s="269">
        <f t="shared" si="64"/>
        <v>65</v>
      </c>
      <c r="P332" s="269">
        <f t="shared" si="64"/>
        <v>70</v>
      </c>
      <c r="Q332" s="269">
        <f t="shared" si="64"/>
        <v>74</v>
      </c>
      <c r="R332" s="269">
        <f t="shared" si="64"/>
        <v>75</v>
      </c>
      <c r="S332" s="269"/>
      <c r="T332" s="269">
        <f t="shared" si="67"/>
        <v>65</v>
      </c>
      <c r="U332" s="269">
        <f t="shared" si="68"/>
        <v>66</v>
      </c>
      <c r="V332" s="269">
        <f t="shared" si="69"/>
        <v>68</v>
      </c>
      <c r="W332" s="269">
        <f t="shared" si="70"/>
        <v>70</v>
      </c>
      <c r="X332" s="269">
        <f t="shared" si="71"/>
        <v>71</v>
      </c>
      <c r="Y332" s="269">
        <f t="shared" si="72"/>
        <v>72</v>
      </c>
      <c r="Z332" s="269">
        <f t="shared" si="73"/>
        <v>74</v>
      </c>
      <c r="AA332" s="269">
        <f t="shared" si="74"/>
        <v>75</v>
      </c>
    </row>
    <row r="333" spans="1:27">
      <c r="A333" s="104">
        <v>332</v>
      </c>
      <c r="B333" s="104" t="str">
        <f t="shared" si="66"/>
        <v>ABDFGHIL</v>
      </c>
      <c r="C333" s="104" t="s">
        <v>245</v>
      </c>
      <c r="D333" s="104" t="s">
        <v>231</v>
      </c>
      <c r="E333" s="104" t="s">
        <v>144</v>
      </c>
      <c r="F333" s="104" t="s">
        <v>150</v>
      </c>
      <c r="G333" s="104" t="s">
        <v>142</v>
      </c>
      <c r="H333" s="104" t="s">
        <v>152</v>
      </c>
      <c r="I333" s="104" t="s">
        <v>259</v>
      </c>
      <c r="J333" s="104" t="s">
        <v>258</v>
      </c>
      <c r="K333" s="269">
        <f t="shared" si="65"/>
        <v>72</v>
      </c>
      <c r="L333" s="269">
        <f t="shared" si="65"/>
        <v>71</v>
      </c>
      <c r="M333" s="269">
        <f t="shared" si="65"/>
        <v>66</v>
      </c>
      <c r="N333" s="269">
        <f t="shared" si="64"/>
        <v>68</v>
      </c>
      <c r="O333" s="269">
        <f t="shared" si="64"/>
        <v>65</v>
      </c>
      <c r="P333" s="269">
        <f t="shared" si="64"/>
        <v>70</v>
      </c>
      <c r="Q333" s="269">
        <f t="shared" si="64"/>
        <v>76</v>
      </c>
      <c r="R333" s="269">
        <f t="shared" si="64"/>
        <v>73</v>
      </c>
      <c r="S333" s="269"/>
      <c r="T333" s="269">
        <f t="shared" si="67"/>
        <v>65</v>
      </c>
      <c r="U333" s="269">
        <f t="shared" si="68"/>
        <v>66</v>
      </c>
      <c r="V333" s="269">
        <f t="shared" si="69"/>
        <v>68</v>
      </c>
      <c r="W333" s="269">
        <f t="shared" si="70"/>
        <v>70</v>
      </c>
      <c r="X333" s="269">
        <f t="shared" si="71"/>
        <v>71</v>
      </c>
      <c r="Y333" s="269">
        <f t="shared" si="72"/>
        <v>72</v>
      </c>
      <c r="Z333" s="269">
        <f t="shared" si="73"/>
        <v>73</v>
      </c>
      <c r="AA333" s="269">
        <f t="shared" si="74"/>
        <v>76</v>
      </c>
    </row>
    <row r="334" spans="1:27">
      <c r="A334" s="104">
        <v>333</v>
      </c>
      <c r="B334" s="104" t="str">
        <f t="shared" si="66"/>
        <v>ABDFGHIK</v>
      </c>
      <c r="C334" s="104" t="s">
        <v>245</v>
      </c>
      <c r="D334" s="104" t="s">
        <v>231</v>
      </c>
      <c r="E334" s="104" t="s">
        <v>144</v>
      </c>
      <c r="F334" s="104" t="s">
        <v>150</v>
      </c>
      <c r="G334" s="104" t="s">
        <v>142</v>
      </c>
      <c r="H334" s="104" t="s">
        <v>152</v>
      </c>
      <c r="I334" s="104" t="s">
        <v>258</v>
      </c>
      <c r="J334" s="104" t="s">
        <v>246</v>
      </c>
      <c r="K334" s="269">
        <f t="shared" si="65"/>
        <v>72</v>
      </c>
      <c r="L334" s="269">
        <f t="shared" si="65"/>
        <v>71</v>
      </c>
      <c r="M334" s="269">
        <f t="shared" si="65"/>
        <v>66</v>
      </c>
      <c r="N334" s="269">
        <f t="shared" si="64"/>
        <v>68</v>
      </c>
      <c r="O334" s="269">
        <f t="shared" si="64"/>
        <v>65</v>
      </c>
      <c r="P334" s="269">
        <f t="shared" si="64"/>
        <v>70</v>
      </c>
      <c r="Q334" s="269">
        <f t="shared" si="64"/>
        <v>73</v>
      </c>
      <c r="R334" s="269">
        <f t="shared" si="64"/>
        <v>75</v>
      </c>
      <c r="S334" s="269"/>
      <c r="T334" s="269">
        <f t="shared" si="67"/>
        <v>65</v>
      </c>
      <c r="U334" s="269">
        <f t="shared" si="68"/>
        <v>66</v>
      </c>
      <c r="V334" s="269">
        <f t="shared" si="69"/>
        <v>68</v>
      </c>
      <c r="W334" s="269">
        <f t="shared" si="70"/>
        <v>70</v>
      </c>
      <c r="X334" s="269">
        <f t="shared" si="71"/>
        <v>71</v>
      </c>
      <c r="Y334" s="269">
        <f t="shared" si="72"/>
        <v>72</v>
      </c>
      <c r="Z334" s="269">
        <f t="shared" si="73"/>
        <v>73</v>
      </c>
      <c r="AA334" s="269">
        <f t="shared" si="74"/>
        <v>75</v>
      </c>
    </row>
    <row r="335" spans="1:27">
      <c r="A335" s="104">
        <v>334</v>
      </c>
      <c r="B335" s="104" t="str">
        <f t="shared" si="66"/>
        <v>ABDFGHIJ</v>
      </c>
      <c r="C335" s="104" t="s">
        <v>245</v>
      </c>
      <c r="D335" s="104" t="s">
        <v>231</v>
      </c>
      <c r="E335" s="104" t="s">
        <v>144</v>
      </c>
      <c r="F335" s="104" t="s">
        <v>150</v>
      </c>
      <c r="G335" s="104" t="s">
        <v>142</v>
      </c>
      <c r="H335" s="104" t="s">
        <v>152</v>
      </c>
      <c r="I335" s="104" t="s">
        <v>258</v>
      </c>
      <c r="J335" s="104" t="s">
        <v>232</v>
      </c>
      <c r="K335" s="269">
        <f t="shared" si="65"/>
        <v>72</v>
      </c>
      <c r="L335" s="269">
        <f t="shared" si="65"/>
        <v>71</v>
      </c>
      <c r="M335" s="269">
        <f t="shared" si="65"/>
        <v>66</v>
      </c>
      <c r="N335" s="269">
        <f t="shared" si="64"/>
        <v>68</v>
      </c>
      <c r="O335" s="269">
        <f t="shared" si="64"/>
        <v>65</v>
      </c>
      <c r="P335" s="269">
        <f t="shared" si="64"/>
        <v>70</v>
      </c>
      <c r="Q335" s="269">
        <f t="shared" si="64"/>
        <v>73</v>
      </c>
      <c r="R335" s="269">
        <f t="shared" si="64"/>
        <v>74</v>
      </c>
      <c r="S335" s="269"/>
      <c r="T335" s="269">
        <f t="shared" si="67"/>
        <v>65</v>
      </c>
      <c r="U335" s="269">
        <f t="shared" si="68"/>
        <v>66</v>
      </c>
      <c r="V335" s="269">
        <f t="shared" si="69"/>
        <v>68</v>
      </c>
      <c r="W335" s="269">
        <f t="shared" si="70"/>
        <v>70</v>
      </c>
      <c r="X335" s="269">
        <f t="shared" si="71"/>
        <v>71</v>
      </c>
      <c r="Y335" s="269">
        <f t="shared" si="72"/>
        <v>72</v>
      </c>
      <c r="Z335" s="269">
        <f t="shared" si="73"/>
        <v>73</v>
      </c>
      <c r="AA335" s="269">
        <f t="shared" si="74"/>
        <v>74</v>
      </c>
    </row>
    <row r="336" spans="1:27">
      <c r="A336" s="104">
        <v>335</v>
      </c>
      <c r="B336" s="104" t="str">
        <f t="shared" si="66"/>
        <v>ABDEIJKL</v>
      </c>
      <c r="C336" s="104" t="s">
        <v>151</v>
      </c>
      <c r="D336" s="104" t="s">
        <v>232</v>
      </c>
      <c r="E336" s="104" t="s">
        <v>144</v>
      </c>
      <c r="F336" s="104" t="s">
        <v>142</v>
      </c>
      <c r="G336" s="104" t="s">
        <v>258</v>
      </c>
      <c r="H336" s="104" t="s">
        <v>150</v>
      </c>
      <c r="I336" s="104" t="s">
        <v>259</v>
      </c>
      <c r="J336" s="104" t="s">
        <v>246</v>
      </c>
      <c r="K336" s="269">
        <f t="shared" si="65"/>
        <v>69</v>
      </c>
      <c r="L336" s="269">
        <f t="shared" si="65"/>
        <v>74</v>
      </c>
      <c r="M336" s="269">
        <f t="shared" si="65"/>
        <v>66</v>
      </c>
      <c r="N336" s="269">
        <f t="shared" si="64"/>
        <v>65</v>
      </c>
      <c r="O336" s="269">
        <f t="shared" si="64"/>
        <v>73</v>
      </c>
      <c r="P336" s="269">
        <f t="shared" si="64"/>
        <v>68</v>
      </c>
      <c r="Q336" s="269">
        <f t="shared" si="64"/>
        <v>76</v>
      </c>
      <c r="R336" s="269">
        <f t="shared" si="64"/>
        <v>75</v>
      </c>
      <c r="S336" s="269"/>
      <c r="T336" s="269">
        <f t="shared" si="67"/>
        <v>65</v>
      </c>
      <c r="U336" s="269">
        <f t="shared" si="68"/>
        <v>66</v>
      </c>
      <c r="V336" s="269">
        <f t="shared" si="69"/>
        <v>68</v>
      </c>
      <c r="W336" s="269">
        <f t="shared" si="70"/>
        <v>69</v>
      </c>
      <c r="X336" s="269">
        <f t="shared" si="71"/>
        <v>73</v>
      </c>
      <c r="Y336" s="269">
        <f t="shared" si="72"/>
        <v>74</v>
      </c>
      <c r="Z336" s="269">
        <f t="shared" si="73"/>
        <v>75</v>
      </c>
      <c r="AA336" s="269">
        <f t="shared" si="74"/>
        <v>76</v>
      </c>
    </row>
    <row r="337" spans="1:27">
      <c r="A337" s="104">
        <v>336</v>
      </c>
      <c r="B337" s="104" t="str">
        <f t="shared" si="66"/>
        <v>ABDEHJKL</v>
      </c>
      <c r="C337" s="104" t="s">
        <v>151</v>
      </c>
      <c r="D337" s="104" t="s">
        <v>232</v>
      </c>
      <c r="E337" s="104" t="s">
        <v>144</v>
      </c>
      <c r="F337" s="104" t="s">
        <v>150</v>
      </c>
      <c r="G337" s="104" t="s">
        <v>142</v>
      </c>
      <c r="H337" s="104" t="s">
        <v>245</v>
      </c>
      <c r="I337" s="104" t="s">
        <v>259</v>
      </c>
      <c r="J337" s="104" t="s">
        <v>246</v>
      </c>
      <c r="K337" s="269">
        <f t="shared" si="65"/>
        <v>69</v>
      </c>
      <c r="L337" s="269">
        <f t="shared" si="65"/>
        <v>74</v>
      </c>
      <c r="M337" s="269">
        <f t="shared" si="65"/>
        <v>66</v>
      </c>
      <c r="N337" s="269">
        <f t="shared" si="64"/>
        <v>68</v>
      </c>
      <c r="O337" s="269">
        <f t="shared" si="64"/>
        <v>65</v>
      </c>
      <c r="P337" s="269">
        <f t="shared" si="64"/>
        <v>72</v>
      </c>
      <c r="Q337" s="269">
        <f t="shared" si="64"/>
        <v>76</v>
      </c>
      <c r="R337" s="269">
        <f t="shared" si="64"/>
        <v>75</v>
      </c>
      <c r="S337" s="269"/>
      <c r="T337" s="269">
        <f t="shared" si="67"/>
        <v>65</v>
      </c>
      <c r="U337" s="269">
        <f t="shared" si="68"/>
        <v>66</v>
      </c>
      <c r="V337" s="269">
        <f t="shared" si="69"/>
        <v>68</v>
      </c>
      <c r="W337" s="269">
        <f t="shared" si="70"/>
        <v>69</v>
      </c>
      <c r="X337" s="269">
        <f t="shared" si="71"/>
        <v>72</v>
      </c>
      <c r="Y337" s="269">
        <f t="shared" si="72"/>
        <v>74</v>
      </c>
      <c r="Z337" s="269">
        <f t="shared" si="73"/>
        <v>75</v>
      </c>
      <c r="AA337" s="269">
        <f t="shared" si="74"/>
        <v>76</v>
      </c>
    </row>
    <row r="338" spans="1:27">
      <c r="A338" s="104">
        <v>337</v>
      </c>
      <c r="B338" s="104" t="str">
        <f t="shared" si="66"/>
        <v>ABDEHIKL</v>
      </c>
      <c r="C338" s="104" t="s">
        <v>151</v>
      </c>
      <c r="D338" s="104" t="s">
        <v>258</v>
      </c>
      <c r="E338" s="104" t="s">
        <v>144</v>
      </c>
      <c r="F338" s="104" t="s">
        <v>150</v>
      </c>
      <c r="G338" s="104" t="s">
        <v>142</v>
      </c>
      <c r="H338" s="104" t="s">
        <v>245</v>
      </c>
      <c r="I338" s="104" t="s">
        <v>259</v>
      </c>
      <c r="J338" s="104" t="s">
        <v>246</v>
      </c>
      <c r="K338" s="269">
        <f t="shared" si="65"/>
        <v>69</v>
      </c>
      <c r="L338" s="269">
        <f t="shared" si="65"/>
        <v>73</v>
      </c>
      <c r="M338" s="269">
        <f t="shared" si="65"/>
        <v>66</v>
      </c>
      <c r="N338" s="269">
        <f t="shared" si="64"/>
        <v>68</v>
      </c>
      <c r="O338" s="269">
        <f t="shared" si="64"/>
        <v>65</v>
      </c>
      <c r="P338" s="269">
        <f t="shared" si="64"/>
        <v>72</v>
      </c>
      <c r="Q338" s="269">
        <f t="shared" si="64"/>
        <v>76</v>
      </c>
      <c r="R338" s="269">
        <f t="shared" si="64"/>
        <v>75</v>
      </c>
      <c r="S338" s="269"/>
      <c r="T338" s="269">
        <f t="shared" si="67"/>
        <v>65</v>
      </c>
      <c r="U338" s="269">
        <f t="shared" si="68"/>
        <v>66</v>
      </c>
      <c r="V338" s="269">
        <f t="shared" si="69"/>
        <v>68</v>
      </c>
      <c r="W338" s="269">
        <f t="shared" si="70"/>
        <v>69</v>
      </c>
      <c r="X338" s="269">
        <f t="shared" si="71"/>
        <v>72</v>
      </c>
      <c r="Y338" s="269">
        <f t="shared" si="72"/>
        <v>73</v>
      </c>
      <c r="Z338" s="269">
        <f t="shared" si="73"/>
        <v>75</v>
      </c>
      <c r="AA338" s="269">
        <f t="shared" si="74"/>
        <v>76</v>
      </c>
    </row>
    <row r="339" spans="1:27">
      <c r="A339" s="104">
        <v>338</v>
      </c>
      <c r="B339" s="104" t="str">
        <f t="shared" si="66"/>
        <v>ABDEHIJL</v>
      </c>
      <c r="C339" s="104" t="s">
        <v>151</v>
      </c>
      <c r="D339" s="104" t="s">
        <v>232</v>
      </c>
      <c r="E339" s="104" t="s">
        <v>144</v>
      </c>
      <c r="F339" s="104" t="s">
        <v>150</v>
      </c>
      <c r="G339" s="104" t="s">
        <v>142</v>
      </c>
      <c r="H339" s="104" t="s">
        <v>245</v>
      </c>
      <c r="I339" s="104" t="s">
        <v>259</v>
      </c>
      <c r="J339" s="104" t="s">
        <v>258</v>
      </c>
      <c r="K339" s="269">
        <f t="shared" si="65"/>
        <v>69</v>
      </c>
      <c r="L339" s="269">
        <f t="shared" si="65"/>
        <v>74</v>
      </c>
      <c r="M339" s="269">
        <f t="shared" si="65"/>
        <v>66</v>
      </c>
      <c r="N339" s="269">
        <f t="shared" si="64"/>
        <v>68</v>
      </c>
      <c r="O339" s="269">
        <f t="shared" si="64"/>
        <v>65</v>
      </c>
      <c r="P339" s="269">
        <f t="shared" si="64"/>
        <v>72</v>
      </c>
      <c r="Q339" s="269">
        <f t="shared" si="64"/>
        <v>76</v>
      </c>
      <c r="R339" s="269">
        <f t="shared" si="64"/>
        <v>73</v>
      </c>
      <c r="S339" s="269"/>
      <c r="T339" s="269">
        <f t="shared" si="67"/>
        <v>65</v>
      </c>
      <c r="U339" s="269">
        <f t="shared" si="68"/>
        <v>66</v>
      </c>
      <c r="V339" s="269">
        <f t="shared" si="69"/>
        <v>68</v>
      </c>
      <c r="W339" s="269">
        <f t="shared" si="70"/>
        <v>69</v>
      </c>
      <c r="X339" s="269">
        <f t="shared" si="71"/>
        <v>72</v>
      </c>
      <c r="Y339" s="269">
        <f t="shared" si="72"/>
        <v>73</v>
      </c>
      <c r="Z339" s="269">
        <f t="shared" si="73"/>
        <v>74</v>
      </c>
      <c r="AA339" s="269">
        <f t="shared" si="74"/>
        <v>76</v>
      </c>
    </row>
    <row r="340" spans="1:27">
      <c r="A340" s="104">
        <v>339</v>
      </c>
      <c r="B340" s="104" t="str">
        <f t="shared" si="66"/>
        <v>ABDEHIJK</v>
      </c>
      <c r="C340" s="104" t="s">
        <v>151</v>
      </c>
      <c r="D340" s="104" t="s">
        <v>232</v>
      </c>
      <c r="E340" s="104" t="s">
        <v>144</v>
      </c>
      <c r="F340" s="104" t="s">
        <v>150</v>
      </c>
      <c r="G340" s="104" t="s">
        <v>142</v>
      </c>
      <c r="H340" s="104" t="s">
        <v>245</v>
      </c>
      <c r="I340" s="104" t="s">
        <v>258</v>
      </c>
      <c r="J340" s="104" t="s">
        <v>246</v>
      </c>
      <c r="K340" s="269">
        <f t="shared" si="65"/>
        <v>69</v>
      </c>
      <c r="L340" s="269">
        <f t="shared" si="65"/>
        <v>74</v>
      </c>
      <c r="M340" s="269">
        <f t="shared" si="65"/>
        <v>66</v>
      </c>
      <c r="N340" s="269">
        <f t="shared" si="64"/>
        <v>68</v>
      </c>
      <c r="O340" s="269">
        <f t="shared" si="64"/>
        <v>65</v>
      </c>
      <c r="P340" s="269">
        <f t="shared" si="64"/>
        <v>72</v>
      </c>
      <c r="Q340" s="269">
        <f t="shared" si="64"/>
        <v>73</v>
      </c>
      <c r="R340" s="269">
        <f t="shared" si="64"/>
        <v>75</v>
      </c>
      <c r="S340" s="269"/>
      <c r="T340" s="269">
        <f t="shared" si="67"/>
        <v>65</v>
      </c>
      <c r="U340" s="269">
        <f t="shared" si="68"/>
        <v>66</v>
      </c>
      <c r="V340" s="269">
        <f t="shared" si="69"/>
        <v>68</v>
      </c>
      <c r="W340" s="269">
        <f t="shared" si="70"/>
        <v>69</v>
      </c>
      <c r="X340" s="269">
        <f t="shared" si="71"/>
        <v>72</v>
      </c>
      <c r="Y340" s="269">
        <f t="shared" si="72"/>
        <v>73</v>
      </c>
      <c r="Z340" s="269">
        <f t="shared" si="73"/>
        <v>74</v>
      </c>
      <c r="AA340" s="269">
        <f t="shared" si="74"/>
        <v>75</v>
      </c>
    </row>
    <row r="341" spans="1:27">
      <c r="A341" s="104">
        <v>340</v>
      </c>
      <c r="B341" s="104" t="str">
        <f t="shared" si="66"/>
        <v>ABDEGJKL</v>
      </c>
      <c r="C341" s="104" t="s">
        <v>151</v>
      </c>
      <c r="D341" s="104" t="s">
        <v>232</v>
      </c>
      <c r="E341" s="104" t="s">
        <v>144</v>
      </c>
      <c r="F341" s="104" t="s">
        <v>150</v>
      </c>
      <c r="G341" s="104" t="s">
        <v>142</v>
      </c>
      <c r="H341" s="104" t="s">
        <v>231</v>
      </c>
      <c r="I341" s="104" t="s">
        <v>259</v>
      </c>
      <c r="J341" s="104" t="s">
        <v>246</v>
      </c>
      <c r="K341" s="269">
        <f t="shared" si="65"/>
        <v>69</v>
      </c>
      <c r="L341" s="269">
        <f t="shared" si="65"/>
        <v>74</v>
      </c>
      <c r="M341" s="269">
        <f t="shared" si="65"/>
        <v>66</v>
      </c>
      <c r="N341" s="269">
        <f t="shared" si="64"/>
        <v>68</v>
      </c>
      <c r="O341" s="269">
        <f t="shared" si="64"/>
        <v>65</v>
      </c>
      <c r="P341" s="269">
        <f t="shared" si="64"/>
        <v>71</v>
      </c>
      <c r="Q341" s="269">
        <f t="shared" si="64"/>
        <v>76</v>
      </c>
      <c r="R341" s="269">
        <f t="shared" si="64"/>
        <v>75</v>
      </c>
      <c r="S341" s="269"/>
      <c r="T341" s="269">
        <f t="shared" si="67"/>
        <v>65</v>
      </c>
      <c r="U341" s="269">
        <f t="shared" si="68"/>
        <v>66</v>
      </c>
      <c r="V341" s="269">
        <f t="shared" si="69"/>
        <v>68</v>
      </c>
      <c r="W341" s="269">
        <f t="shared" si="70"/>
        <v>69</v>
      </c>
      <c r="X341" s="269">
        <f t="shared" si="71"/>
        <v>71</v>
      </c>
      <c r="Y341" s="269">
        <f t="shared" si="72"/>
        <v>74</v>
      </c>
      <c r="Z341" s="269">
        <f t="shared" si="73"/>
        <v>75</v>
      </c>
      <c r="AA341" s="269">
        <f t="shared" si="74"/>
        <v>76</v>
      </c>
    </row>
    <row r="342" spans="1:27">
      <c r="A342" s="104">
        <v>341</v>
      </c>
      <c r="B342" s="104" t="str">
        <f t="shared" si="66"/>
        <v>ABDEGIKL</v>
      </c>
      <c r="C342" s="104" t="s">
        <v>151</v>
      </c>
      <c r="D342" s="104" t="s">
        <v>231</v>
      </c>
      <c r="E342" s="104" t="s">
        <v>144</v>
      </c>
      <c r="F342" s="104" t="s">
        <v>142</v>
      </c>
      <c r="G342" s="104" t="s">
        <v>258</v>
      </c>
      <c r="H342" s="104" t="s">
        <v>150</v>
      </c>
      <c r="I342" s="104" t="s">
        <v>259</v>
      </c>
      <c r="J342" s="104" t="s">
        <v>246</v>
      </c>
      <c r="K342" s="269">
        <f t="shared" si="65"/>
        <v>69</v>
      </c>
      <c r="L342" s="269">
        <f t="shared" si="65"/>
        <v>71</v>
      </c>
      <c r="M342" s="269">
        <f t="shared" si="65"/>
        <v>66</v>
      </c>
      <c r="N342" s="269">
        <f t="shared" si="64"/>
        <v>65</v>
      </c>
      <c r="O342" s="269">
        <f t="shared" si="64"/>
        <v>73</v>
      </c>
      <c r="P342" s="269">
        <f t="shared" si="64"/>
        <v>68</v>
      </c>
      <c r="Q342" s="269">
        <f t="shared" si="64"/>
        <v>76</v>
      </c>
      <c r="R342" s="269">
        <f t="shared" si="64"/>
        <v>75</v>
      </c>
      <c r="S342" s="269"/>
      <c r="T342" s="269">
        <f t="shared" si="67"/>
        <v>65</v>
      </c>
      <c r="U342" s="269">
        <f t="shared" si="68"/>
        <v>66</v>
      </c>
      <c r="V342" s="269">
        <f t="shared" si="69"/>
        <v>68</v>
      </c>
      <c r="W342" s="269">
        <f t="shared" si="70"/>
        <v>69</v>
      </c>
      <c r="X342" s="269">
        <f t="shared" si="71"/>
        <v>71</v>
      </c>
      <c r="Y342" s="269">
        <f t="shared" si="72"/>
        <v>73</v>
      </c>
      <c r="Z342" s="269">
        <f t="shared" si="73"/>
        <v>75</v>
      </c>
      <c r="AA342" s="269">
        <f t="shared" si="74"/>
        <v>76</v>
      </c>
    </row>
    <row r="343" spans="1:27">
      <c r="A343" s="104">
        <v>342</v>
      </c>
      <c r="B343" s="104" t="str">
        <f t="shared" si="66"/>
        <v>ABDEGIJL</v>
      </c>
      <c r="C343" s="104" t="s">
        <v>151</v>
      </c>
      <c r="D343" s="104" t="s">
        <v>232</v>
      </c>
      <c r="E343" s="104" t="s">
        <v>144</v>
      </c>
      <c r="F343" s="104" t="s">
        <v>150</v>
      </c>
      <c r="G343" s="104" t="s">
        <v>142</v>
      </c>
      <c r="H343" s="104" t="s">
        <v>231</v>
      </c>
      <c r="I343" s="104" t="s">
        <v>259</v>
      </c>
      <c r="J343" s="104" t="s">
        <v>258</v>
      </c>
      <c r="K343" s="269">
        <f t="shared" si="65"/>
        <v>69</v>
      </c>
      <c r="L343" s="269">
        <f t="shared" si="65"/>
        <v>74</v>
      </c>
      <c r="M343" s="269">
        <f t="shared" si="65"/>
        <v>66</v>
      </c>
      <c r="N343" s="269">
        <f t="shared" si="64"/>
        <v>68</v>
      </c>
      <c r="O343" s="269">
        <f t="shared" si="64"/>
        <v>65</v>
      </c>
      <c r="P343" s="269">
        <f t="shared" si="64"/>
        <v>71</v>
      </c>
      <c r="Q343" s="269">
        <f t="shared" si="64"/>
        <v>76</v>
      </c>
      <c r="R343" s="269">
        <f t="shared" si="64"/>
        <v>73</v>
      </c>
      <c r="S343" s="269"/>
      <c r="T343" s="269">
        <f t="shared" si="67"/>
        <v>65</v>
      </c>
      <c r="U343" s="269">
        <f t="shared" si="68"/>
        <v>66</v>
      </c>
      <c r="V343" s="269">
        <f t="shared" si="69"/>
        <v>68</v>
      </c>
      <c r="W343" s="269">
        <f t="shared" si="70"/>
        <v>69</v>
      </c>
      <c r="X343" s="269">
        <f t="shared" si="71"/>
        <v>71</v>
      </c>
      <c r="Y343" s="269">
        <f t="shared" si="72"/>
        <v>73</v>
      </c>
      <c r="Z343" s="269">
        <f t="shared" si="73"/>
        <v>74</v>
      </c>
      <c r="AA343" s="269">
        <f t="shared" si="74"/>
        <v>76</v>
      </c>
    </row>
    <row r="344" spans="1:27">
      <c r="A344" s="104">
        <v>343</v>
      </c>
      <c r="B344" s="104" t="str">
        <f t="shared" si="66"/>
        <v>ABDEGIJK</v>
      </c>
      <c r="C344" s="104" t="s">
        <v>151</v>
      </c>
      <c r="D344" s="104" t="s">
        <v>232</v>
      </c>
      <c r="E344" s="104" t="s">
        <v>144</v>
      </c>
      <c r="F344" s="104" t="s">
        <v>150</v>
      </c>
      <c r="G344" s="104" t="s">
        <v>142</v>
      </c>
      <c r="H344" s="104" t="s">
        <v>231</v>
      </c>
      <c r="I344" s="104" t="s">
        <v>258</v>
      </c>
      <c r="J344" s="104" t="s">
        <v>246</v>
      </c>
      <c r="K344" s="269">
        <f t="shared" si="65"/>
        <v>69</v>
      </c>
      <c r="L344" s="269">
        <f t="shared" si="65"/>
        <v>74</v>
      </c>
      <c r="M344" s="269">
        <f t="shared" si="65"/>
        <v>66</v>
      </c>
      <c r="N344" s="269">
        <f t="shared" si="64"/>
        <v>68</v>
      </c>
      <c r="O344" s="269">
        <f t="shared" si="64"/>
        <v>65</v>
      </c>
      <c r="P344" s="269">
        <f t="shared" si="64"/>
        <v>71</v>
      </c>
      <c r="Q344" s="269">
        <f t="shared" si="64"/>
        <v>73</v>
      </c>
      <c r="R344" s="269">
        <f t="shared" si="64"/>
        <v>75</v>
      </c>
      <c r="S344" s="269"/>
      <c r="T344" s="269">
        <f t="shared" si="67"/>
        <v>65</v>
      </c>
      <c r="U344" s="269">
        <f t="shared" si="68"/>
        <v>66</v>
      </c>
      <c r="V344" s="269">
        <f t="shared" si="69"/>
        <v>68</v>
      </c>
      <c r="W344" s="269">
        <f t="shared" si="70"/>
        <v>69</v>
      </c>
      <c r="X344" s="269">
        <f t="shared" si="71"/>
        <v>71</v>
      </c>
      <c r="Y344" s="269">
        <f t="shared" si="72"/>
        <v>73</v>
      </c>
      <c r="Z344" s="269">
        <f t="shared" si="73"/>
        <v>74</v>
      </c>
      <c r="AA344" s="269">
        <f t="shared" si="74"/>
        <v>75</v>
      </c>
    </row>
    <row r="345" spans="1:27">
      <c r="A345" s="104">
        <v>344</v>
      </c>
      <c r="B345" s="104" t="str">
        <f t="shared" si="66"/>
        <v>ABDEGHKL</v>
      </c>
      <c r="C345" s="104" t="s">
        <v>151</v>
      </c>
      <c r="D345" s="104" t="s">
        <v>231</v>
      </c>
      <c r="E345" s="104" t="s">
        <v>144</v>
      </c>
      <c r="F345" s="104" t="s">
        <v>150</v>
      </c>
      <c r="G345" s="104" t="s">
        <v>142</v>
      </c>
      <c r="H345" s="104" t="s">
        <v>245</v>
      </c>
      <c r="I345" s="104" t="s">
        <v>259</v>
      </c>
      <c r="J345" s="104" t="s">
        <v>246</v>
      </c>
      <c r="K345" s="269">
        <f t="shared" si="65"/>
        <v>69</v>
      </c>
      <c r="L345" s="269">
        <f t="shared" si="65"/>
        <v>71</v>
      </c>
      <c r="M345" s="269">
        <f t="shared" si="65"/>
        <v>66</v>
      </c>
      <c r="N345" s="269">
        <f t="shared" si="64"/>
        <v>68</v>
      </c>
      <c r="O345" s="269">
        <f t="shared" si="64"/>
        <v>65</v>
      </c>
      <c r="P345" s="269">
        <f t="shared" si="64"/>
        <v>72</v>
      </c>
      <c r="Q345" s="269">
        <f t="shared" si="64"/>
        <v>76</v>
      </c>
      <c r="R345" s="269">
        <f t="shared" si="64"/>
        <v>75</v>
      </c>
      <c r="S345" s="269"/>
      <c r="T345" s="269">
        <f t="shared" si="67"/>
        <v>65</v>
      </c>
      <c r="U345" s="269">
        <f t="shared" si="68"/>
        <v>66</v>
      </c>
      <c r="V345" s="269">
        <f t="shared" si="69"/>
        <v>68</v>
      </c>
      <c r="W345" s="269">
        <f t="shared" si="70"/>
        <v>69</v>
      </c>
      <c r="X345" s="269">
        <f t="shared" si="71"/>
        <v>71</v>
      </c>
      <c r="Y345" s="269">
        <f t="shared" si="72"/>
        <v>72</v>
      </c>
      <c r="Z345" s="269">
        <f t="shared" si="73"/>
        <v>75</v>
      </c>
      <c r="AA345" s="269">
        <f t="shared" si="74"/>
        <v>76</v>
      </c>
    </row>
    <row r="346" spans="1:27">
      <c r="A346" s="104">
        <v>345</v>
      </c>
      <c r="B346" s="104" t="str">
        <f t="shared" si="66"/>
        <v>ABDEGHJL</v>
      </c>
      <c r="C346" s="104" t="s">
        <v>245</v>
      </c>
      <c r="D346" s="104" t="s">
        <v>232</v>
      </c>
      <c r="E346" s="104" t="s">
        <v>144</v>
      </c>
      <c r="F346" s="104" t="s">
        <v>150</v>
      </c>
      <c r="G346" s="104" t="s">
        <v>142</v>
      </c>
      <c r="H346" s="104" t="s">
        <v>231</v>
      </c>
      <c r="I346" s="104" t="s">
        <v>259</v>
      </c>
      <c r="J346" s="104" t="s">
        <v>151</v>
      </c>
      <c r="K346" s="269">
        <f t="shared" si="65"/>
        <v>72</v>
      </c>
      <c r="L346" s="269">
        <f t="shared" si="65"/>
        <v>74</v>
      </c>
      <c r="M346" s="269">
        <f t="shared" si="65"/>
        <v>66</v>
      </c>
      <c r="N346" s="269">
        <f t="shared" si="64"/>
        <v>68</v>
      </c>
      <c r="O346" s="269">
        <f t="shared" si="64"/>
        <v>65</v>
      </c>
      <c r="P346" s="269">
        <f t="shared" si="64"/>
        <v>71</v>
      </c>
      <c r="Q346" s="269">
        <f t="shared" si="64"/>
        <v>76</v>
      </c>
      <c r="R346" s="269">
        <f t="shared" si="64"/>
        <v>69</v>
      </c>
      <c r="S346" s="269"/>
      <c r="T346" s="269">
        <f t="shared" si="67"/>
        <v>65</v>
      </c>
      <c r="U346" s="269">
        <f t="shared" si="68"/>
        <v>66</v>
      </c>
      <c r="V346" s="269">
        <f t="shared" si="69"/>
        <v>68</v>
      </c>
      <c r="W346" s="269">
        <f t="shared" si="70"/>
        <v>69</v>
      </c>
      <c r="X346" s="269">
        <f t="shared" si="71"/>
        <v>71</v>
      </c>
      <c r="Y346" s="269">
        <f t="shared" si="72"/>
        <v>72</v>
      </c>
      <c r="Z346" s="269">
        <f t="shared" si="73"/>
        <v>74</v>
      </c>
      <c r="AA346" s="269">
        <f t="shared" si="74"/>
        <v>76</v>
      </c>
    </row>
    <row r="347" spans="1:27">
      <c r="A347" s="104">
        <v>346</v>
      </c>
      <c r="B347" s="104" t="str">
        <f t="shared" si="66"/>
        <v>ABDEGHJK</v>
      </c>
      <c r="C347" s="104" t="s">
        <v>245</v>
      </c>
      <c r="D347" s="104" t="s">
        <v>232</v>
      </c>
      <c r="E347" s="104" t="s">
        <v>144</v>
      </c>
      <c r="F347" s="104" t="s">
        <v>150</v>
      </c>
      <c r="G347" s="104" t="s">
        <v>142</v>
      </c>
      <c r="H347" s="104" t="s">
        <v>231</v>
      </c>
      <c r="I347" s="104" t="s">
        <v>151</v>
      </c>
      <c r="J347" s="104" t="s">
        <v>246</v>
      </c>
      <c r="K347" s="269">
        <f t="shared" si="65"/>
        <v>72</v>
      </c>
      <c r="L347" s="269">
        <f t="shared" si="65"/>
        <v>74</v>
      </c>
      <c r="M347" s="269">
        <f t="shared" si="65"/>
        <v>66</v>
      </c>
      <c r="N347" s="269">
        <f t="shared" si="64"/>
        <v>68</v>
      </c>
      <c r="O347" s="269">
        <f t="shared" si="64"/>
        <v>65</v>
      </c>
      <c r="P347" s="269">
        <f t="shared" si="64"/>
        <v>71</v>
      </c>
      <c r="Q347" s="269">
        <f t="shared" si="64"/>
        <v>69</v>
      </c>
      <c r="R347" s="269">
        <f t="shared" si="64"/>
        <v>75</v>
      </c>
      <c r="S347" s="269"/>
      <c r="T347" s="269">
        <f t="shared" si="67"/>
        <v>65</v>
      </c>
      <c r="U347" s="269">
        <f t="shared" si="68"/>
        <v>66</v>
      </c>
      <c r="V347" s="269">
        <f t="shared" si="69"/>
        <v>68</v>
      </c>
      <c r="W347" s="269">
        <f t="shared" si="70"/>
        <v>69</v>
      </c>
      <c r="X347" s="269">
        <f t="shared" si="71"/>
        <v>71</v>
      </c>
      <c r="Y347" s="269">
        <f t="shared" si="72"/>
        <v>72</v>
      </c>
      <c r="Z347" s="269">
        <f t="shared" si="73"/>
        <v>74</v>
      </c>
      <c r="AA347" s="269">
        <f t="shared" si="74"/>
        <v>75</v>
      </c>
    </row>
    <row r="348" spans="1:27">
      <c r="A348" s="104">
        <v>347</v>
      </c>
      <c r="B348" s="104" t="str">
        <f t="shared" si="66"/>
        <v>ABDEGHIL</v>
      </c>
      <c r="C348" s="104" t="s">
        <v>151</v>
      </c>
      <c r="D348" s="104" t="s">
        <v>231</v>
      </c>
      <c r="E348" s="104" t="s">
        <v>144</v>
      </c>
      <c r="F348" s="104" t="s">
        <v>150</v>
      </c>
      <c r="G348" s="104" t="s">
        <v>142</v>
      </c>
      <c r="H348" s="104" t="s">
        <v>245</v>
      </c>
      <c r="I348" s="104" t="s">
        <v>259</v>
      </c>
      <c r="J348" s="104" t="s">
        <v>258</v>
      </c>
      <c r="K348" s="269">
        <f t="shared" si="65"/>
        <v>69</v>
      </c>
      <c r="L348" s="269">
        <f t="shared" si="65"/>
        <v>71</v>
      </c>
      <c r="M348" s="269">
        <f t="shared" si="65"/>
        <v>66</v>
      </c>
      <c r="N348" s="269">
        <f t="shared" si="64"/>
        <v>68</v>
      </c>
      <c r="O348" s="269">
        <f t="shared" si="64"/>
        <v>65</v>
      </c>
      <c r="P348" s="269">
        <f t="shared" si="64"/>
        <v>72</v>
      </c>
      <c r="Q348" s="269">
        <f t="shared" si="64"/>
        <v>76</v>
      </c>
      <c r="R348" s="269">
        <f t="shared" si="64"/>
        <v>73</v>
      </c>
      <c r="S348" s="269"/>
      <c r="T348" s="269">
        <f t="shared" si="67"/>
        <v>65</v>
      </c>
      <c r="U348" s="269">
        <f t="shared" si="68"/>
        <v>66</v>
      </c>
      <c r="V348" s="269">
        <f t="shared" si="69"/>
        <v>68</v>
      </c>
      <c r="W348" s="269">
        <f t="shared" si="70"/>
        <v>69</v>
      </c>
      <c r="X348" s="269">
        <f t="shared" si="71"/>
        <v>71</v>
      </c>
      <c r="Y348" s="269">
        <f t="shared" si="72"/>
        <v>72</v>
      </c>
      <c r="Z348" s="269">
        <f t="shared" si="73"/>
        <v>73</v>
      </c>
      <c r="AA348" s="269">
        <f t="shared" si="74"/>
        <v>76</v>
      </c>
    </row>
    <row r="349" spans="1:27">
      <c r="A349" s="104">
        <v>348</v>
      </c>
      <c r="B349" s="104" t="str">
        <f t="shared" si="66"/>
        <v>ABDEGHIK</v>
      </c>
      <c r="C349" s="104" t="s">
        <v>151</v>
      </c>
      <c r="D349" s="104" t="s">
        <v>231</v>
      </c>
      <c r="E349" s="104" t="s">
        <v>144</v>
      </c>
      <c r="F349" s="104" t="s">
        <v>150</v>
      </c>
      <c r="G349" s="104" t="s">
        <v>142</v>
      </c>
      <c r="H349" s="104" t="s">
        <v>245</v>
      </c>
      <c r="I349" s="104" t="s">
        <v>258</v>
      </c>
      <c r="J349" s="104" t="s">
        <v>246</v>
      </c>
      <c r="K349" s="269">
        <f t="shared" si="65"/>
        <v>69</v>
      </c>
      <c r="L349" s="269">
        <f t="shared" si="65"/>
        <v>71</v>
      </c>
      <c r="M349" s="269">
        <f t="shared" si="65"/>
        <v>66</v>
      </c>
      <c r="N349" s="269">
        <f t="shared" si="64"/>
        <v>68</v>
      </c>
      <c r="O349" s="269">
        <f t="shared" si="64"/>
        <v>65</v>
      </c>
      <c r="P349" s="269">
        <f t="shared" si="64"/>
        <v>72</v>
      </c>
      <c r="Q349" s="269">
        <f t="shared" si="64"/>
        <v>73</v>
      </c>
      <c r="R349" s="269">
        <f t="shared" si="64"/>
        <v>75</v>
      </c>
      <c r="S349" s="269"/>
      <c r="T349" s="269">
        <f t="shared" si="67"/>
        <v>65</v>
      </c>
      <c r="U349" s="269">
        <f t="shared" si="68"/>
        <v>66</v>
      </c>
      <c r="V349" s="269">
        <f t="shared" si="69"/>
        <v>68</v>
      </c>
      <c r="W349" s="269">
        <f t="shared" si="70"/>
        <v>69</v>
      </c>
      <c r="X349" s="269">
        <f t="shared" si="71"/>
        <v>71</v>
      </c>
      <c r="Y349" s="269">
        <f t="shared" si="72"/>
        <v>72</v>
      </c>
      <c r="Z349" s="269">
        <f t="shared" si="73"/>
        <v>73</v>
      </c>
      <c r="AA349" s="269">
        <f t="shared" si="74"/>
        <v>75</v>
      </c>
    </row>
    <row r="350" spans="1:27">
      <c r="A350" s="104">
        <v>349</v>
      </c>
      <c r="B350" s="104" t="str">
        <f t="shared" si="66"/>
        <v>ABDEGHIJ</v>
      </c>
      <c r="C350" s="104" t="s">
        <v>245</v>
      </c>
      <c r="D350" s="104" t="s">
        <v>232</v>
      </c>
      <c r="E350" s="104" t="s">
        <v>144</v>
      </c>
      <c r="F350" s="104" t="s">
        <v>150</v>
      </c>
      <c r="G350" s="104" t="s">
        <v>142</v>
      </c>
      <c r="H350" s="104" t="s">
        <v>231</v>
      </c>
      <c r="I350" s="104" t="s">
        <v>151</v>
      </c>
      <c r="J350" s="104" t="s">
        <v>258</v>
      </c>
      <c r="K350" s="269">
        <f t="shared" si="65"/>
        <v>72</v>
      </c>
      <c r="L350" s="269">
        <f t="shared" si="65"/>
        <v>74</v>
      </c>
      <c r="M350" s="269">
        <f t="shared" si="65"/>
        <v>66</v>
      </c>
      <c r="N350" s="269">
        <f t="shared" si="64"/>
        <v>68</v>
      </c>
      <c r="O350" s="269">
        <f t="shared" si="64"/>
        <v>65</v>
      </c>
      <c r="P350" s="269">
        <f t="shared" si="64"/>
        <v>71</v>
      </c>
      <c r="Q350" s="269">
        <f t="shared" si="64"/>
        <v>69</v>
      </c>
      <c r="R350" s="269">
        <f t="shared" si="64"/>
        <v>73</v>
      </c>
      <c r="S350" s="269"/>
      <c r="T350" s="269">
        <f t="shared" si="67"/>
        <v>65</v>
      </c>
      <c r="U350" s="269">
        <f t="shared" si="68"/>
        <v>66</v>
      </c>
      <c r="V350" s="269">
        <f t="shared" si="69"/>
        <v>68</v>
      </c>
      <c r="W350" s="269">
        <f t="shared" si="70"/>
        <v>69</v>
      </c>
      <c r="X350" s="269">
        <f t="shared" si="71"/>
        <v>71</v>
      </c>
      <c r="Y350" s="269">
        <f t="shared" si="72"/>
        <v>72</v>
      </c>
      <c r="Z350" s="269">
        <f t="shared" si="73"/>
        <v>73</v>
      </c>
      <c r="AA350" s="269">
        <f t="shared" si="74"/>
        <v>74</v>
      </c>
    </row>
    <row r="351" spans="1:27">
      <c r="A351" s="104">
        <v>350</v>
      </c>
      <c r="B351" s="104" t="str">
        <f t="shared" si="66"/>
        <v>ABDEFJKL</v>
      </c>
      <c r="C351" s="104" t="s">
        <v>151</v>
      </c>
      <c r="D351" s="104" t="s">
        <v>232</v>
      </c>
      <c r="E351" s="104" t="s">
        <v>144</v>
      </c>
      <c r="F351" s="104" t="s">
        <v>150</v>
      </c>
      <c r="G351" s="104" t="s">
        <v>142</v>
      </c>
      <c r="H351" s="104" t="s">
        <v>152</v>
      </c>
      <c r="I351" s="104" t="s">
        <v>259</v>
      </c>
      <c r="J351" s="104" t="s">
        <v>246</v>
      </c>
      <c r="K351" s="269">
        <f t="shared" si="65"/>
        <v>69</v>
      </c>
      <c r="L351" s="269">
        <f t="shared" si="65"/>
        <v>74</v>
      </c>
      <c r="M351" s="269">
        <f t="shared" si="65"/>
        <v>66</v>
      </c>
      <c r="N351" s="269">
        <f t="shared" si="64"/>
        <v>68</v>
      </c>
      <c r="O351" s="269">
        <f t="shared" si="64"/>
        <v>65</v>
      </c>
      <c r="P351" s="269">
        <f t="shared" si="64"/>
        <v>70</v>
      </c>
      <c r="Q351" s="269">
        <f t="shared" si="64"/>
        <v>76</v>
      </c>
      <c r="R351" s="269">
        <f t="shared" si="64"/>
        <v>75</v>
      </c>
      <c r="S351" s="269"/>
      <c r="T351" s="269">
        <f t="shared" si="67"/>
        <v>65</v>
      </c>
      <c r="U351" s="269">
        <f t="shared" si="68"/>
        <v>66</v>
      </c>
      <c r="V351" s="269">
        <f t="shared" si="69"/>
        <v>68</v>
      </c>
      <c r="W351" s="269">
        <f t="shared" si="70"/>
        <v>69</v>
      </c>
      <c r="X351" s="269">
        <f t="shared" si="71"/>
        <v>70</v>
      </c>
      <c r="Y351" s="269">
        <f t="shared" si="72"/>
        <v>74</v>
      </c>
      <c r="Z351" s="269">
        <f t="shared" si="73"/>
        <v>75</v>
      </c>
      <c r="AA351" s="269">
        <f t="shared" si="74"/>
        <v>76</v>
      </c>
    </row>
    <row r="352" spans="1:27">
      <c r="A352" s="104">
        <v>351</v>
      </c>
      <c r="B352" s="104" t="str">
        <f t="shared" si="66"/>
        <v>ABDEFIKL</v>
      </c>
      <c r="C352" s="104" t="s">
        <v>151</v>
      </c>
      <c r="D352" s="104" t="s">
        <v>258</v>
      </c>
      <c r="E352" s="104" t="s">
        <v>144</v>
      </c>
      <c r="F352" s="104" t="s">
        <v>150</v>
      </c>
      <c r="G352" s="104" t="s">
        <v>142</v>
      </c>
      <c r="H352" s="104" t="s">
        <v>152</v>
      </c>
      <c r="I352" s="104" t="s">
        <v>259</v>
      </c>
      <c r="J352" s="104" t="s">
        <v>246</v>
      </c>
      <c r="K352" s="269">
        <f t="shared" si="65"/>
        <v>69</v>
      </c>
      <c r="L352" s="269">
        <f t="shared" si="65"/>
        <v>73</v>
      </c>
      <c r="M352" s="269">
        <f t="shared" si="65"/>
        <v>66</v>
      </c>
      <c r="N352" s="269">
        <f t="shared" si="64"/>
        <v>68</v>
      </c>
      <c r="O352" s="269">
        <f t="shared" si="64"/>
        <v>65</v>
      </c>
      <c r="P352" s="269">
        <f t="shared" si="64"/>
        <v>70</v>
      </c>
      <c r="Q352" s="269">
        <f t="shared" si="64"/>
        <v>76</v>
      </c>
      <c r="R352" s="269">
        <f t="shared" si="64"/>
        <v>75</v>
      </c>
      <c r="S352" s="269"/>
      <c r="T352" s="269">
        <f t="shared" si="67"/>
        <v>65</v>
      </c>
      <c r="U352" s="269">
        <f t="shared" si="68"/>
        <v>66</v>
      </c>
      <c r="V352" s="269">
        <f t="shared" si="69"/>
        <v>68</v>
      </c>
      <c r="W352" s="269">
        <f t="shared" si="70"/>
        <v>69</v>
      </c>
      <c r="X352" s="269">
        <f t="shared" si="71"/>
        <v>70</v>
      </c>
      <c r="Y352" s="269">
        <f t="shared" si="72"/>
        <v>73</v>
      </c>
      <c r="Z352" s="269">
        <f t="shared" si="73"/>
        <v>75</v>
      </c>
      <c r="AA352" s="269">
        <f t="shared" si="74"/>
        <v>76</v>
      </c>
    </row>
    <row r="353" spans="1:27">
      <c r="A353" s="104">
        <v>352</v>
      </c>
      <c r="B353" s="104" t="str">
        <f t="shared" si="66"/>
        <v>ABDEFIJL</v>
      </c>
      <c r="C353" s="104" t="s">
        <v>151</v>
      </c>
      <c r="D353" s="104" t="s">
        <v>232</v>
      </c>
      <c r="E353" s="104" t="s">
        <v>144</v>
      </c>
      <c r="F353" s="104" t="s">
        <v>150</v>
      </c>
      <c r="G353" s="104" t="s">
        <v>142</v>
      </c>
      <c r="H353" s="104" t="s">
        <v>152</v>
      </c>
      <c r="I353" s="104" t="s">
        <v>259</v>
      </c>
      <c r="J353" s="104" t="s">
        <v>258</v>
      </c>
      <c r="K353" s="269">
        <f t="shared" si="65"/>
        <v>69</v>
      </c>
      <c r="L353" s="269">
        <f t="shared" si="65"/>
        <v>74</v>
      </c>
      <c r="M353" s="269">
        <f t="shared" si="65"/>
        <v>66</v>
      </c>
      <c r="N353" s="269">
        <f t="shared" si="64"/>
        <v>68</v>
      </c>
      <c r="O353" s="269">
        <f t="shared" si="64"/>
        <v>65</v>
      </c>
      <c r="P353" s="269">
        <f t="shared" si="64"/>
        <v>70</v>
      </c>
      <c r="Q353" s="269">
        <f t="shared" si="64"/>
        <v>76</v>
      </c>
      <c r="R353" s="269">
        <f t="shared" si="64"/>
        <v>73</v>
      </c>
      <c r="S353" s="269"/>
      <c r="T353" s="269">
        <f t="shared" si="67"/>
        <v>65</v>
      </c>
      <c r="U353" s="269">
        <f t="shared" si="68"/>
        <v>66</v>
      </c>
      <c r="V353" s="269">
        <f t="shared" si="69"/>
        <v>68</v>
      </c>
      <c r="W353" s="269">
        <f t="shared" si="70"/>
        <v>69</v>
      </c>
      <c r="X353" s="269">
        <f t="shared" si="71"/>
        <v>70</v>
      </c>
      <c r="Y353" s="269">
        <f t="shared" si="72"/>
        <v>73</v>
      </c>
      <c r="Z353" s="269">
        <f t="shared" si="73"/>
        <v>74</v>
      </c>
      <c r="AA353" s="269">
        <f t="shared" si="74"/>
        <v>76</v>
      </c>
    </row>
    <row r="354" spans="1:27">
      <c r="A354" s="104">
        <v>353</v>
      </c>
      <c r="B354" s="104" t="str">
        <f t="shared" si="66"/>
        <v>ABDEFIJK</v>
      </c>
      <c r="C354" s="104" t="s">
        <v>151</v>
      </c>
      <c r="D354" s="104" t="s">
        <v>232</v>
      </c>
      <c r="E354" s="104" t="s">
        <v>144</v>
      </c>
      <c r="F354" s="104" t="s">
        <v>150</v>
      </c>
      <c r="G354" s="104" t="s">
        <v>142</v>
      </c>
      <c r="H354" s="104" t="s">
        <v>152</v>
      </c>
      <c r="I354" s="104" t="s">
        <v>258</v>
      </c>
      <c r="J354" s="104" t="s">
        <v>246</v>
      </c>
      <c r="K354" s="269">
        <f t="shared" si="65"/>
        <v>69</v>
      </c>
      <c r="L354" s="269">
        <f t="shared" si="65"/>
        <v>74</v>
      </c>
      <c r="M354" s="269">
        <f t="shared" si="65"/>
        <v>66</v>
      </c>
      <c r="N354" s="269">
        <f t="shared" si="64"/>
        <v>68</v>
      </c>
      <c r="O354" s="269">
        <f t="shared" si="64"/>
        <v>65</v>
      </c>
      <c r="P354" s="269">
        <f t="shared" si="64"/>
        <v>70</v>
      </c>
      <c r="Q354" s="269">
        <f t="shared" si="64"/>
        <v>73</v>
      </c>
      <c r="R354" s="269">
        <f t="shared" si="64"/>
        <v>75</v>
      </c>
      <c r="S354" s="269"/>
      <c r="T354" s="269">
        <f t="shared" si="67"/>
        <v>65</v>
      </c>
      <c r="U354" s="269">
        <f t="shared" si="68"/>
        <v>66</v>
      </c>
      <c r="V354" s="269">
        <f t="shared" si="69"/>
        <v>68</v>
      </c>
      <c r="W354" s="269">
        <f t="shared" si="70"/>
        <v>69</v>
      </c>
      <c r="X354" s="269">
        <f t="shared" si="71"/>
        <v>70</v>
      </c>
      <c r="Y354" s="269">
        <f t="shared" si="72"/>
        <v>73</v>
      </c>
      <c r="Z354" s="269">
        <f t="shared" si="73"/>
        <v>74</v>
      </c>
      <c r="AA354" s="269">
        <f t="shared" si="74"/>
        <v>75</v>
      </c>
    </row>
    <row r="355" spans="1:27">
      <c r="A355" s="104">
        <v>354</v>
      </c>
      <c r="B355" s="104" t="str">
        <f t="shared" si="66"/>
        <v>ABDEFHKL</v>
      </c>
      <c r="C355" s="104" t="s">
        <v>245</v>
      </c>
      <c r="D355" s="104" t="s">
        <v>151</v>
      </c>
      <c r="E355" s="104" t="s">
        <v>144</v>
      </c>
      <c r="F355" s="104" t="s">
        <v>150</v>
      </c>
      <c r="G355" s="104" t="s">
        <v>142</v>
      </c>
      <c r="H355" s="104" t="s">
        <v>152</v>
      </c>
      <c r="I355" s="104" t="s">
        <v>259</v>
      </c>
      <c r="J355" s="104" t="s">
        <v>246</v>
      </c>
      <c r="K355" s="269">
        <f t="shared" si="65"/>
        <v>72</v>
      </c>
      <c r="L355" s="269">
        <f t="shared" si="65"/>
        <v>69</v>
      </c>
      <c r="M355" s="269">
        <f t="shared" si="65"/>
        <v>66</v>
      </c>
      <c r="N355" s="269">
        <f t="shared" si="64"/>
        <v>68</v>
      </c>
      <c r="O355" s="269">
        <f t="shared" si="64"/>
        <v>65</v>
      </c>
      <c r="P355" s="269">
        <f t="shared" si="64"/>
        <v>70</v>
      </c>
      <c r="Q355" s="269">
        <f t="shared" si="64"/>
        <v>76</v>
      </c>
      <c r="R355" s="269">
        <f t="shared" si="64"/>
        <v>75</v>
      </c>
      <c r="S355" s="269"/>
      <c r="T355" s="269">
        <f t="shared" si="67"/>
        <v>65</v>
      </c>
      <c r="U355" s="269">
        <f t="shared" si="68"/>
        <v>66</v>
      </c>
      <c r="V355" s="269">
        <f t="shared" si="69"/>
        <v>68</v>
      </c>
      <c r="W355" s="269">
        <f t="shared" si="70"/>
        <v>69</v>
      </c>
      <c r="X355" s="269">
        <f t="shared" si="71"/>
        <v>70</v>
      </c>
      <c r="Y355" s="269">
        <f t="shared" si="72"/>
        <v>72</v>
      </c>
      <c r="Z355" s="269">
        <f t="shared" si="73"/>
        <v>75</v>
      </c>
      <c r="AA355" s="269">
        <f t="shared" si="74"/>
        <v>76</v>
      </c>
    </row>
    <row r="356" spans="1:27">
      <c r="A356" s="104">
        <v>355</v>
      </c>
      <c r="B356" s="104" t="str">
        <f t="shared" si="66"/>
        <v>ABDEFHJL</v>
      </c>
      <c r="C356" s="104" t="s">
        <v>245</v>
      </c>
      <c r="D356" s="104" t="s">
        <v>232</v>
      </c>
      <c r="E356" s="104" t="s">
        <v>144</v>
      </c>
      <c r="F356" s="104" t="s">
        <v>150</v>
      </c>
      <c r="G356" s="104" t="s">
        <v>142</v>
      </c>
      <c r="H356" s="104" t="s">
        <v>152</v>
      </c>
      <c r="I356" s="104" t="s">
        <v>259</v>
      </c>
      <c r="J356" s="104" t="s">
        <v>151</v>
      </c>
      <c r="K356" s="269">
        <f t="shared" si="65"/>
        <v>72</v>
      </c>
      <c r="L356" s="269">
        <f t="shared" si="65"/>
        <v>74</v>
      </c>
      <c r="M356" s="269">
        <f t="shared" si="65"/>
        <v>66</v>
      </c>
      <c r="N356" s="269">
        <f t="shared" si="64"/>
        <v>68</v>
      </c>
      <c r="O356" s="269">
        <f t="shared" si="64"/>
        <v>65</v>
      </c>
      <c r="P356" s="269">
        <f t="shared" si="64"/>
        <v>70</v>
      </c>
      <c r="Q356" s="269">
        <f t="shared" si="64"/>
        <v>76</v>
      </c>
      <c r="R356" s="269">
        <f t="shared" si="64"/>
        <v>69</v>
      </c>
      <c r="S356" s="269"/>
      <c r="T356" s="269">
        <f t="shared" si="67"/>
        <v>65</v>
      </c>
      <c r="U356" s="269">
        <f t="shared" si="68"/>
        <v>66</v>
      </c>
      <c r="V356" s="269">
        <f t="shared" si="69"/>
        <v>68</v>
      </c>
      <c r="W356" s="269">
        <f t="shared" si="70"/>
        <v>69</v>
      </c>
      <c r="X356" s="269">
        <f t="shared" si="71"/>
        <v>70</v>
      </c>
      <c r="Y356" s="269">
        <f t="shared" si="72"/>
        <v>72</v>
      </c>
      <c r="Z356" s="269">
        <f t="shared" si="73"/>
        <v>74</v>
      </c>
      <c r="AA356" s="269">
        <f t="shared" si="74"/>
        <v>76</v>
      </c>
    </row>
    <row r="357" spans="1:27">
      <c r="A357" s="104">
        <v>356</v>
      </c>
      <c r="B357" s="104" t="str">
        <f t="shared" si="66"/>
        <v>ABDEFHJK</v>
      </c>
      <c r="C357" s="104" t="s">
        <v>245</v>
      </c>
      <c r="D357" s="104" t="s">
        <v>232</v>
      </c>
      <c r="E357" s="104" t="s">
        <v>144</v>
      </c>
      <c r="F357" s="104" t="s">
        <v>150</v>
      </c>
      <c r="G357" s="104" t="s">
        <v>142</v>
      </c>
      <c r="H357" s="104" t="s">
        <v>152</v>
      </c>
      <c r="I357" s="104" t="s">
        <v>151</v>
      </c>
      <c r="J357" s="104" t="s">
        <v>246</v>
      </c>
      <c r="K357" s="269">
        <f t="shared" si="65"/>
        <v>72</v>
      </c>
      <c r="L357" s="269">
        <f t="shared" si="65"/>
        <v>74</v>
      </c>
      <c r="M357" s="269">
        <f t="shared" si="65"/>
        <v>66</v>
      </c>
      <c r="N357" s="269">
        <f t="shared" si="64"/>
        <v>68</v>
      </c>
      <c r="O357" s="269">
        <f t="shared" si="64"/>
        <v>65</v>
      </c>
      <c r="P357" s="269">
        <f t="shared" si="64"/>
        <v>70</v>
      </c>
      <c r="Q357" s="269">
        <f t="shared" si="64"/>
        <v>69</v>
      </c>
      <c r="R357" s="269">
        <f t="shared" si="64"/>
        <v>75</v>
      </c>
      <c r="S357" s="269"/>
      <c r="T357" s="269">
        <f t="shared" si="67"/>
        <v>65</v>
      </c>
      <c r="U357" s="269">
        <f t="shared" si="68"/>
        <v>66</v>
      </c>
      <c r="V357" s="269">
        <f t="shared" si="69"/>
        <v>68</v>
      </c>
      <c r="W357" s="269">
        <f t="shared" si="70"/>
        <v>69</v>
      </c>
      <c r="X357" s="269">
        <f t="shared" si="71"/>
        <v>70</v>
      </c>
      <c r="Y357" s="269">
        <f t="shared" si="72"/>
        <v>72</v>
      </c>
      <c r="Z357" s="269">
        <f t="shared" si="73"/>
        <v>74</v>
      </c>
      <c r="AA357" s="269">
        <f t="shared" si="74"/>
        <v>75</v>
      </c>
    </row>
    <row r="358" spans="1:27">
      <c r="A358" s="104">
        <v>357</v>
      </c>
      <c r="B358" s="104" t="str">
        <f t="shared" si="66"/>
        <v>ABDEFHIL</v>
      </c>
      <c r="C358" s="104" t="s">
        <v>245</v>
      </c>
      <c r="D358" s="104" t="s">
        <v>151</v>
      </c>
      <c r="E358" s="104" t="s">
        <v>144</v>
      </c>
      <c r="F358" s="104" t="s">
        <v>150</v>
      </c>
      <c r="G358" s="104" t="s">
        <v>142</v>
      </c>
      <c r="H358" s="104" t="s">
        <v>152</v>
      </c>
      <c r="I358" s="104" t="s">
        <v>259</v>
      </c>
      <c r="J358" s="104" t="s">
        <v>258</v>
      </c>
      <c r="K358" s="269">
        <f t="shared" si="65"/>
        <v>72</v>
      </c>
      <c r="L358" s="269">
        <f t="shared" si="65"/>
        <v>69</v>
      </c>
      <c r="M358" s="269">
        <f t="shared" si="65"/>
        <v>66</v>
      </c>
      <c r="N358" s="269">
        <f t="shared" si="64"/>
        <v>68</v>
      </c>
      <c r="O358" s="269">
        <f t="shared" si="64"/>
        <v>65</v>
      </c>
      <c r="P358" s="269">
        <f t="shared" si="64"/>
        <v>70</v>
      </c>
      <c r="Q358" s="269">
        <f t="shared" si="64"/>
        <v>76</v>
      </c>
      <c r="R358" s="269">
        <f t="shared" si="64"/>
        <v>73</v>
      </c>
      <c r="S358" s="269"/>
      <c r="T358" s="269">
        <f t="shared" si="67"/>
        <v>65</v>
      </c>
      <c r="U358" s="269">
        <f t="shared" si="68"/>
        <v>66</v>
      </c>
      <c r="V358" s="269">
        <f t="shared" si="69"/>
        <v>68</v>
      </c>
      <c r="W358" s="269">
        <f t="shared" si="70"/>
        <v>69</v>
      </c>
      <c r="X358" s="269">
        <f t="shared" si="71"/>
        <v>70</v>
      </c>
      <c r="Y358" s="269">
        <f t="shared" si="72"/>
        <v>72</v>
      </c>
      <c r="Z358" s="269">
        <f t="shared" si="73"/>
        <v>73</v>
      </c>
      <c r="AA358" s="269">
        <f t="shared" si="74"/>
        <v>76</v>
      </c>
    </row>
    <row r="359" spans="1:27">
      <c r="A359" s="104">
        <v>358</v>
      </c>
      <c r="B359" s="104" t="str">
        <f t="shared" si="66"/>
        <v>ABDEFHIK</v>
      </c>
      <c r="C359" s="104" t="s">
        <v>245</v>
      </c>
      <c r="D359" s="104" t="s">
        <v>151</v>
      </c>
      <c r="E359" s="104" t="s">
        <v>144</v>
      </c>
      <c r="F359" s="104" t="s">
        <v>150</v>
      </c>
      <c r="G359" s="104" t="s">
        <v>142</v>
      </c>
      <c r="H359" s="104" t="s">
        <v>152</v>
      </c>
      <c r="I359" s="104" t="s">
        <v>258</v>
      </c>
      <c r="J359" s="104" t="s">
        <v>246</v>
      </c>
      <c r="K359" s="269">
        <f t="shared" si="65"/>
        <v>72</v>
      </c>
      <c r="L359" s="269">
        <f t="shared" si="65"/>
        <v>69</v>
      </c>
      <c r="M359" s="269">
        <f t="shared" si="65"/>
        <v>66</v>
      </c>
      <c r="N359" s="269">
        <f t="shared" si="64"/>
        <v>68</v>
      </c>
      <c r="O359" s="269">
        <f t="shared" si="64"/>
        <v>65</v>
      </c>
      <c r="P359" s="269">
        <f t="shared" si="64"/>
        <v>70</v>
      </c>
      <c r="Q359" s="269">
        <f t="shared" si="64"/>
        <v>73</v>
      </c>
      <c r="R359" s="269">
        <f t="shared" si="64"/>
        <v>75</v>
      </c>
      <c r="S359" s="269"/>
      <c r="T359" s="269">
        <f t="shared" si="67"/>
        <v>65</v>
      </c>
      <c r="U359" s="269">
        <f t="shared" si="68"/>
        <v>66</v>
      </c>
      <c r="V359" s="269">
        <f t="shared" si="69"/>
        <v>68</v>
      </c>
      <c r="W359" s="269">
        <f t="shared" si="70"/>
        <v>69</v>
      </c>
      <c r="X359" s="269">
        <f t="shared" si="71"/>
        <v>70</v>
      </c>
      <c r="Y359" s="269">
        <f t="shared" si="72"/>
        <v>72</v>
      </c>
      <c r="Z359" s="269">
        <f t="shared" si="73"/>
        <v>73</v>
      </c>
      <c r="AA359" s="269">
        <f t="shared" si="74"/>
        <v>75</v>
      </c>
    </row>
    <row r="360" spans="1:27">
      <c r="A360" s="104">
        <v>359</v>
      </c>
      <c r="B360" s="104" t="str">
        <f t="shared" si="66"/>
        <v>ABDEFHIJ</v>
      </c>
      <c r="C360" s="104" t="s">
        <v>245</v>
      </c>
      <c r="D360" s="104" t="s">
        <v>232</v>
      </c>
      <c r="E360" s="104" t="s">
        <v>144</v>
      </c>
      <c r="F360" s="104" t="s">
        <v>150</v>
      </c>
      <c r="G360" s="104" t="s">
        <v>142</v>
      </c>
      <c r="H360" s="104" t="s">
        <v>152</v>
      </c>
      <c r="I360" s="104" t="s">
        <v>151</v>
      </c>
      <c r="J360" s="104" t="s">
        <v>258</v>
      </c>
      <c r="K360" s="269">
        <f t="shared" si="65"/>
        <v>72</v>
      </c>
      <c r="L360" s="269">
        <f t="shared" si="65"/>
        <v>74</v>
      </c>
      <c r="M360" s="269">
        <f t="shared" si="65"/>
        <v>66</v>
      </c>
      <c r="N360" s="269">
        <f t="shared" si="64"/>
        <v>68</v>
      </c>
      <c r="O360" s="269">
        <f t="shared" si="64"/>
        <v>65</v>
      </c>
      <c r="P360" s="269">
        <f t="shared" si="64"/>
        <v>70</v>
      </c>
      <c r="Q360" s="269">
        <f t="shared" si="64"/>
        <v>69</v>
      </c>
      <c r="R360" s="269">
        <f t="shared" si="64"/>
        <v>73</v>
      </c>
      <c r="S360" s="269"/>
      <c r="T360" s="269">
        <f t="shared" si="67"/>
        <v>65</v>
      </c>
      <c r="U360" s="269">
        <f t="shared" si="68"/>
        <v>66</v>
      </c>
      <c r="V360" s="269">
        <f t="shared" si="69"/>
        <v>68</v>
      </c>
      <c r="W360" s="269">
        <f t="shared" si="70"/>
        <v>69</v>
      </c>
      <c r="X360" s="269">
        <f t="shared" si="71"/>
        <v>70</v>
      </c>
      <c r="Y360" s="269">
        <f t="shared" si="72"/>
        <v>72</v>
      </c>
      <c r="Z360" s="269">
        <f t="shared" si="73"/>
        <v>73</v>
      </c>
      <c r="AA360" s="269">
        <f t="shared" si="74"/>
        <v>74</v>
      </c>
    </row>
    <row r="361" spans="1:27">
      <c r="A361" s="104">
        <v>360</v>
      </c>
      <c r="B361" s="104" t="str">
        <f t="shared" si="66"/>
        <v>ABDEFGKL</v>
      </c>
      <c r="C361" s="104" t="s">
        <v>151</v>
      </c>
      <c r="D361" s="104" t="s">
        <v>231</v>
      </c>
      <c r="E361" s="104" t="s">
        <v>144</v>
      </c>
      <c r="F361" s="104" t="s">
        <v>150</v>
      </c>
      <c r="G361" s="104" t="s">
        <v>142</v>
      </c>
      <c r="H361" s="104" t="s">
        <v>152</v>
      </c>
      <c r="I361" s="104" t="s">
        <v>259</v>
      </c>
      <c r="J361" s="104" t="s">
        <v>246</v>
      </c>
      <c r="K361" s="269">
        <f t="shared" si="65"/>
        <v>69</v>
      </c>
      <c r="L361" s="269">
        <f t="shared" si="65"/>
        <v>71</v>
      </c>
      <c r="M361" s="269">
        <f t="shared" si="65"/>
        <v>66</v>
      </c>
      <c r="N361" s="269">
        <f t="shared" si="64"/>
        <v>68</v>
      </c>
      <c r="O361" s="269">
        <f t="shared" si="64"/>
        <v>65</v>
      </c>
      <c r="P361" s="269">
        <f t="shared" ref="P361:R424" si="75">CODE(MID(H361,2,1))</f>
        <v>70</v>
      </c>
      <c r="Q361" s="269">
        <f t="shared" si="75"/>
        <v>76</v>
      </c>
      <c r="R361" s="269">
        <f t="shared" si="75"/>
        <v>75</v>
      </c>
      <c r="S361" s="269"/>
      <c r="T361" s="269">
        <f t="shared" si="67"/>
        <v>65</v>
      </c>
      <c r="U361" s="269">
        <f t="shared" si="68"/>
        <v>66</v>
      </c>
      <c r="V361" s="269">
        <f t="shared" si="69"/>
        <v>68</v>
      </c>
      <c r="W361" s="269">
        <f t="shared" si="70"/>
        <v>69</v>
      </c>
      <c r="X361" s="269">
        <f t="shared" si="71"/>
        <v>70</v>
      </c>
      <c r="Y361" s="269">
        <f t="shared" si="72"/>
        <v>71</v>
      </c>
      <c r="Z361" s="269">
        <f t="shared" si="73"/>
        <v>75</v>
      </c>
      <c r="AA361" s="269">
        <f t="shared" si="74"/>
        <v>76</v>
      </c>
    </row>
    <row r="362" spans="1:27">
      <c r="A362" s="104">
        <v>361</v>
      </c>
      <c r="B362" s="104" t="str">
        <f t="shared" si="66"/>
        <v>ABDEFGJL</v>
      </c>
      <c r="C362" s="104" t="s">
        <v>151</v>
      </c>
      <c r="D362" s="104" t="s">
        <v>231</v>
      </c>
      <c r="E362" s="104" t="s">
        <v>144</v>
      </c>
      <c r="F362" s="104" t="s">
        <v>150</v>
      </c>
      <c r="G362" s="104" t="s">
        <v>142</v>
      </c>
      <c r="H362" s="104" t="s">
        <v>152</v>
      </c>
      <c r="I362" s="104" t="s">
        <v>259</v>
      </c>
      <c r="J362" s="104" t="s">
        <v>232</v>
      </c>
      <c r="K362" s="269">
        <f t="shared" si="65"/>
        <v>69</v>
      </c>
      <c r="L362" s="269">
        <f t="shared" si="65"/>
        <v>71</v>
      </c>
      <c r="M362" s="269">
        <f t="shared" si="65"/>
        <v>66</v>
      </c>
      <c r="N362" s="269">
        <f t="shared" si="65"/>
        <v>68</v>
      </c>
      <c r="O362" s="269">
        <f t="shared" si="65"/>
        <v>65</v>
      </c>
      <c r="P362" s="269">
        <f t="shared" si="75"/>
        <v>70</v>
      </c>
      <c r="Q362" s="269">
        <f t="shared" si="75"/>
        <v>76</v>
      </c>
      <c r="R362" s="269">
        <f t="shared" si="75"/>
        <v>74</v>
      </c>
      <c r="S362" s="269"/>
      <c r="T362" s="269">
        <f t="shared" si="67"/>
        <v>65</v>
      </c>
      <c r="U362" s="269">
        <f t="shared" si="68"/>
        <v>66</v>
      </c>
      <c r="V362" s="269">
        <f t="shared" si="69"/>
        <v>68</v>
      </c>
      <c r="W362" s="269">
        <f t="shared" si="70"/>
        <v>69</v>
      </c>
      <c r="X362" s="269">
        <f t="shared" si="71"/>
        <v>70</v>
      </c>
      <c r="Y362" s="269">
        <f t="shared" si="72"/>
        <v>71</v>
      </c>
      <c r="Z362" s="269">
        <f t="shared" si="73"/>
        <v>74</v>
      </c>
      <c r="AA362" s="269">
        <f t="shared" si="74"/>
        <v>76</v>
      </c>
    </row>
    <row r="363" spans="1:27">
      <c r="A363" s="104">
        <v>362</v>
      </c>
      <c r="B363" s="104" t="str">
        <f t="shared" si="66"/>
        <v>ABDEFGJK</v>
      </c>
      <c r="C363" s="104" t="s">
        <v>151</v>
      </c>
      <c r="D363" s="104" t="s">
        <v>231</v>
      </c>
      <c r="E363" s="104" t="s">
        <v>144</v>
      </c>
      <c r="F363" s="104" t="s">
        <v>150</v>
      </c>
      <c r="G363" s="104" t="s">
        <v>142</v>
      </c>
      <c r="H363" s="104" t="s">
        <v>152</v>
      </c>
      <c r="I363" s="104" t="s">
        <v>232</v>
      </c>
      <c r="J363" s="104" t="s">
        <v>246</v>
      </c>
      <c r="K363" s="269">
        <f t="shared" si="65"/>
        <v>69</v>
      </c>
      <c r="L363" s="269">
        <f t="shared" si="65"/>
        <v>71</v>
      </c>
      <c r="M363" s="269">
        <f t="shared" si="65"/>
        <v>66</v>
      </c>
      <c r="N363" s="269">
        <f t="shared" si="65"/>
        <v>68</v>
      </c>
      <c r="O363" s="269">
        <f t="shared" si="65"/>
        <v>65</v>
      </c>
      <c r="P363" s="269">
        <f t="shared" si="75"/>
        <v>70</v>
      </c>
      <c r="Q363" s="269">
        <f t="shared" si="75"/>
        <v>74</v>
      </c>
      <c r="R363" s="269">
        <f t="shared" si="75"/>
        <v>75</v>
      </c>
      <c r="S363" s="269"/>
      <c r="T363" s="269">
        <f t="shared" si="67"/>
        <v>65</v>
      </c>
      <c r="U363" s="269">
        <f t="shared" si="68"/>
        <v>66</v>
      </c>
      <c r="V363" s="269">
        <f t="shared" si="69"/>
        <v>68</v>
      </c>
      <c r="W363" s="269">
        <f t="shared" si="70"/>
        <v>69</v>
      </c>
      <c r="X363" s="269">
        <f t="shared" si="71"/>
        <v>70</v>
      </c>
      <c r="Y363" s="269">
        <f t="shared" si="72"/>
        <v>71</v>
      </c>
      <c r="Z363" s="269">
        <f t="shared" si="73"/>
        <v>74</v>
      </c>
      <c r="AA363" s="269">
        <f t="shared" si="74"/>
        <v>75</v>
      </c>
    </row>
    <row r="364" spans="1:27">
      <c r="A364" s="104">
        <v>363</v>
      </c>
      <c r="B364" s="104" t="str">
        <f t="shared" si="66"/>
        <v>ABDEFGIL</v>
      </c>
      <c r="C364" s="104" t="s">
        <v>151</v>
      </c>
      <c r="D364" s="104" t="s">
        <v>231</v>
      </c>
      <c r="E364" s="104" t="s">
        <v>144</v>
      </c>
      <c r="F364" s="104" t="s">
        <v>150</v>
      </c>
      <c r="G364" s="104" t="s">
        <v>142</v>
      </c>
      <c r="H364" s="104" t="s">
        <v>152</v>
      </c>
      <c r="I364" s="104" t="s">
        <v>259</v>
      </c>
      <c r="J364" s="104" t="s">
        <v>258</v>
      </c>
      <c r="K364" s="269">
        <f t="shared" si="65"/>
        <v>69</v>
      </c>
      <c r="L364" s="269">
        <f t="shared" si="65"/>
        <v>71</v>
      </c>
      <c r="M364" s="269">
        <f t="shared" si="65"/>
        <v>66</v>
      </c>
      <c r="N364" s="269">
        <f t="shared" si="65"/>
        <v>68</v>
      </c>
      <c r="O364" s="269">
        <f t="shared" si="65"/>
        <v>65</v>
      </c>
      <c r="P364" s="269">
        <f t="shared" si="75"/>
        <v>70</v>
      </c>
      <c r="Q364" s="269">
        <f t="shared" si="75"/>
        <v>76</v>
      </c>
      <c r="R364" s="269">
        <f t="shared" si="75"/>
        <v>73</v>
      </c>
      <c r="S364" s="269"/>
      <c r="T364" s="269">
        <f t="shared" si="67"/>
        <v>65</v>
      </c>
      <c r="U364" s="269">
        <f t="shared" si="68"/>
        <v>66</v>
      </c>
      <c r="V364" s="269">
        <f t="shared" si="69"/>
        <v>68</v>
      </c>
      <c r="W364" s="269">
        <f t="shared" si="70"/>
        <v>69</v>
      </c>
      <c r="X364" s="269">
        <f t="shared" si="71"/>
        <v>70</v>
      </c>
      <c r="Y364" s="269">
        <f t="shared" si="72"/>
        <v>71</v>
      </c>
      <c r="Z364" s="269">
        <f t="shared" si="73"/>
        <v>73</v>
      </c>
      <c r="AA364" s="269">
        <f t="shared" si="74"/>
        <v>76</v>
      </c>
    </row>
    <row r="365" spans="1:27">
      <c r="A365" s="104">
        <v>364</v>
      </c>
      <c r="B365" s="104" t="str">
        <f t="shared" si="66"/>
        <v>ABDEFGIK</v>
      </c>
      <c r="C365" s="104" t="s">
        <v>151</v>
      </c>
      <c r="D365" s="104" t="s">
        <v>231</v>
      </c>
      <c r="E365" s="104" t="s">
        <v>144</v>
      </c>
      <c r="F365" s="104" t="s">
        <v>150</v>
      </c>
      <c r="G365" s="104" t="s">
        <v>142</v>
      </c>
      <c r="H365" s="104" t="s">
        <v>152</v>
      </c>
      <c r="I365" s="104" t="s">
        <v>258</v>
      </c>
      <c r="J365" s="104" t="s">
        <v>246</v>
      </c>
      <c r="K365" s="269">
        <f t="shared" si="65"/>
        <v>69</v>
      </c>
      <c r="L365" s="269">
        <f t="shared" si="65"/>
        <v>71</v>
      </c>
      <c r="M365" s="269">
        <f t="shared" si="65"/>
        <v>66</v>
      </c>
      <c r="N365" s="269">
        <f t="shared" si="65"/>
        <v>68</v>
      </c>
      <c r="O365" s="269">
        <f t="shared" si="65"/>
        <v>65</v>
      </c>
      <c r="P365" s="269">
        <f t="shared" si="75"/>
        <v>70</v>
      </c>
      <c r="Q365" s="269">
        <f t="shared" si="75"/>
        <v>73</v>
      </c>
      <c r="R365" s="269">
        <f t="shared" si="75"/>
        <v>75</v>
      </c>
      <c r="S365" s="269"/>
      <c r="T365" s="269">
        <f t="shared" si="67"/>
        <v>65</v>
      </c>
      <c r="U365" s="269">
        <f t="shared" si="68"/>
        <v>66</v>
      </c>
      <c r="V365" s="269">
        <f t="shared" si="69"/>
        <v>68</v>
      </c>
      <c r="W365" s="269">
        <f t="shared" si="70"/>
        <v>69</v>
      </c>
      <c r="X365" s="269">
        <f t="shared" si="71"/>
        <v>70</v>
      </c>
      <c r="Y365" s="269">
        <f t="shared" si="72"/>
        <v>71</v>
      </c>
      <c r="Z365" s="269">
        <f t="shared" si="73"/>
        <v>73</v>
      </c>
      <c r="AA365" s="269">
        <f t="shared" si="74"/>
        <v>75</v>
      </c>
    </row>
    <row r="366" spans="1:27">
      <c r="A366" s="104">
        <v>365</v>
      </c>
      <c r="B366" s="104" t="str">
        <f t="shared" si="66"/>
        <v>ABDEFGIJ</v>
      </c>
      <c r="C366" s="104" t="s">
        <v>151</v>
      </c>
      <c r="D366" s="104" t="s">
        <v>231</v>
      </c>
      <c r="E366" s="104" t="s">
        <v>144</v>
      </c>
      <c r="F366" s="104" t="s">
        <v>150</v>
      </c>
      <c r="G366" s="104" t="s">
        <v>142</v>
      </c>
      <c r="H366" s="104" t="s">
        <v>152</v>
      </c>
      <c r="I366" s="104" t="s">
        <v>258</v>
      </c>
      <c r="J366" s="104" t="s">
        <v>232</v>
      </c>
      <c r="K366" s="269">
        <f t="shared" si="65"/>
        <v>69</v>
      </c>
      <c r="L366" s="269">
        <f t="shared" si="65"/>
        <v>71</v>
      </c>
      <c r="M366" s="269">
        <f t="shared" si="65"/>
        <v>66</v>
      </c>
      <c r="N366" s="269">
        <f t="shared" si="65"/>
        <v>68</v>
      </c>
      <c r="O366" s="269">
        <f t="shared" si="65"/>
        <v>65</v>
      </c>
      <c r="P366" s="269">
        <f t="shared" si="75"/>
        <v>70</v>
      </c>
      <c r="Q366" s="269">
        <f t="shared" si="75"/>
        <v>73</v>
      </c>
      <c r="R366" s="269">
        <f t="shared" si="75"/>
        <v>74</v>
      </c>
      <c r="S366" s="269"/>
      <c r="T366" s="269">
        <f t="shared" si="67"/>
        <v>65</v>
      </c>
      <c r="U366" s="269">
        <f t="shared" si="68"/>
        <v>66</v>
      </c>
      <c r="V366" s="269">
        <f t="shared" si="69"/>
        <v>68</v>
      </c>
      <c r="W366" s="269">
        <f t="shared" si="70"/>
        <v>69</v>
      </c>
      <c r="X366" s="269">
        <f t="shared" si="71"/>
        <v>70</v>
      </c>
      <c r="Y366" s="269">
        <f t="shared" si="72"/>
        <v>71</v>
      </c>
      <c r="Z366" s="269">
        <f t="shared" si="73"/>
        <v>73</v>
      </c>
      <c r="AA366" s="269">
        <f t="shared" si="74"/>
        <v>74</v>
      </c>
    </row>
    <row r="367" spans="1:27">
      <c r="A367" s="104">
        <v>366</v>
      </c>
      <c r="B367" s="104" t="str">
        <f t="shared" si="66"/>
        <v>ABDEFGHL</v>
      </c>
      <c r="C367" s="104" t="s">
        <v>245</v>
      </c>
      <c r="D367" s="104" t="s">
        <v>231</v>
      </c>
      <c r="E367" s="104" t="s">
        <v>144</v>
      </c>
      <c r="F367" s="104" t="s">
        <v>150</v>
      </c>
      <c r="G367" s="104" t="s">
        <v>142</v>
      </c>
      <c r="H367" s="104" t="s">
        <v>152</v>
      </c>
      <c r="I367" s="104" t="s">
        <v>259</v>
      </c>
      <c r="J367" s="104" t="s">
        <v>151</v>
      </c>
      <c r="K367" s="269">
        <f t="shared" si="65"/>
        <v>72</v>
      </c>
      <c r="L367" s="269">
        <f t="shared" si="65"/>
        <v>71</v>
      </c>
      <c r="M367" s="269">
        <f t="shared" si="65"/>
        <v>66</v>
      </c>
      <c r="N367" s="269">
        <f t="shared" si="65"/>
        <v>68</v>
      </c>
      <c r="O367" s="269">
        <f t="shared" si="65"/>
        <v>65</v>
      </c>
      <c r="P367" s="269">
        <f t="shared" si="75"/>
        <v>70</v>
      </c>
      <c r="Q367" s="269">
        <f t="shared" si="75"/>
        <v>76</v>
      </c>
      <c r="R367" s="269">
        <f t="shared" si="75"/>
        <v>69</v>
      </c>
      <c r="S367" s="269"/>
      <c r="T367" s="269">
        <f t="shared" si="67"/>
        <v>65</v>
      </c>
      <c r="U367" s="269">
        <f t="shared" si="68"/>
        <v>66</v>
      </c>
      <c r="V367" s="269">
        <f t="shared" si="69"/>
        <v>68</v>
      </c>
      <c r="W367" s="269">
        <f t="shared" si="70"/>
        <v>69</v>
      </c>
      <c r="X367" s="269">
        <f t="shared" si="71"/>
        <v>70</v>
      </c>
      <c r="Y367" s="269">
        <f t="shared" si="72"/>
        <v>71</v>
      </c>
      <c r="Z367" s="269">
        <f t="shared" si="73"/>
        <v>72</v>
      </c>
      <c r="AA367" s="269">
        <f t="shared" si="74"/>
        <v>76</v>
      </c>
    </row>
    <row r="368" spans="1:27">
      <c r="A368" s="104">
        <v>367</v>
      </c>
      <c r="B368" s="104" t="str">
        <f t="shared" si="66"/>
        <v>ABDEFGHK</v>
      </c>
      <c r="C368" s="104" t="s">
        <v>245</v>
      </c>
      <c r="D368" s="104" t="s">
        <v>231</v>
      </c>
      <c r="E368" s="104" t="s">
        <v>144</v>
      </c>
      <c r="F368" s="104" t="s">
        <v>150</v>
      </c>
      <c r="G368" s="104" t="s">
        <v>142</v>
      </c>
      <c r="H368" s="104" t="s">
        <v>152</v>
      </c>
      <c r="I368" s="104" t="s">
        <v>151</v>
      </c>
      <c r="J368" s="104" t="s">
        <v>246</v>
      </c>
      <c r="K368" s="269">
        <f t="shared" si="65"/>
        <v>72</v>
      </c>
      <c r="L368" s="269">
        <f t="shared" si="65"/>
        <v>71</v>
      </c>
      <c r="M368" s="269">
        <f t="shared" si="65"/>
        <v>66</v>
      </c>
      <c r="N368" s="269">
        <f t="shared" si="65"/>
        <v>68</v>
      </c>
      <c r="O368" s="269">
        <f t="shared" si="65"/>
        <v>65</v>
      </c>
      <c r="P368" s="269">
        <f t="shared" si="75"/>
        <v>70</v>
      </c>
      <c r="Q368" s="269">
        <f t="shared" si="75"/>
        <v>69</v>
      </c>
      <c r="R368" s="269">
        <f t="shared" si="75"/>
        <v>75</v>
      </c>
      <c r="S368" s="269"/>
      <c r="T368" s="269">
        <f t="shared" si="67"/>
        <v>65</v>
      </c>
      <c r="U368" s="269">
        <f t="shared" si="68"/>
        <v>66</v>
      </c>
      <c r="V368" s="269">
        <f t="shared" si="69"/>
        <v>68</v>
      </c>
      <c r="W368" s="269">
        <f t="shared" si="70"/>
        <v>69</v>
      </c>
      <c r="X368" s="269">
        <f t="shared" si="71"/>
        <v>70</v>
      </c>
      <c r="Y368" s="269">
        <f t="shared" si="72"/>
        <v>71</v>
      </c>
      <c r="Z368" s="269">
        <f t="shared" si="73"/>
        <v>72</v>
      </c>
      <c r="AA368" s="269">
        <f t="shared" si="74"/>
        <v>75</v>
      </c>
    </row>
    <row r="369" spans="1:27">
      <c r="A369" s="104">
        <v>368</v>
      </c>
      <c r="B369" s="104" t="str">
        <f t="shared" si="66"/>
        <v>ABDEFGHJ</v>
      </c>
      <c r="C369" s="104" t="s">
        <v>245</v>
      </c>
      <c r="D369" s="104" t="s">
        <v>231</v>
      </c>
      <c r="E369" s="104" t="s">
        <v>144</v>
      </c>
      <c r="F369" s="104" t="s">
        <v>150</v>
      </c>
      <c r="G369" s="104" t="s">
        <v>142</v>
      </c>
      <c r="H369" s="104" t="s">
        <v>152</v>
      </c>
      <c r="I369" s="104" t="s">
        <v>151</v>
      </c>
      <c r="J369" s="104" t="s">
        <v>232</v>
      </c>
      <c r="K369" s="269">
        <f t="shared" si="65"/>
        <v>72</v>
      </c>
      <c r="L369" s="269">
        <f t="shared" si="65"/>
        <v>71</v>
      </c>
      <c r="M369" s="269">
        <f t="shared" si="65"/>
        <v>66</v>
      </c>
      <c r="N369" s="269">
        <f t="shared" si="65"/>
        <v>68</v>
      </c>
      <c r="O369" s="269">
        <f t="shared" si="65"/>
        <v>65</v>
      </c>
      <c r="P369" s="269">
        <f t="shared" si="75"/>
        <v>70</v>
      </c>
      <c r="Q369" s="269">
        <f t="shared" si="75"/>
        <v>69</v>
      </c>
      <c r="R369" s="269">
        <f t="shared" si="75"/>
        <v>74</v>
      </c>
      <c r="S369" s="269"/>
      <c r="T369" s="269">
        <f t="shared" si="67"/>
        <v>65</v>
      </c>
      <c r="U369" s="269">
        <f t="shared" si="68"/>
        <v>66</v>
      </c>
      <c r="V369" s="269">
        <f t="shared" si="69"/>
        <v>68</v>
      </c>
      <c r="W369" s="269">
        <f t="shared" si="70"/>
        <v>69</v>
      </c>
      <c r="X369" s="269">
        <f t="shared" si="71"/>
        <v>70</v>
      </c>
      <c r="Y369" s="269">
        <f t="shared" si="72"/>
        <v>71</v>
      </c>
      <c r="Z369" s="269">
        <f t="shared" si="73"/>
        <v>72</v>
      </c>
      <c r="AA369" s="269">
        <f t="shared" si="74"/>
        <v>74</v>
      </c>
    </row>
    <row r="370" spans="1:27">
      <c r="A370" s="104">
        <v>369</v>
      </c>
      <c r="B370" s="104" t="str">
        <f t="shared" si="66"/>
        <v>ABDEFGHI</v>
      </c>
      <c r="C370" s="104" t="s">
        <v>245</v>
      </c>
      <c r="D370" s="104" t="s">
        <v>231</v>
      </c>
      <c r="E370" s="104" t="s">
        <v>144</v>
      </c>
      <c r="F370" s="104" t="s">
        <v>150</v>
      </c>
      <c r="G370" s="104" t="s">
        <v>142</v>
      </c>
      <c r="H370" s="104" t="s">
        <v>152</v>
      </c>
      <c r="I370" s="104" t="s">
        <v>151</v>
      </c>
      <c r="J370" s="104" t="s">
        <v>258</v>
      </c>
      <c r="K370" s="269">
        <f t="shared" ref="K370:O420" si="76">CODE(MID(C370,2,1))</f>
        <v>72</v>
      </c>
      <c r="L370" s="269">
        <f t="shared" si="76"/>
        <v>71</v>
      </c>
      <c r="M370" s="269">
        <f t="shared" si="76"/>
        <v>66</v>
      </c>
      <c r="N370" s="269">
        <f t="shared" si="76"/>
        <v>68</v>
      </c>
      <c r="O370" s="269">
        <f t="shared" si="76"/>
        <v>65</v>
      </c>
      <c r="P370" s="269">
        <f t="shared" si="75"/>
        <v>70</v>
      </c>
      <c r="Q370" s="269">
        <f t="shared" si="75"/>
        <v>69</v>
      </c>
      <c r="R370" s="269">
        <f t="shared" si="75"/>
        <v>73</v>
      </c>
      <c r="S370" s="269"/>
      <c r="T370" s="269">
        <f t="shared" si="67"/>
        <v>65</v>
      </c>
      <c r="U370" s="269">
        <f t="shared" si="68"/>
        <v>66</v>
      </c>
      <c r="V370" s="269">
        <f t="shared" si="69"/>
        <v>68</v>
      </c>
      <c r="W370" s="269">
        <f t="shared" si="70"/>
        <v>69</v>
      </c>
      <c r="X370" s="269">
        <f t="shared" si="71"/>
        <v>70</v>
      </c>
      <c r="Y370" s="269">
        <f t="shared" si="72"/>
        <v>71</v>
      </c>
      <c r="Z370" s="269">
        <f t="shared" si="73"/>
        <v>72</v>
      </c>
      <c r="AA370" s="269">
        <f t="shared" si="74"/>
        <v>73</v>
      </c>
    </row>
    <row r="371" spans="1:27">
      <c r="A371" s="104">
        <v>370</v>
      </c>
      <c r="B371" s="104" t="str">
        <f t="shared" si="66"/>
        <v>ABCHIJKL</v>
      </c>
      <c r="C371" s="104" t="s">
        <v>258</v>
      </c>
      <c r="D371" s="104" t="s">
        <v>232</v>
      </c>
      <c r="E371" s="104" t="s">
        <v>144</v>
      </c>
      <c r="F371" s="104" t="s">
        <v>145</v>
      </c>
      <c r="G371" s="104" t="s">
        <v>142</v>
      </c>
      <c r="H371" s="104" t="s">
        <v>245</v>
      </c>
      <c r="I371" s="104" t="s">
        <v>259</v>
      </c>
      <c r="J371" s="104" t="s">
        <v>246</v>
      </c>
      <c r="K371" s="269">
        <f t="shared" si="76"/>
        <v>73</v>
      </c>
      <c r="L371" s="269">
        <f t="shared" si="76"/>
        <v>74</v>
      </c>
      <c r="M371" s="269">
        <f t="shared" si="76"/>
        <v>66</v>
      </c>
      <c r="N371" s="269">
        <f t="shared" si="76"/>
        <v>67</v>
      </c>
      <c r="O371" s="269">
        <f t="shared" si="76"/>
        <v>65</v>
      </c>
      <c r="P371" s="269">
        <f t="shared" si="75"/>
        <v>72</v>
      </c>
      <c r="Q371" s="269">
        <f t="shared" si="75"/>
        <v>76</v>
      </c>
      <c r="R371" s="269">
        <f t="shared" si="75"/>
        <v>75</v>
      </c>
      <c r="S371" s="269"/>
      <c r="T371" s="269">
        <f t="shared" si="67"/>
        <v>65</v>
      </c>
      <c r="U371" s="269">
        <f t="shared" si="68"/>
        <v>66</v>
      </c>
      <c r="V371" s="269">
        <f t="shared" si="69"/>
        <v>67</v>
      </c>
      <c r="W371" s="269">
        <f t="shared" si="70"/>
        <v>72</v>
      </c>
      <c r="X371" s="269">
        <f t="shared" si="71"/>
        <v>73</v>
      </c>
      <c r="Y371" s="269">
        <f t="shared" si="72"/>
        <v>74</v>
      </c>
      <c r="Z371" s="269">
        <f t="shared" si="73"/>
        <v>75</v>
      </c>
      <c r="AA371" s="269">
        <f t="shared" si="74"/>
        <v>76</v>
      </c>
    </row>
    <row r="372" spans="1:27">
      <c r="A372" s="104">
        <v>371</v>
      </c>
      <c r="B372" s="104" t="str">
        <f t="shared" si="66"/>
        <v>ABCGIJKL</v>
      </c>
      <c r="C372" s="104" t="s">
        <v>258</v>
      </c>
      <c r="D372" s="104" t="s">
        <v>232</v>
      </c>
      <c r="E372" s="104" t="s">
        <v>144</v>
      </c>
      <c r="F372" s="104" t="s">
        <v>145</v>
      </c>
      <c r="G372" s="104" t="s">
        <v>142</v>
      </c>
      <c r="H372" s="104" t="s">
        <v>231</v>
      </c>
      <c r="I372" s="104" t="s">
        <v>259</v>
      </c>
      <c r="J372" s="104" t="s">
        <v>246</v>
      </c>
      <c r="K372" s="269">
        <f t="shared" si="76"/>
        <v>73</v>
      </c>
      <c r="L372" s="269">
        <f t="shared" si="76"/>
        <v>74</v>
      </c>
      <c r="M372" s="269">
        <f t="shared" si="76"/>
        <v>66</v>
      </c>
      <c r="N372" s="269">
        <f t="shared" si="76"/>
        <v>67</v>
      </c>
      <c r="O372" s="269">
        <f t="shared" si="76"/>
        <v>65</v>
      </c>
      <c r="P372" s="269">
        <f t="shared" si="75"/>
        <v>71</v>
      </c>
      <c r="Q372" s="269">
        <f t="shared" si="75"/>
        <v>76</v>
      </c>
      <c r="R372" s="269">
        <f t="shared" si="75"/>
        <v>75</v>
      </c>
      <c r="S372" s="269"/>
      <c r="T372" s="269">
        <f t="shared" si="67"/>
        <v>65</v>
      </c>
      <c r="U372" s="269">
        <f t="shared" si="68"/>
        <v>66</v>
      </c>
      <c r="V372" s="269">
        <f t="shared" si="69"/>
        <v>67</v>
      </c>
      <c r="W372" s="269">
        <f t="shared" si="70"/>
        <v>71</v>
      </c>
      <c r="X372" s="269">
        <f t="shared" si="71"/>
        <v>73</v>
      </c>
      <c r="Y372" s="269">
        <f t="shared" si="72"/>
        <v>74</v>
      </c>
      <c r="Z372" s="269">
        <f t="shared" si="73"/>
        <v>75</v>
      </c>
      <c r="AA372" s="269">
        <f t="shared" si="74"/>
        <v>76</v>
      </c>
    </row>
    <row r="373" spans="1:27">
      <c r="A373" s="104">
        <v>372</v>
      </c>
      <c r="B373" s="104" t="str">
        <f t="shared" si="66"/>
        <v>ABCGHJKL</v>
      </c>
      <c r="C373" s="104" t="s">
        <v>245</v>
      </c>
      <c r="D373" s="104" t="s">
        <v>232</v>
      </c>
      <c r="E373" s="104" t="s">
        <v>144</v>
      </c>
      <c r="F373" s="104" t="s">
        <v>145</v>
      </c>
      <c r="G373" s="104" t="s">
        <v>142</v>
      </c>
      <c r="H373" s="104" t="s">
        <v>231</v>
      </c>
      <c r="I373" s="104" t="s">
        <v>259</v>
      </c>
      <c r="J373" s="104" t="s">
        <v>246</v>
      </c>
      <c r="K373" s="269">
        <f t="shared" si="76"/>
        <v>72</v>
      </c>
      <c r="L373" s="269">
        <f t="shared" si="76"/>
        <v>74</v>
      </c>
      <c r="M373" s="269">
        <f t="shared" si="76"/>
        <v>66</v>
      </c>
      <c r="N373" s="269">
        <f t="shared" si="76"/>
        <v>67</v>
      </c>
      <c r="O373" s="269">
        <f t="shared" si="76"/>
        <v>65</v>
      </c>
      <c r="P373" s="269">
        <f t="shared" si="75"/>
        <v>71</v>
      </c>
      <c r="Q373" s="269">
        <f t="shared" si="75"/>
        <v>76</v>
      </c>
      <c r="R373" s="269">
        <f t="shared" si="75"/>
        <v>75</v>
      </c>
      <c r="S373" s="269"/>
      <c r="T373" s="269">
        <f t="shared" si="67"/>
        <v>65</v>
      </c>
      <c r="U373" s="269">
        <f t="shared" si="68"/>
        <v>66</v>
      </c>
      <c r="V373" s="269">
        <f t="shared" si="69"/>
        <v>67</v>
      </c>
      <c r="W373" s="269">
        <f t="shared" si="70"/>
        <v>71</v>
      </c>
      <c r="X373" s="269">
        <f t="shared" si="71"/>
        <v>72</v>
      </c>
      <c r="Y373" s="269">
        <f t="shared" si="72"/>
        <v>74</v>
      </c>
      <c r="Z373" s="269">
        <f t="shared" si="73"/>
        <v>75</v>
      </c>
      <c r="AA373" s="269">
        <f t="shared" si="74"/>
        <v>76</v>
      </c>
    </row>
    <row r="374" spans="1:27">
      <c r="A374" s="104">
        <v>373</v>
      </c>
      <c r="B374" s="104" t="str">
        <f t="shared" si="66"/>
        <v>ABCGHIKL</v>
      </c>
      <c r="C374" s="104" t="s">
        <v>258</v>
      </c>
      <c r="D374" s="104" t="s">
        <v>231</v>
      </c>
      <c r="E374" s="104" t="s">
        <v>144</v>
      </c>
      <c r="F374" s="104" t="s">
        <v>145</v>
      </c>
      <c r="G374" s="104" t="s">
        <v>142</v>
      </c>
      <c r="H374" s="104" t="s">
        <v>245</v>
      </c>
      <c r="I374" s="104" t="s">
        <v>259</v>
      </c>
      <c r="J374" s="104" t="s">
        <v>246</v>
      </c>
      <c r="K374" s="269">
        <f t="shared" si="76"/>
        <v>73</v>
      </c>
      <c r="L374" s="269">
        <f t="shared" si="76"/>
        <v>71</v>
      </c>
      <c r="M374" s="269">
        <f t="shared" si="76"/>
        <v>66</v>
      </c>
      <c r="N374" s="269">
        <f t="shared" si="76"/>
        <v>67</v>
      </c>
      <c r="O374" s="269">
        <f t="shared" si="76"/>
        <v>65</v>
      </c>
      <c r="P374" s="269">
        <f t="shared" si="75"/>
        <v>72</v>
      </c>
      <c r="Q374" s="269">
        <f t="shared" si="75"/>
        <v>76</v>
      </c>
      <c r="R374" s="269">
        <f t="shared" si="75"/>
        <v>75</v>
      </c>
      <c r="S374" s="269"/>
      <c r="T374" s="269">
        <f t="shared" si="67"/>
        <v>65</v>
      </c>
      <c r="U374" s="269">
        <f t="shared" si="68"/>
        <v>66</v>
      </c>
      <c r="V374" s="269">
        <f t="shared" si="69"/>
        <v>67</v>
      </c>
      <c r="W374" s="269">
        <f t="shared" si="70"/>
        <v>71</v>
      </c>
      <c r="X374" s="269">
        <f t="shared" si="71"/>
        <v>72</v>
      </c>
      <c r="Y374" s="269">
        <f t="shared" si="72"/>
        <v>73</v>
      </c>
      <c r="Z374" s="269">
        <f t="shared" si="73"/>
        <v>75</v>
      </c>
      <c r="AA374" s="269">
        <f t="shared" si="74"/>
        <v>76</v>
      </c>
    </row>
    <row r="375" spans="1:27">
      <c r="A375" s="104">
        <v>374</v>
      </c>
      <c r="B375" s="104" t="str">
        <f t="shared" si="66"/>
        <v>ABCGHIJL</v>
      </c>
      <c r="C375" s="104" t="s">
        <v>245</v>
      </c>
      <c r="D375" s="104" t="s">
        <v>232</v>
      </c>
      <c r="E375" s="104" t="s">
        <v>144</v>
      </c>
      <c r="F375" s="104" t="s">
        <v>145</v>
      </c>
      <c r="G375" s="104" t="s">
        <v>142</v>
      </c>
      <c r="H375" s="104" t="s">
        <v>231</v>
      </c>
      <c r="I375" s="104" t="s">
        <v>259</v>
      </c>
      <c r="J375" s="104" t="s">
        <v>258</v>
      </c>
      <c r="K375" s="269">
        <f t="shared" si="76"/>
        <v>72</v>
      </c>
      <c r="L375" s="269">
        <f t="shared" si="76"/>
        <v>74</v>
      </c>
      <c r="M375" s="269">
        <f t="shared" si="76"/>
        <v>66</v>
      </c>
      <c r="N375" s="269">
        <f t="shared" si="76"/>
        <v>67</v>
      </c>
      <c r="O375" s="269">
        <f t="shared" si="76"/>
        <v>65</v>
      </c>
      <c r="P375" s="269">
        <f t="shared" si="75"/>
        <v>71</v>
      </c>
      <c r="Q375" s="269">
        <f t="shared" si="75"/>
        <v>76</v>
      </c>
      <c r="R375" s="269">
        <f t="shared" si="75"/>
        <v>73</v>
      </c>
      <c r="S375" s="269"/>
      <c r="T375" s="269">
        <f t="shared" si="67"/>
        <v>65</v>
      </c>
      <c r="U375" s="269">
        <f t="shared" si="68"/>
        <v>66</v>
      </c>
      <c r="V375" s="269">
        <f t="shared" si="69"/>
        <v>67</v>
      </c>
      <c r="W375" s="269">
        <f t="shared" si="70"/>
        <v>71</v>
      </c>
      <c r="X375" s="269">
        <f t="shared" si="71"/>
        <v>72</v>
      </c>
      <c r="Y375" s="269">
        <f t="shared" si="72"/>
        <v>73</v>
      </c>
      <c r="Z375" s="269">
        <f t="shared" si="73"/>
        <v>74</v>
      </c>
      <c r="AA375" s="269">
        <f t="shared" si="74"/>
        <v>76</v>
      </c>
    </row>
    <row r="376" spans="1:27">
      <c r="A376" s="104">
        <v>375</v>
      </c>
      <c r="B376" s="104" t="str">
        <f t="shared" si="66"/>
        <v>ABCGHIJK</v>
      </c>
      <c r="C376" s="104" t="s">
        <v>245</v>
      </c>
      <c r="D376" s="104" t="s">
        <v>232</v>
      </c>
      <c r="E376" s="104" t="s">
        <v>144</v>
      </c>
      <c r="F376" s="104" t="s">
        <v>145</v>
      </c>
      <c r="G376" s="104" t="s">
        <v>142</v>
      </c>
      <c r="H376" s="104" t="s">
        <v>231</v>
      </c>
      <c r="I376" s="104" t="s">
        <v>258</v>
      </c>
      <c r="J376" s="104" t="s">
        <v>246</v>
      </c>
      <c r="K376" s="269">
        <f t="shared" si="76"/>
        <v>72</v>
      </c>
      <c r="L376" s="269">
        <f t="shared" si="76"/>
        <v>74</v>
      </c>
      <c r="M376" s="269">
        <f t="shared" si="76"/>
        <v>66</v>
      </c>
      <c r="N376" s="269">
        <f t="shared" si="76"/>
        <v>67</v>
      </c>
      <c r="O376" s="269">
        <f t="shared" si="76"/>
        <v>65</v>
      </c>
      <c r="P376" s="269">
        <f t="shared" si="75"/>
        <v>71</v>
      </c>
      <c r="Q376" s="269">
        <f t="shared" si="75"/>
        <v>73</v>
      </c>
      <c r="R376" s="269">
        <f t="shared" si="75"/>
        <v>75</v>
      </c>
      <c r="S376" s="269"/>
      <c r="T376" s="269">
        <f t="shared" si="67"/>
        <v>65</v>
      </c>
      <c r="U376" s="269">
        <f t="shared" si="68"/>
        <v>66</v>
      </c>
      <c r="V376" s="269">
        <f t="shared" si="69"/>
        <v>67</v>
      </c>
      <c r="W376" s="269">
        <f t="shared" si="70"/>
        <v>71</v>
      </c>
      <c r="X376" s="269">
        <f t="shared" si="71"/>
        <v>72</v>
      </c>
      <c r="Y376" s="269">
        <f t="shared" si="72"/>
        <v>73</v>
      </c>
      <c r="Z376" s="269">
        <f t="shared" si="73"/>
        <v>74</v>
      </c>
      <c r="AA376" s="269">
        <f t="shared" si="74"/>
        <v>75</v>
      </c>
    </row>
    <row r="377" spans="1:27">
      <c r="A377" s="104">
        <v>376</v>
      </c>
      <c r="B377" s="104" t="str">
        <f t="shared" si="66"/>
        <v>ABCFIJKL</v>
      </c>
      <c r="C377" s="104" t="s">
        <v>258</v>
      </c>
      <c r="D377" s="104" t="s">
        <v>232</v>
      </c>
      <c r="E377" s="104" t="s">
        <v>144</v>
      </c>
      <c r="F377" s="104" t="s">
        <v>145</v>
      </c>
      <c r="G377" s="104" t="s">
        <v>142</v>
      </c>
      <c r="H377" s="104" t="s">
        <v>152</v>
      </c>
      <c r="I377" s="104" t="s">
        <v>259</v>
      </c>
      <c r="J377" s="104" t="s">
        <v>246</v>
      </c>
      <c r="K377" s="269">
        <f t="shared" si="76"/>
        <v>73</v>
      </c>
      <c r="L377" s="269">
        <f t="shared" si="76"/>
        <v>74</v>
      </c>
      <c r="M377" s="269">
        <f t="shared" si="76"/>
        <v>66</v>
      </c>
      <c r="N377" s="269">
        <f t="shared" si="76"/>
        <v>67</v>
      </c>
      <c r="O377" s="269">
        <f t="shared" si="76"/>
        <v>65</v>
      </c>
      <c r="P377" s="269">
        <f t="shared" si="75"/>
        <v>70</v>
      </c>
      <c r="Q377" s="269">
        <f t="shared" si="75"/>
        <v>76</v>
      </c>
      <c r="R377" s="269">
        <f t="shared" si="75"/>
        <v>75</v>
      </c>
      <c r="S377" s="269"/>
      <c r="T377" s="269">
        <f t="shared" si="67"/>
        <v>65</v>
      </c>
      <c r="U377" s="269">
        <f t="shared" si="68"/>
        <v>66</v>
      </c>
      <c r="V377" s="269">
        <f t="shared" si="69"/>
        <v>67</v>
      </c>
      <c r="W377" s="269">
        <f t="shared" si="70"/>
        <v>70</v>
      </c>
      <c r="X377" s="269">
        <f t="shared" si="71"/>
        <v>73</v>
      </c>
      <c r="Y377" s="269">
        <f t="shared" si="72"/>
        <v>74</v>
      </c>
      <c r="Z377" s="269">
        <f t="shared" si="73"/>
        <v>75</v>
      </c>
      <c r="AA377" s="269">
        <f t="shared" si="74"/>
        <v>76</v>
      </c>
    </row>
    <row r="378" spans="1:27">
      <c r="A378" s="104">
        <v>377</v>
      </c>
      <c r="B378" s="104" t="str">
        <f t="shared" si="66"/>
        <v>ABCFHJKL</v>
      </c>
      <c r="C378" s="104" t="s">
        <v>245</v>
      </c>
      <c r="D378" s="104" t="s">
        <v>232</v>
      </c>
      <c r="E378" s="104" t="s">
        <v>144</v>
      </c>
      <c r="F378" s="104" t="s">
        <v>145</v>
      </c>
      <c r="G378" s="104" t="s">
        <v>142</v>
      </c>
      <c r="H378" s="104" t="s">
        <v>152</v>
      </c>
      <c r="I378" s="104" t="s">
        <v>259</v>
      </c>
      <c r="J378" s="104" t="s">
        <v>246</v>
      </c>
      <c r="K378" s="269">
        <f t="shared" si="76"/>
        <v>72</v>
      </c>
      <c r="L378" s="269">
        <f t="shared" si="76"/>
        <v>74</v>
      </c>
      <c r="M378" s="269">
        <f t="shared" si="76"/>
        <v>66</v>
      </c>
      <c r="N378" s="269">
        <f t="shared" si="76"/>
        <v>67</v>
      </c>
      <c r="O378" s="269">
        <f t="shared" si="76"/>
        <v>65</v>
      </c>
      <c r="P378" s="269">
        <f t="shared" si="75"/>
        <v>70</v>
      </c>
      <c r="Q378" s="269">
        <f t="shared" si="75"/>
        <v>76</v>
      </c>
      <c r="R378" s="269">
        <f t="shared" si="75"/>
        <v>75</v>
      </c>
      <c r="S378" s="269"/>
      <c r="T378" s="269">
        <f t="shared" si="67"/>
        <v>65</v>
      </c>
      <c r="U378" s="269">
        <f t="shared" si="68"/>
        <v>66</v>
      </c>
      <c r="V378" s="269">
        <f t="shared" si="69"/>
        <v>67</v>
      </c>
      <c r="W378" s="269">
        <f t="shared" si="70"/>
        <v>70</v>
      </c>
      <c r="X378" s="269">
        <f t="shared" si="71"/>
        <v>72</v>
      </c>
      <c r="Y378" s="269">
        <f t="shared" si="72"/>
        <v>74</v>
      </c>
      <c r="Z378" s="269">
        <f t="shared" si="73"/>
        <v>75</v>
      </c>
      <c r="AA378" s="269">
        <f t="shared" si="74"/>
        <v>76</v>
      </c>
    </row>
    <row r="379" spans="1:27">
      <c r="A379" s="104">
        <v>378</v>
      </c>
      <c r="B379" s="104" t="str">
        <f t="shared" si="66"/>
        <v>ABCFHIKL</v>
      </c>
      <c r="C379" s="104" t="s">
        <v>245</v>
      </c>
      <c r="D379" s="104" t="s">
        <v>258</v>
      </c>
      <c r="E379" s="104" t="s">
        <v>144</v>
      </c>
      <c r="F379" s="104" t="s">
        <v>145</v>
      </c>
      <c r="G379" s="104" t="s">
        <v>142</v>
      </c>
      <c r="H379" s="104" t="s">
        <v>152</v>
      </c>
      <c r="I379" s="104" t="s">
        <v>259</v>
      </c>
      <c r="J379" s="104" t="s">
        <v>246</v>
      </c>
      <c r="K379" s="269">
        <f t="shared" si="76"/>
        <v>72</v>
      </c>
      <c r="L379" s="269">
        <f t="shared" si="76"/>
        <v>73</v>
      </c>
      <c r="M379" s="269">
        <f t="shared" si="76"/>
        <v>66</v>
      </c>
      <c r="N379" s="269">
        <f t="shared" si="76"/>
        <v>67</v>
      </c>
      <c r="O379" s="269">
        <f t="shared" si="76"/>
        <v>65</v>
      </c>
      <c r="P379" s="269">
        <f t="shared" si="75"/>
        <v>70</v>
      </c>
      <c r="Q379" s="269">
        <f t="shared" si="75"/>
        <v>76</v>
      </c>
      <c r="R379" s="269">
        <f t="shared" si="75"/>
        <v>75</v>
      </c>
      <c r="S379" s="269"/>
      <c r="T379" s="269">
        <f t="shared" si="67"/>
        <v>65</v>
      </c>
      <c r="U379" s="269">
        <f t="shared" si="68"/>
        <v>66</v>
      </c>
      <c r="V379" s="269">
        <f t="shared" si="69"/>
        <v>67</v>
      </c>
      <c r="W379" s="269">
        <f t="shared" si="70"/>
        <v>70</v>
      </c>
      <c r="X379" s="269">
        <f t="shared" si="71"/>
        <v>72</v>
      </c>
      <c r="Y379" s="269">
        <f t="shared" si="72"/>
        <v>73</v>
      </c>
      <c r="Z379" s="269">
        <f t="shared" si="73"/>
        <v>75</v>
      </c>
      <c r="AA379" s="269">
        <f t="shared" si="74"/>
        <v>76</v>
      </c>
    </row>
    <row r="380" spans="1:27">
      <c r="A380" s="104">
        <v>379</v>
      </c>
      <c r="B380" s="104" t="str">
        <f t="shared" si="66"/>
        <v>ABCFHIJL</v>
      </c>
      <c r="C380" s="104" t="s">
        <v>245</v>
      </c>
      <c r="D380" s="104" t="s">
        <v>232</v>
      </c>
      <c r="E380" s="104" t="s">
        <v>144</v>
      </c>
      <c r="F380" s="104" t="s">
        <v>145</v>
      </c>
      <c r="G380" s="104" t="s">
        <v>142</v>
      </c>
      <c r="H380" s="104" t="s">
        <v>152</v>
      </c>
      <c r="I380" s="104" t="s">
        <v>259</v>
      </c>
      <c r="J380" s="104" t="s">
        <v>258</v>
      </c>
      <c r="K380" s="269">
        <f t="shared" si="76"/>
        <v>72</v>
      </c>
      <c r="L380" s="269">
        <f t="shared" si="76"/>
        <v>74</v>
      </c>
      <c r="M380" s="269">
        <f t="shared" si="76"/>
        <v>66</v>
      </c>
      <c r="N380" s="269">
        <f t="shared" si="76"/>
        <v>67</v>
      </c>
      <c r="O380" s="269">
        <f t="shared" si="76"/>
        <v>65</v>
      </c>
      <c r="P380" s="269">
        <f t="shared" si="75"/>
        <v>70</v>
      </c>
      <c r="Q380" s="269">
        <f t="shared" si="75"/>
        <v>76</v>
      </c>
      <c r="R380" s="269">
        <f t="shared" si="75"/>
        <v>73</v>
      </c>
      <c r="S380" s="269"/>
      <c r="T380" s="269">
        <f t="shared" si="67"/>
        <v>65</v>
      </c>
      <c r="U380" s="269">
        <f t="shared" si="68"/>
        <v>66</v>
      </c>
      <c r="V380" s="269">
        <f t="shared" si="69"/>
        <v>67</v>
      </c>
      <c r="W380" s="269">
        <f t="shared" si="70"/>
        <v>70</v>
      </c>
      <c r="X380" s="269">
        <f t="shared" si="71"/>
        <v>72</v>
      </c>
      <c r="Y380" s="269">
        <f t="shared" si="72"/>
        <v>73</v>
      </c>
      <c r="Z380" s="269">
        <f t="shared" si="73"/>
        <v>74</v>
      </c>
      <c r="AA380" s="269">
        <f t="shared" si="74"/>
        <v>76</v>
      </c>
    </row>
    <row r="381" spans="1:27">
      <c r="A381" s="104">
        <v>380</v>
      </c>
      <c r="B381" s="104" t="str">
        <f t="shared" si="66"/>
        <v>ABCFHIJK</v>
      </c>
      <c r="C381" s="104" t="s">
        <v>245</v>
      </c>
      <c r="D381" s="104" t="s">
        <v>232</v>
      </c>
      <c r="E381" s="104" t="s">
        <v>144</v>
      </c>
      <c r="F381" s="104" t="s">
        <v>145</v>
      </c>
      <c r="G381" s="104" t="s">
        <v>142</v>
      </c>
      <c r="H381" s="104" t="s">
        <v>152</v>
      </c>
      <c r="I381" s="104" t="s">
        <v>258</v>
      </c>
      <c r="J381" s="104" t="s">
        <v>246</v>
      </c>
      <c r="K381" s="269">
        <f t="shared" si="76"/>
        <v>72</v>
      </c>
      <c r="L381" s="269">
        <f t="shared" si="76"/>
        <v>74</v>
      </c>
      <c r="M381" s="269">
        <f t="shared" si="76"/>
        <v>66</v>
      </c>
      <c r="N381" s="269">
        <f t="shared" si="76"/>
        <v>67</v>
      </c>
      <c r="O381" s="269">
        <f t="shared" si="76"/>
        <v>65</v>
      </c>
      <c r="P381" s="269">
        <f t="shared" si="75"/>
        <v>70</v>
      </c>
      <c r="Q381" s="269">
        <f t="shared" si="75"/>
        <v>73</v>
      </c>
      <c r="R381" s="269">
        <f t="shared" si="75"/>
        <v>75</v>
      </c>
      <c r="S381" s="269"/>
      <c r="T381" s="269">
        <f t="shared" si="67"/>
        <v>65</v>
      </c>
      <c r="U381" s="269">
        <f t="shared" si="68"/>
        <v>66</v>
      </c>
      <c r="V381" s="269">
        <f t="shared" si="69"/>
        <v>67</v>
      </c>
      <c r="W381" s="269">
        <f t="shared" si="70"/>
        <v>70</v>
      </c>
      <c r="X381" s="269">
        <f t="shared" si="71"/>
        <v>72</v>
      </c>
      <c r="Y381" s="269">
        <f t="shared" si="72"/>
        <v>73</v>
      </c>
      <c r="Z381" s="269">
        <f t="shared" si="73"/>
        <v>74</v>
      </c>
      <c r="AA381" s="269">
        <f t="shared" si="74"/>
        <v>75</v>
      </c>
    </row>
    <row r="382" spans="1:27">
      <c r="A382" s="104">
        <v>381</v>
      </c>
      <c r="B382" s="104" t="str">
        <f t="shared" si="66"/>
        <v>ABCFGJKL</v>
      </c>
      <c r="C382" s="104" t="s">
        <v>145</v>
      </c>
      <c r="D382" s="104" t="s">
        <v>232</v>
      </c>
      <c r="E382" s="104" t="s">
        <v>144</v>
      </c>
      <c r="F382" s="104" t="s">
        <v>152</v>
      </c>
      <c r="G382" s="104" t="s">
        <v>142</v>
      </c>
      <c r="H382" s="104" t="s">
        <v>231</v>
      </c>
      <c r="I382" s="104" t="s">
        <v>259</v>
      </c>
      <c r="J382" s="104" t="s">
        <v>246</v>
      </c>
      <c r="K382" s="269">
        <f t="shared" si="76"/>
        <v>67</v>
      </c>
      <c r="L382" s="269">
        <f t="shared" si="76"/>
        <v>74</v>
      </c>
      <c r="M382" s="269">
        <f t="shared" si="76"/>
        <v>66</v>
      </c>
      <c r="N382" s="269">
        <f t="shared" si="76"/>
        <v>70</v>
      </c>
      <c r="O382" s="269">
        <f t="shared" si="76"/>
        <v>65</v>
      </c>
      <c r="P382" s="269">
        <f t="shared" si="75"/>
        <v>71</v>
      </c>
      <c r="Q382" s="269">
        <f t="shared" si="75"/>
        <v>76</v>
      </c>
      <c r="R382" s="269">
        <f t="shared" si="75"/>
        <v>75</v>
      </c>
      <c r="S382" s="269"/>
      <c r="T382" s="269">
        <f t="shared" si="67"/>
        <v>65</v>
      </c>
      <c r="U382" s="269">
        <f t="shared" si="68"/>
        <v>66</v>
      </c>
      <c r="V382" s="269">
        <f t="shared" si="69"/>
        <v>67</v>
      </c>
      <c r="W382" s="269">
        <f t="shared" si="70"/>
        <v>70</v>
      </c>
      <c r="X382" s="269">
        <f t="shared" si="71"/>
        <v>71</v>
      </c>
      <c r="Y382" s="269">
        <f t="shared" si="72"/>
        <v>74</v>
      </c>
      <c r="Z382" s="269">
        <f t="shared" si="73"/>
        <v>75</v>
      </c>
      <c r="AA382" s="269">
        <f t="shared" si="74"/>
        <v>76</v>
      </c>
    </row>
    <row r="383" spans="1:27">
      <c r="A383" s="104">
        <v>382</v>
      </c>
      <c r="B383" s="104" t="str">
        <f t="shared" si="66"/>
        <v>ABCFGIKL</v>
      </c>
      <c r="C383" s="104" t="s">
        <v>258</v>
      </c>
      <c r="D383" s="104" t="s">
        <v>231</v>
      </c>
      <c r="E383" s="104" t="s">
        <v>144</v>
      </c>
      <c r="F383" s="104" t="s">
        <v>145</v>
      </c>
      <c r="G383" s="104" t="s">
        <v>142</v>
      </c>
      <c r="H383" s="104" t="s">
        <v>152</v>
      </c>
      <c r="I383" s="104" t="s">
        <v>259</v>
      </c>
      <c r="J383" s="104" t="s">
        <v>246</v>
      </c>
      <c r="K383" s="269">
        <f t="shared" si="76"/>
        <v>73</v>
      </c>
      <c r="L383" s="269">
        <f t="shared" si="76"/>
        <v>71</v>
      </c>
      <c r="M383" s="269">
        <f t="shared" si="76"/>
        <v>66</v>
      </c>
      <c r="N383" s="269">
        <f t="shared" si="76"/>
        <v>67</v>
      </c>
      <c r="O383" s="269">
        <f t="shared" si="76"/>
        <v>65</v>
      </c>
      <c r="P383" s="269">
        <f t="shared" si="75"/>
        <v>70</v>
      </c>
      <c r="Q383" s="269">
        <f t="shared" si="75"/>
        <v>76</v>
      </c>
      <c r="R383" s="269">
        <f t="shared" si="75"/>
        <v>75</v>
      </c>
      <c r="S383" s="269"/>
      <c r="T383" s="269">
        <f t="shared" si="67"/>
        <v>65</v>
      </c>
      <c r="U383" s="269">
        <f t="shared" si="68"/>
        <v>66</v>
      </c>
      <c r="V383" s="269">
        <f t="shared" si="69"/>
        <v>67</v>
      </c>
      <c r="W383" s="269">
        <f t="shared" si="70"/>
        <v>70</v>
      </c>
      <c r="X383" s="269">
        <f t="shared" si="71"/>
        <v>71</v>
      </c>
      <c r="Y383" s="269">
        <f t="shared" si="72"/>
        <v>73</v>
      </c>
      <c r="Z383" s="269">
        <f t="shared" si="73"/>
        <v>75</v>
      </c>
      <c r="AA383" s="269">
        <f t="shared" si="74"/>
        <v>76</v>
      </c>
    </row>
    <row r="384" spans="1:27">
      <c r="A384" s="104">
        <v>383</v>
      </c>
      <c r="B384" s="104" t="str">
        <f t="shared" si="66"/>
        <v>ABCFGIJL</v>
      </c>
      <c r="C384" s="104" t="s">
        <v>145</v>
      </c>
      <c r="D384" s="104" t="s">
        <v>232</v>
      </c>
      <c r="E384" s="104" t="s">
        <v>144</v>
      </c>
      <c r="F384" s="104" t="s">
        <v>152</v>
      </c>
      <c r="G384" s="104" t="s">
        <v>142</v>
      </c>
      <c r="H384" s="104" t="s">
        <v>231</v>
      </c>
      <c r="I384" s="104" t="s">
        <v>259</v>
      </c>
      <c r="J384" s="104" t="s">
        <v>258</v>
      </c>
      <c r="K384" s="269">
        <f t="shared" si="76"/>
        <v>67</v>
      </c>
      <c r="L384" s="269">
        <f t="shared" si="76"/>
        <v>74</v>
      </c>
      <c r="M384" s="269">
        <f t="shared" si="76"/>
        <v>66</v>
      </c>
      <c r="N384" s="269">
        <f t="shared" si="76"/>
        <v>70</v>
      </c>
      <c r="O384" s="269">
        <f t="shared" si="76"/>
        <v>65</v>
      </c>
      <c r="P384" s="269">
        <f t="shared" si="75"/>
        <v>71</v>
      </c>
      <c r="Q384" s="269">
        <f t="shared" si="75"/>
        <v>76</v>
      </c>
      <c r="R384" s="269">
        <f t="shared" si="75"/>
        <v>73</v>
      </c>
      <c r="S384" s="269"/>
      <c r="T384" s="269">
        <f t="shared" si="67"/>
        <v>65</v>
      </c>
      <c r="U384" s="269">
        <f t="shared" si="68"/>
        <v>66</v>
      </c>
      <c r="V384" s="269">
        <f t="shared" si="69"/>
        <v>67</v>
      </c>
      <c r="W384" s="269">
        <f t="shared" si="70"/>
        <v>70</v>
      </c>
      <c r="X384" s="269">
        <f t="shared" si="71"/>
        <v>71</v>
      </c>
      <c r="Y384" s="269">
        <f t="shared" si="72"/>
        <v>73</v>
      </c>
      <c r="Z384" s="269">
        <f t="shared" si="73"/>
        <v>74</v>
      </c>
      <c r="AA384" s="269">
        <f t="shared" si="74"/>
        <v>76</v>
      </c>
    </row>
    <row r="385" spans="1:27">
      <c r="A385" s="104">
        <v>384</v>
      </c>
      <c r="B385" s="104" t="str">
        <f t="shared" si="66"/>
        <v>ABCFGIJK</v>
      </c>
      <c r="C385" s="104" t="s">
        <v>145</v>
      </c>
      <c r="D385" s="104" t="s">
        <v>232</v>
      </c>
      <c r="E385" s="104" t="s">
        <v>144</v>
      </c>
      <c r="F385" s="104" t="s">
        <v>152</v>
      </c>
      <c r="G385" s="104" t="s">
        <v>142</v>
      </c>
      <c r="H385" s="104" t="s">
        <v>231</v>
      </c>
      <c r="I385" s="104" t="s">
        <v>258</v>
      </c>
      <c r="J385" s="104" t="s">
        <v>246</v>
      </c>
      <c r="K385" s="269">
        <f t="shared" si="76"/>
        <v>67</v>
      </c>
      <c r="L385" s="269">
        <f t="shared" si="76"/>
        <v>74</v>
      </c>
      <c r="M385" s="269">
        <f t="shared" si="76"/>
        <v>66</v>
      </c>
      <c r="N385" s="269">
        <f t="shared" si="76"/>
        <v>70</v>
      </c>
      <c r="O385" s="269">
        <f t="shared" si="76"/>
        <v>65</v>
      </c>
      <c r="P385" s="269">
        <f t="shared" si="75"/>
        <v>71</v>
      </c>
      <c r="Q385" s="269">
        <f t="shared" si="75"/>
        <v>73</v>
      </c>
      <c r="R385" s="269">
        <f t="shared" si="75"/>
        <v>75</v>
      </c>
      <c r="S385" s="269"/>
      <c r="T385" s="269">
        <f t="shared" si="67"/>
        <v>65</v>
      </c>
      <c r="U385" s="269">
        <f t="shared" si="68"/>
        <v>66</v>
      </c>
      <c r="V385" s="269">
        <f t="shared" si="69"/>
        <v>67</v>
      </c>
      <c r="W385" s="269">
        <f t="shared" si="70"/>
        <v>70</v>
      </c>
      <c r="X385" s="269">
        <f t="shared" si="71"/>
        <v>71</v>
      </c>
      <c r="Y385" s="269">
        <f t="shared" si="72"/>
        <v>73</v>
      </c>
      <c r="Z385" s="269">
        <f t="shared" si="73"/>
        <v>74</v>
      </c>
      <c r="AA385" s="269">
        <f t="shared" si="74"/>
        <v>75</v>
      </c>
    </row>
    <row r="386" spans="1:27">
      <c r="A386" s="104">
        <v>385</v>
      </c>
      <c r="B386" s="104" t="str">
        <f t="shared" si="66"/>
        <v>ABCFGHKL</v>
      </c>
      <c r="C386" s="104" t="s">
        <v>245</v>
      </c>
      <c r="D386" s="104" t="s">
        <v>231</v>
      </c>
      <c r="E386" s="104" t="s">
        <v>144</v>
      </c>
      <c r="F386" s="104" t="s">
        <v>145</v>
      </c>
      <c r="G386" s="104" t="s">
        <v>142</v>
      </c>
      <c r="H386" s="104" t="s">
        <v>152</v>
      </c>
      <c r="I386" s="104" t="s">
        <v>259</v>
      </c>
      <c r="J386" s="104" t="s">
        <v>246</v>
      </c>
      <c r="K386" s="269">
        <f t="shared" si="76"/>
        <v>72</v>
      </c>
      <c r="L386" s="269">
        <f t="shared" si="76"/>
        <v>71</v>
      </c>
      <c r="M386" s="269">
        <f t="shared" si="76"/>
        <v>66</v>
      </c>
      <c r="N386" s="269">
        <f t="shared" si="76"/>
        <v>67</v>
      </c>
      <c r="O386" s="269">
        <f t="shared" si="76"/>
        <v>65</v>
      </c>
      <c r="P386" s="269">
        <f t="shared" si="75"/>
        <v>70</v>
      </c>
      <c r="Q386" s="269">
        <f t="shared" si="75"/>
        <v>76</v>
      </c>
      <c r="R386" s="269">
        <f t="shared" si="75"/>
        <v>75</v>
      </c>
      <c r="S386" s="269"/>
      <c r="T386" s="269">
        <f t="shared" si="67"/>
        <v>65</v>
      </c>
      <c r="U386" s="269">
        <f t="shared" si="68"/>
        <v>66</v>
      </c>
      <c r="V386" s="269">
        <f t="shared" si="69"/>
        <v>67</v>
      </c>
      <c r="W386" s="269">
        <f t="shared" si="70"/>
        <v>70</v>
      </c>
      <c r="X386" s="269">
        <f t="shared" si="71"/>
        <v>71</v>
      </c>
      <c r="Y386" s="269">
        <f t="shared" si="72"/>
        <v>72</v>
      </c>
      <c r="Z386" s="269">
        <f t="shared" si="73"/>
        <v>75</v>
      </c>
      <c r="AA386" s="269">
        <f t="shared" si="74"/>
        <v>76</v>
      </c>
    </row>
    <row r="387" spans="1:27">
      <c r="A387" s="104">
        <v>386</v>
      </c>
      <c r="B387" s="104" t="str">
        <f t="shared" ref="B387:B450" si="77">CONCATENATE(CHAR(T387),CHAR(U387),CHAR(V387),CHAR(W387),CHAR(X387),CHAR(Y387),CHAR(Z387),CHAR(AA387))</f>
        <v>ABCFGHJL</v>
      </c>
      <c r="C387" s="104" t="s">
        <v>245</v>
      </c>
      <c r="D387" s="104" t="s">
        <v>231</v>
      </c>
      <c r="E387" s="104" t="s">
        <v>144</v>
      </c>
      <c r="F387" s="104" t="s">
        <v>145</v>
      </c>
      <c r="G387" s="104" t="s">
        <v>142</v>
      </c>
      <c r="H387" s="104" t="s">
        <v>152</v>
      </c>
      <c r="I387" s="104" t="s">
        <v>259</v>
      </c>
      <c r="J387" s="104" t="s">
        <v>232</v>
      </c>
      <c r="K387" s="269">
        <f t="shared" si="76"/>
        <v>72</v>
      </c>
      <c r="L387" s="269">
        <f t="shared" si="76"/>
        <v>71</v>
      </c>
      <c r="M387" s="269">
        <f t="shared" si="76"/>
        <v>66</v>
      </c>
      <c r="N387" s="269">
        <f t="shared" si="76"/>
        <v>67</v>
      </c>
      <c r="O387" s="269">
        <f t="shared" si="76"/>
        <v>65</v>
      </c>
      <c r="P387" s="269">
        <f t="shared" si="75"/>
        <v>70</v>
      </c>
      <c r="Q387" s="269">
        <f t="shared" si="75"/>
        <v>76</v>
      </c>
      <c r="R387" s="269">
        <f t="shared" si="75"/>
        <v>74</v>
      </c>
      <c r="S387" s="269"/>
      <c r="T387" s="269">
        <f t="shared" ref="T387:T450" si="78">SMALL($K387:$R387,1)</f>
        <v>65</v>
      </c>
      <c r="U387" s="269">
        <f t="shared" ref="U387:U450" si="79">SMALL($K387:$R387,2)</f>
        <v>66</v>
      </c>
      <c r="V387" s="269">
        <f t="shared" ref="V387:V450" si="80">SMALL($K387:$R387,3)</f>
        <v>67</v>
      </c>
      <c r="W387" s="269">
        <f t="shared" ref="W387:W450" si="81">SMALL($K387:$R387,4)</f>
        <v>70</v>
      </c>
      <c r="X387" s="269">
        <f t="shared" ref="X387:X450" si="82">SMALL($K387:$R387,5)</f>
        <v>71</v>
      </c>
      <c r="Y387" s="269">
        <f t="shared" ref="Y387:Y450" si="83">SMALL($K387:$R387,6)</f>
        <v>72</v>
      </c>
      <c r="Z387" s="269">
        <f t="shared" ref="Z387:Z450" si="84">SMALL($K387:$R387,7)</f>
        <v>74</v>
      </c>
      <c r="AA387" s="269">
        <f t="shared" ref="AA387:AA450" si="85">SMALL($K387:$R387,8)</f>
        <v>76</v>
      </c>
    </row>
    <row r="388" spans="1:27">
      <c r="A388" s="104">
        <v>387</v>
      </c>
      <c r="B388" s="104" t="str">
        <f t="shared" si="77"/>
        <v>ABCFGHJK</v>
      </c>
      <c r="C388" s="104" t="s">
        <v>245</v>
      </c>
      <c r="D388" s="104" t="s">
        <v>231</v>
      </c>
      <c r="E388" s="104" t="s">
        <v>144</v>
      </c>
      <c r="F388" s="104" t="s">
        <v>145</v>
      </c>
      <c r="G388" s="104" t="s">
        <v>142</v>
      </c>
      <c r="H388" s="104" t="s">
        <v>152</v>
      </c>
      <c r="I388" s="104" t="s">
        <v>232</v>
      </c>
      <c r="J388" s="104" t="s">
        <v>246</v>
      </c>
      <c r="K388" s="269">
        <f t="shared" si="76"/>
        <v>72</v>
      </c>
      <c r="L388" s="269">
        <f t="shared" si="76"/>
        <v>71</v>
      </c>
      <c r="M388" s="269">
        <f t="shared" si="76"/>
        <v>66</v>
      </c>
      <c r="N388" s="269">
        <f t="shared" si="76"/>
        <v>67</v>
      </c>
      <c r="O388" s="269">
        <f t="shared" si="76"/>
        <v>65</v>
      </c>
      <c r="P388" s="269">
        <f t="shared" si="75"/>
        <v>70</v>
      </c>
      <c r="Q388" s="269">
        <f t="shared" si="75"/>
        <v>74</v>
      </c>
      <c r="R388" s="269">
        <f t="shared" si="75"/>
        <v>75</v>
      </c>
      <c r="S388" s="269"/>
      <c r="T388" s="269">
        <f t="shared" si="78"/>
        <v>65</v>
      </c>
      <c r="U388" s="269">
        <f t="shared" si="79"/>
        <v>66</v>
      </c>
      <c r="V388" s="269">
        <f t="shared" si="80"/>
        <v>67</v>
      </c>
      <c r="W388" s="269">
        <f t="shared" si="81"/>
        <v>70</v>
      </c>
      <c r="X388" s="269">
        <f t="shared" si="82"/>
        <v>71</v>
      </c>
      <c r="Y388" s="269">
        <f t="shared" si="83"/>
        <v>72</v>
      </c>
      <c r="Z388" s="269">
        <f t="shared" si="84"/>
        <v>74</v>
      </c>
      <c r="AA388" s="269">
        <f t="shared" si="85"/>
        <v>75</v>
      </c>
    </row>
    <row r="389" spans="1:27">
      <c r="A389" s="104">
        <v>388</v>
      </c>
      <c r="B389" s="104" t="str">
        <f t="shared" si="77"/>
        <v>ABCFGHIL</v>
      </c>
      <c r="C389" s="104" t="s">
        <v>245</v>
      </c>
      <c r="D389" s="104" t="s">
        <v>231</v>
      </c>
      <c r="E389" s="104" t="s">
        <v>144</v>
      </c>
      <c r="F389" s="104" t="s">
        <v>145</v>
      </c>
      <c r="G389" s="104" t="s">
        <v>142</v>
      </c>
      <c r="H389" s="104" t="s">
        <v>152</v>
      </c>
      <c r="I389" s="104" t="s">
        <v>259</v>
      </c>
      <c r="J389" s="104" t="s">
        <v>258</v>
      </c>
      <c r="K389" s="269">
        <f t="shared" si="76"/>
        <v>72</v>
      </c>
      <c r="L389" s="269">
        <f t="shared" si="76"/>
        <v>71</v>
      </c>
      <c r="M389" s="269">
        <f t="shared" si="76"/>
        <v>66</v>
      </c>
      <c r="N389" s="269">
        <f t="shared" si="76"/>
        <v>67</v>
      </c>
      <c r="O389" s="269">
        <f t="shared" si="76"/>
        <v>65</v>
      </c>
      <c r="P389" s="269">
        <f t="shared" si="75"/>
        <v>70</v>
      </c>
      <c r="Q389" s="269">
        <f t="shared" si="75"/>
        <v>76</v>
      </c>
      <c r="R389" s="269">
        <f t="shared" si="75"/>
        <v>73</v>
      </c>
      <c r="S389" s="269"/>
      <c r="T389" s="269">
        <f t="shared" si="78"/>
        <v>65</v>
      </c>
      <c r="U389" s="269">
        <f t="shared" si="79"/>
        <v>66</v>
      </c>
      <c r="V389" s="269">
        <f t="shared" si="80"/>
        <v>67</v>
      </c>
      <c r="W389" s="269">
        <f t="shared" si="81"/>
        <v>70</v>
      </c>
      <c r="X389" s="269">
        <f t="shared" si="82"/>
        <v>71</v>
      </c>
      <c r="Y389" s="269">
        <f t="shared" si="83"/>
        <v>72</v>
      </c>
      <c r="Z389" s="269">
        <f t="shared" si="84"/>
        <v>73</v>
      </c>
      <c r="AA389" s="269">
        <f t="shared" si="85"/>
        <v>76</v>
      </c>
    </row>
    <row r="390" spans="1:27">
      <c r="A390" s="104">
        <v>389</v>
      </c>
      <c r="B390" s="104" t="str">
        <f t="shared" si="77"/>
        <v>ABCFGHIK</v>
      </c>
      <c r="C390" s="104" t="s">
        <v>245</v>
      </c>
      <c r="D390" s="104" t="s">
        <v>231</v>
      </c>
      <c r="E390" s="104" t="s">
        <v>144</v>
      </c>
      <c r="F390" s="104" t="s">
        <v>145</v>
      </c>
      <c r="G390" s="104" t="s">
        <v>142</v>
      </c>
      <c r="H390" s="104" t="s">
        <v>152</v>
      </c>
      <c r="I390" s="104" t="s">
        <v>258</v>
      </c>
      <c r="J390" s="104" t="s">
        <v>246</v>
      </c>
      <c r="K390" s="269">
        <f t="shared" si="76"/>
        <v>72</v>
      </c>
      <c r="L390" s="269">
        <f t="shared" si="76"/>
        <v>71</v>
      </c>
      <c r="M390" s="269">
        <f t="shared" si="76"/>
        <v>66</v>
      </c>
      <c r="N390" s="269">
        <f t="shared" si="76"/>
        <v>67</v>
      </c>
      <c r="O390" s="269">
        <f t="shared" si="76"/>
        <v>65</v>
      </c>
      <c r="P390" s="269">
        <f t="shared" si="75"/>
        <v>70</v>
      </c>
      <c r="Q390" s="269">
        <f t="shared" si="75"/>
        <v>73</v>
      </c>
      <c r="R390" s="269">
        <f t="shared" si="75"/>
        <v>75</v>
      </c>
      <c r="S390" s="269"/>
      <c r="T390" s="269">
        <f t="shared" si="78"/>
        <v>65</v>
      </c>
      <c r="U390" s="269">
        <f t="shared" si="79"/>
        <v>66</v>
      </c>
      <c r="V390" s="269">
        <f t="shared" si="80"/>
        <v>67</v>
      </c>
      <c r="W390" s="269">
        <f t="shared" si="81"/>
        <v>70</v>
      </c>
      <c r="X390" s="269">
        <f t="shared" si="82"/>
        <v>71</v>
      </c>
      <c r="Y390" s="269">
        <f t="shared" si="83"/>
        <v>72</v>
      </c>
      <c r="Z390" s="269">
        <f t="shared" si="84"/>
        <v>73</v>
      </c>
      <c r="AA390" s="269">
        <f t="shared" si="85"/>
        <v>75</v>
      </c>
    </row>
    <row r="391" spans="1:27">
      <c r="A391" s="104">
        <v>390</v>
      </c>
      <c r="B391" s="104" t="str">
        <f t="shared" si="77"/>
        <v>ABCFGHIJ</v>
      </c>
      <c r="C391" s="104" t="s">
        <v>245</v>
      </c>
      <c r="D391" s="104" t="s">
        <v>231</v>
      </c>
      <c r="E391" s="104" t="s">
        <v>144</v>
      </c>
      <c r="F391" s="104" t="s">
        <v>145</v>
      </c>
      <c r="G391" s="104" t="s">
        <v>142</v>
      </c>
      <c r="H391" s="104" t="s">
        <v>152</v>
      </c>
      <c r="I391" s="104" t="s">
        <v>258</v>
      </c>
      <c r="J391" s="104" t="s">
        <v>232</v>
      </c>
      <c r="K391" s="269">
        <f t="shared" si="76"/>
        <v>72</v>
      </c>
      <c r="L391" s="269">
        <f t="shared" si="76"/>
        <v>71</v>
      </c>
      <c r="M391" s="269">
        <f t="shared" si="76"/>
        <v>66</v>
      </c>
      <c r="N391" s="269">
        <f t="shared" si="76"/>
        <v>67</v>
      </c>
      <c r="O391" s="269">
        <f t="shared" si="76"/>
        <v>65</v>
      </c>
      <c r="P391" s="269">
        <f t="shared" si="75"/>
        <v>70</v>
      </c>
      <c r="Q391" s="269">
        <f t="shared" si="75"/>
        <v>73</v>
      </c>
      <c r="R391" s="269">
        <f t="shared" si="75"/>
        <v>74</v>
      </c>
      <c r="S391" s="269"/>
      <c r="T391" s="269">
        <f t="shared" si="78"/>
        <v>65</v>
      </c>
      <c r="U391" s="269">
        <f t="shared" si="79"/>
        <v>66</v>
      </c>
      <c r="V391" s="269">
        <f t="shared" si="80"/>
        <v>67</v>
      </c>
      <c r="W391" s="269">
        <f t="shared" si="81"/>
        <v>70</v>
      </c>
      <c r="X391" s="269">
        <f t="shared" si="82"/>
        <v>71</v>
      </c>
      <c r="Y391" s="269">
        <f t="shared" si="83"/>
        <v>72</v>
      </c>
      <c r="Z391" s="269">
        <f t="shared" si="84"/>
        <v>73</v>
      </c>
      <c r="AA391" s="269">
        <f t="shared" si="85"/>
        <v>74</v>
      </c>
    </row>
    <row r="392" spans="1:27">
      <c r="A392" s="104">
        <v>391</v>
      </c>
      <c r="B392" s="104" t="str">
        <f t="shared" si="77"/>
        <v>ABCEIJKL</v>
      </c>
      <c r="C392" s="104" t="s">
        <v>151</v>
      </c>
      <c r="D392" s="104" t="s">
        <v>232</v>
      </c>
      <c r="E392" s="104" t="s">
        <v>144</v>
      </c>
      <c r="F392" s="104" t="s">
        <v>142</v>
      </c>
      <c r="G392" s="104" t="s">
        <v>258</v>
      </c>
      <c r="H392" s="104" t="s">
        <v>145</v>
      </c>
      <c r="I392" s="104" t="s">
        <v>259</v>
      </c>
      <c r="J392" s="104" t="s">
        <v>246</v>
      </c>
      <c r="K392" s="269">
        <f t="shared" si="76"/>
        <v>69</v>
      </c>
      <c r="L392" s="269">
        <f t="shared" si="76"/>
        <v>74</v>
      </c>
      <c r="M392" s="269">
        <f t="shared" si="76"/>
        <v>66</v>
      </c>
      <c r="N392" s="269">
        <f t="shared" si="76"/>
        <v>65</v>
      </c>
      <c r="O392" s="269">
        <f t="shared" si="76"/>
        <v>73</v>
      </c>
      <c r="P392" s="269">
        <f t="shared" si="75"/>
        <v>67</v>
      </c>
      <c r="Q392" s="269">
        <f t="shared" si="75"/>
        <v>76</v>
      </c>
      <c r="R392" s="269">
        <f t="shared" si="75"/>
        <v>75</v>
      </c>
      <c r="S392" s="269"/>
      <c r="T392" s="269">
        <f t="shared" si="78"/>
        <v>65</v>
      </c>
      <c r="U392" s="269">
        <f t="shared" si="79"/>
        <v>66</v>
      </c>
      <c r="V392" s="269">
        <f t="shared" si="80"/>
        <v>67</v>
      </c>
      <c r="W392" s="269">
        <f t="shared" si="81"/>
        <v>69</v>
      </c>
      <c r="X392" s="269">
        <f t="shared" si="82"/>
        <v>73</v>
      </c>
      <c r="Y392" s="269">
        <f t="shared" si="83"/>
        <v>74</v>
      </c>
      <c r="Z392" s="269">
        <f t="shared" si="84"/>
        <v>75</v>
      </c>
      <c r="AA392" s="269">
        <f t="shared" si="85"/>
        <v>76</v>
      </c>
    </row>
    <row r="393" spans="1:27">
      <c r="A393" s="104">
        <v>392</v>
      </c>
      <c r="B393" s="104" t="str">
        <f t="shared" si="77"/>
        <v>ABCEHJKL</v>
      </c>
      <c r="C393" s="104" t="s">
        <v>151</v>
      </c>
      <c r="D393" s="104" t="s">
        <v>232</v>
      </c>
      <c r="E393" s="104" t="s">
        <v>144</v>
      </c>
      <c r="F393" s="104" t="s">
        <v>145</v>
      </c>
      <c r="G393" s="104" t="s">
        <v>142</v>
      </c>
      <c r="H393" s="104" t="s">
        <v>245</v>
      </c>
      <c r="I393" s="104" t="s">
        <v>259</v>
      </c>
      <c r="J393" s="104" t="s">
        <v>246</v>
      </c>
      <c r="K393" s="269">
        <f t="shared" si="76"/>
        <v>69</v>
      </c>
      <c r="L393" s="269">
        <f t="shared" si="76"/>
        <v>74</v>
      </c>
      <c r="M393" s="269">
        <f t="shared" si="76"/>
        <v>66</v>
      </c>
      <c r="N393" s="269">
        <f t="shared" si="76"/>
        <v>67</v>
      </c>
      <c r="O393" s="269">
        <f t="shared" si="76"/>
        <v>65</v>
      </c>
      <c r="P393" s="269">
        <f t="shared" si="75"/>
        <v>72</v>
      </c>
      <c r="Q393" s="269">
        <f t="shared" si="75"/>
        <v>76</v>
      </c>
      <c r="R393" s="269">
        <f t="shared" si="75"/>
        <v>75</v>
      </c>
      <c r="S393" s="269"/>
      <c r="T393" s="269">
        <f t="shared" si="78"/>
        <v>65</v>
      </c>
      <c r="U393" s="269">
        <f t="shared" si="79"/>
        <v>66</v>
      </c>
      <c r="V393" s="269">
        <f t="shared" si="80"/>
        <v>67</v>
      </c>
      <c r="W393" s="269">
        <f t="shared" si="81"/>
        <v>69</v>
      </c>
      <c r="X393" s="269">
        <f t="shared" si="82"/>
        <v>72</v>
      </c>
      <c r="Y393" s="269">
        <f t="shared" si="83"/>
        <v>74</v>
      </c>
      <c r="Z393" s="269">
        <f t="shared" si="84"/>
        <v>75</v>
      </c>
      <c r="AA393" s="269">
        <f t="shared" si="85"/>
        <v>76</v>
      </c>
    </row>
    <row r="394" spans="1:27">
      <c r="A394" s="104">
        <v>393</v>
      </c>
      <c r="B394" s="104" t="str">
        <f t="shared" si="77"/>
        <v>ABCEHIKL</v>
      </c>
      <c r="C394" s="104" t="s">
        <v>151</v>
      </c>
      <c r="D394" s="104" t="s">
        <v>258</v>
      </c>
      <c r="E394" s="104" t="s">
        <v>144</v>
      </c>
      <c r="F394" s="104" t="s">
        <v>145</v>
      </c>
      <c r="G394" s="104" t="s">
        <v>142</v>
      </c>
      <c r="H394" s="104" t="s">
        <v>245</v>
      </c>
      <c r="I394" s="104" t="s">
        <v>259</v>
      </c>
      <c r="J394" s="104" t="s">
        <v>246</v>
      </c>
      <c r="K394" s="269">
        <f t="shared" si="76"/>
        <v>69</v>
      </c>
      <c r="L394" s="269">
        <f t="shared" si="76"/>
        <v>73</v>
      </c>
      <c r="M394" s="269">
        <f t="shared" si="76"/>
        <v>66</v>
      </c>
      <c r="N394" s="269">
        <f t="shared" si="76"/>
        <v>67</v>
      </c>
      <c r="O394" s="269">
        <f t="shared" si="76"/>
        <v>65</v>
      </c>
      <c r="P394" s="269">
        <f t="shared" si="75"/>
        <v>72</v>
      </c>
      <c r="Q394" s="269">
        <f t="shared" si="75"/>
        <v>76</v>
      </c>
      <c r="R394" s="269">
        <f t="shared" si="75"/>
        <v>75</v>
      </c>
      <c r="S394" s="269"/>
      <c r="T394" s="269">
        <f t="shared" si="78"/>
        <v>65</v>
      </c>
      <c r="U394" s="269">
        <f t="shared" si="79"/>
        <v>66</v>
      </c>
      <c r="V394" s="269">
        <f t="shared" si="80"/>
        <v>67</v>
      </c>
      <c r="W394" s="269">
        <f t="shared" si="81"/>
        <v>69</v>
      </c>
      <c r="X394" s="269">
        <f t="shared" si="82"/>
        <v>72</v>
      </c>
      <c r="Y394" s="269">
        <f t="shared" si="83"/>
        <v>73</v>
      </c>
      <c r="Z394" s="269">
        <f t="shared" si="84"/>
        <v>75</v>
      </c>
      <c r="AA394" s="269">
        <f t="shared" si="85"/>
        <v>76</v>
      </c>
    </row>
    <row r="395" spans="1:27">
      <c r="A395" s="104">
        <v>394</v>
      </c>
      <c r="B395" s="104" t="str">
        <f t="shared" si="77"/>
        <v>ABCEHIJL</v>
      </c>
      <c r="C395" s="104" t="s">
        <v>151</v>
      </c>
      <c r="D395" s="104" t="s">
        <v>232</v>
      </c>
      <c r="E395" s="104" t="s">
        <v>144</v>
      </c>
      <c r="F395" s="104" t="s">
        <v>145</v>
      </c>
      <c r="G395" s="104" t="s">
        <v>142</v>
      </c>
      <c r="H395" s="104" t="s">
        <v>245</v>
      </c>
      <c r="I395" s="104" t="s">
        <v>259</v>
      </c>
      <c r="J395" s="104" t="s">
        <v>258</v>
      </c>
      <c r="K395" s="269">
        <f t="shared" si="76"/>
        <v>69</v>
      </c>
      <c r="L395" s="269">
        <f t="shared" si="76"/>
        <v>74</v>
      </c>
      <c r="M395" s="269">
        <f t="shared" si="76"/>
        <v>66</v>
      </c>
      <c r="N395" s="269">
        <f t="shared" si="76"/>
        <v>67</v>
      </c>
      <c r="O395" s="269">
        <f t="shared" si="76"/>
        <v>65</v>
      </c>
      <c r="P395" s="269">
        <f t="shared" si="75"/>
        <v>72</v>
      </c>
      <c r="Q395" s="269">
        <f t="shared" si="75"/>
        <v>76</v>
      </c>
      <c r="R395" s="269">
        <f t="shared" si="75"/>
        <v>73</v>
      </c>
      <c r="S395" s="269"/>
      <c r="T395" s="269">
        <f t="shared" si="78"/>
        <v>65</v>
      </c>
      <c r="U395" s="269">
        <f t="shared" si="79"/>
        <v>66</v>
      </c>
      <c r="V395" s="269">
        <f t="shared" si="80"/>
        <v>67</v>
      </c>
      <c r="W395" s="269">
        <f t="shared" si="81"/>
        <v>69</v>
      </c>
      <c r="X395" s="269">
        <f t="shared" si="82"/>
        <v>72</v>
      </c>
      <c r="Y395" s="269">
        <f t="shared" si="83"/>
        <v>73</v>
      </c>
      <c r="Z395" s="269">
        <f t="shared" si="84"/>
        <v>74</v>
      </c>
      <c r="AA395" s="269">
        <f t="shared" si="85"/>
        <v>76</v>
      </c>
    </row>
    <row r="396" spans="1:27">
      <c r="A396" s="104">
        <v>395</v>
      </c>
      <c r="B396" s="104" t="str">
        <f t="shared" si="77"/>
        <v>ABCEHIJK</v>
      </c>
      <c r="C396" s="104" t="s">
        <v>151</v>
      </c>
      <c r="D396" s="104" t="s">
        <v>232</v>
      </c>
      <c r="E396" s="104" t="s">
        <v>144</v>
      </c>
      <c r="F396" s="104" t="s">
        <v>145</v>
      </c>
      <c r="G396" s="104" t="s">
        <v>142</v>
      </c>
      <c r="H396" s="104" t="s">
        <v>245</v>
      </c>
      <c r="I396" s="104" t="s">
        <v>258</v>
      </c>
      <c r="J396" s="104" t="s">
        <v>246</v>
      </c>
      <c r="K396" s="269">
        <f t="shared" si="76"/>
        <v>69</v>
      </c>
      <c r="L396" s="269">
        <f t="shared" si="76"/>
        <v>74</v>
      </c>
      <c r="M396" s="269">
        <f t="shared" si="76"/>
        <v>66</v>
      </c>
      <c r="N396" s="269">
        <f t="shared" si="76"/>
        <v>67</v>
      </c>
      <c r="O396" s="269">
        <f t="shared" si="76"/>
        <v>65</v>
      </c>
      <c r="P396" s="269">
        <f t="shared" si="75"/>
        <v>72</v>
      </c>
      <c r="Q396" s="269">
        <f t="shared" si="75"/>
        <v>73</v>
      </c>
      <c r="R396" s="269">
        <f t="shared" si="75"/>
        <v>75</v>
      </c>
      <c r="S396" s="269"/>
      <c r="T396" s="269">
        <f t="shared" si="78"/>
        <v>65</v>
      </c>
      <c r="U396" s="269">
        <f t="shared" si="79"/>
        <v>66</v>
      </c>
      <c r="V396" s="269">
        <f t="shared" si="80"/>
        <v>67</v>
      </c>
      <c r="W396" s="269">
        <f t="shared" si="81"/>
        <v>69</v>
      </c>
      <c r="X396" s="269">
        <f t="shared" si="82"/>
        <v>72</v>
      </c>
      <c r="Y396" s="269">
        <f t="shared" si="83"/>
        <v>73</v>
      </c>
      <c r="Z396" s="269">
        <f t="shared" si="84"/>
        <v>74</v>
      </c>
      <c r="AA396" s="269">
        <f t="shared" si="85"/>
        <v>75</v>
      </c>
    </row>
    <row r="397" spans="1:27">
      <c r="A397" s="104">
        <v>396</v>
      </c>
      <c r="B397" s="104" t="str">
        <f t="shared" si="77"/>
        <v>ABCEGJKL</v>
      </c>
      <c r="C397" s="104" t="s">
        <v>151</v>
      </c>
      <c r="D397" s="104" t="s">
        <v>232</v>
      </c>
      <c r="E397" s="104" t="s">
        <v>144</v>
      </c>
      <c r="F397" s="104" t="s">
        <v>145</v>
      </c>
      <c r="G397" s="104" t="s">
        <v>142</v>
      </c>
      <c r="H397" s="104" t="s">
        <v>231</v>
      </c>
      <c r="I397" s="104" t="s">
        <v>259</v>
      </c>
      <c r="J397" s="104" t="s">
        <v>246</v>
      </c>
      <c r="K397" s="269">
        <f t="shared" si="76"/>
        <v>69</v>
      </c>
      <c r="L397" s="269">
        <f t="shared" si="76"/>
        <v>74</v>
      </c>
      <c r="M397" s="269">
        <f t="shared" si="76"/>
        <v>66</v>
      </c>
      <c r="N397" s="269">
        <f t="shared" si="76"/>
        <v>67</v>
      </c>
      <c r="O397" s="269">
        <f t="shared" si="76"/>
        <v>65</v>
      </c>
      <c r="P397" s="269">
        <f t="shared" si="75"/>
        <v>71</v>
      </c>
      <c r="Q397" s="269">
        <f t="shared" si="75"/>
        <v>76</v>
      </c>
      <c r="R397" s="269">
        <f t="shared" si="75"/>
        <v>75</v>
      </c>
      <c r="S397" s="269"/>
      <c r="T397" s="269">
        <f t="shared" si="78"/>
        <v>65</v>
      </c>
      <c r="U397" s="269">
        <f t="shared" si="79"/>
        <v>66</v>
      </c>
      <c r="V397" s="269">
        <f t="shared" si="80"/>
        <v>67</v>
      </c>
      <c r="W397" s="269">
        <f t="shared" si="81"/>
        <v>69</v>
      </c>
      <c r="X397" s="269">
        <f t="shared" si="82"/>
        <v>71</v>
      </c>
      <c r="Y397" s="269">
        <f t="shared" si="83"/>
        <v>74</v>
      </c>
      <c r="Z397" s="269">
        <f t="shared" si="84"/>
        <v>75</v>
      </c>
      <c r="AA397" s="269">
        <f t="shared" si="85"/>
        <v>76</v>
      </c>
    </row>
    <row r="398" spans="1:27">
      <c r="A398" s="104">
        <v>397</v>
      </c>
      <c r="B398" s="104" t="str">
        <f t="shared" si="77"/>
        <v>ABCEGIKL</v>
      </c>
      <c r="C398" s="104" t="s">
        <v>151</v>
      </c>
      <c r="D398" s="104" t="s">
        <v>231</v>
      </c>
      <c r="E398" s="104" t="s">
        <v>144</v>
      </c>
      <c r="F398" s="104" t="s">
        <v>142</v>
      </c>
      <c r="G398" s="104" t="s">
        <v>258</v>
      </c>
      <c r="H398" s="104" t="s">
        <v>145</v>
      </c>
      <c r="I398" s="104" t="s">
        <v>259</v>
      </c>
      <c r="J398" s="104" t="s">
        <v>246</v>
      </c>
      <c r="K398" s="269">
        <f t="shared" si="76"/>
        <v>69</v>
      </c>
      <c r="L398" s="269">
        <f t="shared" si="76"/>
        <v>71</v>
      </c>
      <c r="M398" s="269">
        <f t="shared" si="76"/>
        <v>66</v>
      </c>
      <c r="N398" s="269">
        <f t="shared" si="76"/>
        <v>65</v>
      </c>
      <c r="O398" s="269">
        <f t="shared" si="76"/>
        <v>73</v>
      </c>
      <c r="P398" s="269">
        <f t="shared" si="75"/>
        <v>67</v>
      </c>
      <c r="Q398" s="269">
        <f t="shared" si="75"/>
        <v>76</v>
      </c>
      <c r="R398" s="269">
        <f t="shared" si="75"/>
        <v>75</v>
      </c>
      <c r="S398" s="269"/>
      <c r="T398" s="269">
        <f t="shared" si="78"/>
        <v>65</v>
      </c>
      <c r="U398" s="269">
        <f t="shared" si="79"/>
        <v>66</v>
      </c>
      <c r="V398" s="269">
        <f t="shared" si="80"/>
        <v>67</v>
      </c>
      <c r="W398" s="269">
        <f t="shared" si="81"/>
        <v>69</v>
      </c>
      <c r="X398" s="269">
        <f t="shared" si="82"/>
        <v>71</v>
      </c>
      <c r="Y398" s="269">
        <f t="shared" si="83"/>
        <v>73</v>
      </c>
      <c r="Z398" s="269">
        <f t="shared" si="84"/>
        <v>75</v>
      </c>
      <c r="AA398" s="269">
        <f t="shared" si="85"/>
        <v>76</v>
      </c>
    </row>
    <row r="399" spans="1:27">
      <c r="A399" s="104">
        <v>398</v>
      </c>
      <c r="B399" s="104" t="str">
        <f t="shared" si="77"/>
        <v>ABCEGIJL</v>
      </c>
      <c r="C399" s="104" t="s">
        <v>151</v>
      </c>
      <c r="D399" s="104" t="s">
        <v>232</v>
      </c>
      <c r="E399" s="104" t="s">
        <v>144</v>
      </c>
      <c r="F399" s="104" t="s">
        <v>145</v>
      </c>
      <c r="G399" s="104" t="s">
        <v>142</v>
      </c>
      <c r="H399" s="104" t="s">
        <v>231</v>
      </c>
      <c r="I399" s="104" t="s">
        <v>259</v>
      </c>
      <c r="J399" s="104" t="s">
        <v>258</v>
      </c>
      <c r="K399" s="269">
        <f t="shared" si="76"/>
        <v>69</v>
      </c>
      <c r="L399" s="269">
        <f t="shared" si="76"/>
        <v>74</v>
      </c>
      <c r="M399" s="269">
        <f t="shared" si="76"/>
        <v>66</v>
      </c>
      <c r="N399" s="269">
        <f t="shared" si="76"/>
        <v>67</v>
      </c>
      <c r="O399" s="269">
        <f t="shared" si="76"/>
        <v>65</v>
      </c>
      <c r="P399" s="269">
        <f t="shared" si="75"/>
        <v>71</v>
      </c>
      <c r="Q399" s="269">
        <f t="shared" si="75"/>
        <v>76</v>
      </c>
      <c r="R399" s="269">
        <f t="shared" si="75"/>
        <v>73</v>
      </c>
      <c r="S399" s="269"/>
      <c r="T399" s="269">
        <f t="shared" si="78"/>
        <v>65</v>
      </c>
      <c r="U399" s="269">
        <f t="shared" si="79"/>
        <v>66</v>
      </c>
      <c r="V399" s="269">
        <f t="shared" si="80"/>
        <v>67</v>
      </c>
      <c r="W399" s="269">
        <f t="shared" si="81"/>
        <v>69</v>
      </c>
      <c r="X399" s="269">
        <f t="shared" si="82"/>
        <v>71</v>
      </c>
      <c r="Y399" s="269">
        <f t="shared" si="83"/>
        <v>73</v>
      </c>
      <c r="Z399" s="269">
        <f t="shared" si="84"/>
        <v>74</v>
      </c>
      <c r="AA399" s="269">
        <f t="shared" si="85"/>
        <v>76</v>
      </c>
    </row>
    <row r="400" spans="1:27">
      <c r="A400" s="104">
        <v>399</v>
      </c>
      <c r="B400" s="104" t="str">
        <f t="shared" si="77"/>
        <v>ABCEGIJK</v>
      </c>
      <c r="C400" s="104" t="s">
        <v>151</v>
      </c>
      <c r="D400" s="104" t="s">
        <v>232</v>
      </c>
      <c r="E400" s="104" t="s">
        <v>144</v>
      </c>
      <c r="F400" s="104" t="s">
        <v>145</v>
      </c>
      <c r="G400" s="104" t="s">
        <v>142</v>
      </c>
      <c r="H400" s="104" t="s">
        <v>231</v>
      </c>
      <c r="I400" s="104" t="s">
        <v>258</v>
      </c>
      <c r="J400" s="104" t="s">
        <v>246</v>
      </c>
      <c r="K400" s="269">
        <f t="shared" si="76"/>
        <v>69</v>
      </c>
      <c r="L400" s="269">
        <f t="shared" si="76"/>
        <v>74</v>
      </c>
      <c r="M400" s="269">
        <f t="shared" si="76"/>
        <v>66</v>
      </c>
      <c r="N400" s="269">
        <f t="shared" si="76"/>
        <v>67</v>
      </c>
      <c r="O400" s="269">
        <f t="shared" si="76"/>
        <v>65</v>
      </c>
      <c r="P400" s="269">
        <f t="shared" si="75"/>
        <v>71</v>
      </c>
      <c r="Q400" s="269">
        <f t="shared" si="75"/>
        <v>73</v>
      </c>
      <c r="R400" s="269">
        <f t="shared" si="75"/>
        <v>75</v>
      </c>
      <c r="S400" s="269"/>
      <c r="T400" s="269">
        <f t="shared" si="78"/>
        <v>65</v>
      </c>
      <c r="U400" s="269">
        <f t="shared" si="79"/>
        <v>66</v>
      </c>
      <c r="V400" s="269">
        <f t="shared" si="80"/>
        <v>67</v>
      </c>
      <c r="W400" s="269">
        <f t="shared" si="81"/>
        <v>69</v>
      </c>
      <c r="X400" s="269">
        <f t="shared" si="82"/>
        <v>71</v>
      </c>
      <c r="Y400" s="269">
        <f t="shared" si="83"/>
        <v>73</v>
      </c>
      <c r="Z400" s="269">
        <f t="shared" si="84"/>
        <v>74</v>
      </c>
      <c r="AA400" s="269">
        <f t="shared" si="85"/>
        <v>75</v>
      </c>
    </row>
    <row r="401" spans="1:27">
      <c r="A401" s="104">
        <v>400</v>
      </c>
      <c r="B401" s="104" t="str">
        <f t="shared" si="77"/>
        <v>ABCEGHKL</v>
      </c>
      <c r="C401" s="104" t="s">
        <v>151</v>
      </c>
      <c r="D401" s="104" t="s">
        <v>231</v>
      </c>
      <c r="E401" s="104" t="s">
        <v>144</v>
      </c>
      <c r="F401" s="104" t="s">
        <v>145</v>
      </c>
      <c r="G401" s="104" t="s">
        <v>142</v>
      </c>
      <c r="H401" s="104" t="s">
        <v>245</v>
      </c>
      <c r="I401" s="104" t="s">
        <v>259</v>
      </c>
      <c r="J401" s="104" t="s">
        <v>246</v>
      </c>
      <c r="K401" s="269">
        <f t="shared" si="76"/>
        <v>69</v>
      </c>
      <c r="L401" s="269">
        <f t="shared" si="76"/>
        <v>71</v>
      </c>
      <c r="M401" s="269">
        <f t="shared" si="76"/>
        <v>66</v>
      </c>
      <c r="N401" s="269">
        <f t="shared" si="76"/>
        <v>67</v>
      </c>
      <c r="O401" s="269">
        <f t="shared" si="76"/>
        <v>65</v>
      </c>
      <c r="P401" s="269">
        <f t="shared" si="75"/>
        <v>72</v>
      </c>
      <c r="Q401" s="269">
        <f t="shared" si="75"/>
        <v>76</v>
      </c>
      <c r="R401" s="269">
        <f t="shared" si="75"/>
        <v>75</v>
      </c>
      <c r="S401" s="269"/>
      <c r="T401" s="269">
        <f t="shared" si="78"/>
        <v>65</v>
      </c>
      <c r="U401" s="269">
        <f t="shared" si="79"/>
        <v>66</v>
      </c>
      <c r="V401" s="269">
        <f t="shared" si="80"/>
        <v>67</v>
      </c>
      <c r="W401" s="269">
        <f t="shared" si="81"/>
        <v>69</v>
      </c>
      <c r="X401" s="269">
        <f t="shared" si="82"/>
        <v>71</v>
      </c>
      <c r="Y401" s="269">
        <f t="shared" si="83"/>
        <v>72</v>
      </c>
      <c r="Z401" s="269">
        <f t="shared" si="84"/>
        <v>75</v>
      </c>
      <c r="AA401" s="269">
        <f t="shared" si="85"/>
        <v>76</v>
      </c>
    </row>
    <row r="402" spans="1:27">
      <c r="A402" s="104">
        <v>401</v>
      </c>
      <c r="B402" s="104" t="str">
        <f t="shared" si="77"/>
        <v>ABCEGHJL</v>
      </c>
      <c r="C402" s="104" t="s">
        <v>245</v>
      </c>
      <c r="D402" s="104" t="s">
        <v>232</v>
      </c>
      <c r="E402" s="104" t="s">
        <v>144</v>
      </c>
      <c r="F402" s="104" t="s">
        <v>145</v>
      </c>
      <c r="G402" s="104" t="s">
        <v>142</v>
      </c>
      <c r="H402" s="104" t="s">
        <v>231</v>
      </c>
      <c r="I402" s="104" t="s">
        <v>259</v>
      </c>
      <c r="J402" s="104" t="s">
        <v>151</v>
      </c>
      <c r="K402" s="269">
        <f t="shared" si="76"/>
        <v>72</v>
      </c>
      <c r="L402" s="269">
        <f t="shared" si="76"/>
        <v>74</v>
      </c>
      <c r="M402" s="269">
        <f t="shared" si="76"/>
        <v>66</v>
      </c>
      <c r="N402" s="269">
        <f t="shared" si="76"/>
        <v>67</v>
      </c>
      <c r="O402" s="269">
        <f t="shared" si="76"/>
        <v>65</v>
      </c>
      <c r="P402" s="269">
        <f t="shared" si="75"/>
        <v>71</v>
      </c>
      <c r="Q402" s="269">
        <f t="shared" si="75"/>
        <v>76</v>
      </c>
      <c r="R402" s="269">
        <f t="shared" si="75"/>
        <v>69</v>
      </c>
      <c r="S402" s="269"/>
      <c r="T402" s="269">
        <f t="shared" si="78"/>
        <v>65</v>
      </c>
      <c r="U402" s="269">
        <f t="shared" si="79"/>
        <v>66</v>
      </c>
      <c r="V402" s="269">
        <f t="shared" si="80"/>
        <v>67</v>
      </c>
      <c r="W402" s="269">
        <f t="shared" si="81"/>
        <v>69</v>
      </c>
      <c r="X402" s="269">
        <f t="shared" si="82"/>
        <v>71</v>
      </c>
      <c r="Y402" s="269">
        <f t="shared" si="83"/>
        <v>72</v>
      </c>
      <c r="Z402" s="269">
        <f t="shared" si="84"/>
        <v>74</v>
      </c>
      <c r="AA402" s="269">
        <f t="shared" si="85"/>
        <v>76</v>
      </c>
    </row>
    <row r="403" spans="1:27">
      <c r="A403" s="104">
        <v>402</v>
      </c>
      <c r="B403" s="104" t="str">
        <f t="shared" si="77"/>
        <v>ABCEGHJK</v>
      </c>
      <c r="C403" s="104" t="s">
        <v>245</v>
      </c>
      <c r="D403" s="104" t="s">
        <v>232</v>
      </c>
      <c r="E403" s="104" t="s">
        <v>144</v>
      </c>
      <c r="F403" s="104" t="s">
        <v>145</v>
      </c>
      <c r="G403" s="104" t="s">
        <v>142</v>
      </c>
      <c r="H403" s="104" t="s">
        <v>231</v>
      </c>
      <c r="I403" s="104" t="s">
        <v>151</v>
      </c>
      <c r="J403" s="104" t="s">
        <v>246</v>
      </c>
      <c r="K403" s="269">
        <f t="shared" si="76"/>
        <v>72</v>
      </c>
      <c r="L403" s="269">
        <f t="shared" si="76"/>
        <v>74</v>
      </c>
      <c r="M403" s="269">
        <f t="shared" si="76"/>
        <v>66</v>
      </c>
      <c r="N403" s="269">
        <f t="shared" si="76"/>
        <v>67</v>
      </c>
      <c r="O403" s="269">
        <f t="shared" si="76"/>
        <v>65</v>
      </c>
      <c r="P403" s="269">
        <f t="shared" si="75"/>
        <v>71</v>
      </c>
      <c r="Q403" s="269">
        <f t="shared" si="75"/>
        <v>69</v>
      </c>
      <c r="R403" s="269">
        <f t="shared" si="75"/>
        <v>75</v>
      </c>
      <c r="S403" s="269"/>
      <c r="T403" s="269">
        <f t="shared" si="78"/>
        <v>65</v>
      </c>
      <c r="U403" s="269">
        <f t="shared" si="79"/>
        <v>66</v>
      </c>
      <c r="V403" s="269">
        <f t="shared" si="80"/>
        <v>67</v>
      </c>
      <c r="W403" s="269">
        <f t="shared" si="81"/>
        <v>69</v>
      </c>
      <c r="X403" s="269">
        <f t="shared" si="82"/>
        <v>71</v>
      </c>
      <c r="Y403" s="269">
        <f t="shared" si="83"/>
        <v>72</v>
      </c>
      <c r="Z403" s="269">
        <f t="shared" si="84"/>
        <v>74</v>
      </c>
      <c r="AA403" s="269">
        <f t="shared" si="85"/>
        <v>75</v>
      </c>
    </row>
    <row r="404" spans="1:27">
      <c r="A404" s="104">
        <v>403</v>
      </c>
      <c r="B404" s="104" t="str">
        <f t="shared" si="77"/>
        <v>ABCEGHIL</v>
      </c>
      <c r="C404" s="104" t="s">
        <v>151</v>
      </c>
      <c r="D404" s="104" t="s">
        <v>231</v>
      </c>
      <c r="E404" s="104" t="s">
        <v>144</v>
      </c>
      <c r="F404" s="104" t="s">
        <v>145</v>
      </c>
      <c r="G404" s="104" t="s">
        <v>142</v>
      </c>
      <c r="H404" s="104" t="s">
        <v>245</v>
      </c>
      <c r="I404" s="104" t="s">
        <v>259</v>
      </c>
      <c r="J404" s="104" t="s">
        <v>258</v>
      </c>
      <c r="K404" s="269">
        <f t="shared" si="76"/>
        <v>69</v>
      </c>
      <c r="L404" s="269">
        <f t="shared" si="76"/>
        <v>71</v>
      </c>
      <c r="M404" s="269">
        <f t="shared" si="76"/>
        <v>66</v>
      </c>
      <c r="N404" s="269">
        <f t="shared" si="76"/>
        <v>67</v>
      </c>
      <c r="O404" s="269">
        <f t="shared" si="76"/>
        <v>65</v>
      </c>
      <c r="P404" s="269">
        <f t="shared" si="75"/>
        <v>72</v>
      </c>
      <c r="Q404" s="269">
        <f t="shared" si="75"/>
        <v>76</v>
      </c>
      <c r="R404" s="269">
        <f t="shared" si="75"/>
        <v>73</v>
      </c>
      <c r="S404" s="269"/>
      <c r="T404" s="269">
        <f t="shared" si="78"/>
        <v>65</v>
      </c>
      <c r="U404" s="269">
        <f t="shared" si="79"/>
        <v>66</v>
      </c>
      <c r="V404" s="269">
        <f t="shared" si="80"/>
        <v>67</v>
      </c>
      <c r="W404" s="269">
        <f t="shared" si="81"/>
        <v>69</v>
      </c>
      <c r="X404" s="269">
        <f t="shared" si="82"/>
        <v>71</v>
      </c>
      <c r="Y404" s="269">
        <f t="shared" si="83"/>
        <v>72</v>
      </c>
      <c r="Z404" s="269">
        <f t="shared" si="84"/>
        <v>73</v>
      </c>
      <c r="AA404" s="269">
        <f t="shared" si="85"/>
        <v>76</v>
      </c>
    </row>
    <row r="405" spans="1:27">
      <c r="A405" s="104">
        <v>404</v>
      </c>
      <c r="B405" s="104" t="str">
        <f t="shared" si="77"/>
        <v>ABCEGHIK</v>
      </c>
      <c r="C405" s="104" t="s">
        <v>151</v>
      </c>
      <c r="D405" s="104" t="s">
        <v>231</v>
      </c>
      <c r="E405" s="104" t="s">
        <v>144</v>
      </c>
      <c r="F405" s="104" t="s">
        <v>145</v>
      </c>
      <c r="G405" s="104" t="s">
        <v>142</v>
      </c>
      <c r="H405" s="104" t="s">
        <v>245</v>
      </c>
      <c r="I405" s="104" t="s">
        <v>258</v>
      </c>
      <c r="J405" s="104" t="s">
        <v>246</v>
      </c>
      <c r="K405" s="269">
        <f t="shared" si="76"/>
        <v>69</v>
      </c>
      <c r="L405" s="269">
        <f t="shared" si="76"/>
        <v>71</v>
      </c>
      <c r="M405" s="269">
        <f t="shared" si="76"/>
        <v>66</v>
      </c>
      <c r="N405" s="269">
        <f t="shared" si="76"/>
        <v>67</v>
      </c>
      <c r="O405" s="269">
        <f t="shared" si="76"/>
        <v>65</v>
      </c>
      <c r="P405" s="269">
        <f t="shared" si="75"/>
        <v>72</v>
      </c>
      <c r="Q405" s="269">
        <f t="shared" si="75"/>
        <v>73</v>
      </c>
      <c r="R405" s="269">
        <f t="shared" si="75"/>
        <v>75</v>
      </c>
      <c r="S405" s="269"/>
      <c r="T405" s="269">
        <f t="shared" si="78"/>
        <v>65</v>
      </c>
      <c r="U405" s="269">
        <f t="shared" si="79"/>
        <v>66</v>
      </c>
      <c r="V405" s="269">
        <f t="shared" si="80"/>
        <v>67</v>
      </c>
      <c r="W405" s="269">
        <f t="shared" si="81"/>
        <v>69</v>
      </c>
      <c r="X405" s="269">
        <f t="shared" si="82"/>
        <v>71</v>
      </c>
      <c r="Y405" s="269">
        <f t="shared" si="83"/>
        <v>72</v>
      </c>
      <c r="Z405" s="269">
        <f t="shared" si="84"/>
        <v>73</v>
      </c>
      <c r="AA405" s="269">
        <f t="shared" si="85"/>
        <v>75</v>
      </c>
    </row>
    <row r="406" spans="1:27">
      <c r="A406" s="104">
        <v>405</v>
      </c>
      <c r="B406" s="104" t="str">
        <f t="shared" si="77"/>
        <v>ABCEGHIJ</v>
      </c>
      <c r="C406" s="104" t="s">
        <v>245</v>
      </c>
      <c r="D406" s="104" t="s">
        <v>232</v>
      </c>
      <c r="E406" s="104" t="s">
        <v>144</v>
      </c>
      <c r="F406" s="104" t="s">
        <v>145</v>
      </c>
      <c r="G406" s="104" t="s">
        <v>142</v>
      </c>
      <c r="H406" s="104" t="s">
        <v>231</v>
      </c>
      <c r="I406" s="104" t="s">
        <v>151</v>
      </c>
      <c r="J406" s="104" t="s">
        <v>258</v>
      </c>
      <c r="K406" s="269">
        <f t="shared" si="76"/>
        <v>72</v>
      </c>
      <c r="L406" s="269">
        <f t="shared" si="76"/>
        <v>74</v>
      </c>
      <c r="M406" s="269">
        <f t="shared" si="76"/>
        <v>66</v>
      </c>
      <c r="N406" s="269">
        <f t="shared" si="76"/>
        <v>67</v>
      </c>
      <c r="O406" s="269">
        <f t="shared" si="76"/>
        <v>65</v>
      </c>
      <c r="P406" s="269">
        <f t="shared" si="75"/>
        <v>71</v>
      </c>
      <c r="Q406" s="269">
        <f t="shared" si="75"/>
        <v>69</v>
      </c>
      <c r="R406" s="269">
        <f t="shared" si="75"/>
        <v>73</v>
      </c>
      <c r="S406" s="269"/>
      <c r="T406" s="269">
        <f t="shared" si="78"/>
        <v>65</v>
      </c>
      <c r="U406" s="269">
        <f t="shared" si="79"/>
        <v>66</v>
      </c>
      <c r="V406" s="269">
        <f t="shared" si="80"/>
        <v>67</v>
      </c>
      <c r="W406" s="269">
        <f t="shared" si="81"/>
        <v>69</v>
      </c>
      <c r="X406" s="269">
        <f t="shared" si="82"/>
        <v>71</v>
      </c>
      <c r="Y406" s="269">
        <f t="shared" si="83"/>
        <v>72</v>
      </c>
      <c r="Z406" s="269">
        <f t="shared" si="84"/>
        <v>73</v>
      </c>
      <c r="AA406" s="269">
        <f t="shared" si="85"/>
        <v>74</v>
      </c>
    </row>
    <row r="407" spans="1:27">
      <c r="A407" s="104">
        <v>406</v>
      </c>
      <c r="B407" s="104" t="str">
        <f t="shared" si="77"/>
        <v>ABCEFJKL</v>
      </c>
      <c r="C407" s="104" t="s">
        <v>151</v>
      </c>
      <c r="D407" s="104" t="s">
        <v>232</v>
      </c>
      <c r="E407" s="104" t="s">
        <v>144</v>
      </c>
      <c r="F407" s="104" t="s">
        <v>145</v>
      </c>
      <c r="G407" s="104" t="s">
        <v>142</v>
      </c>
      <c r="H407" s="104" t="s">
        <v>152</v>
      </c>
      <c r="I407" s="104" t="s">
        <v>259</v>
      </c>
      <c r="J407" s="104" t="s">
        <v>246</v>
      </c>
      <c r="K407" s="269">
        <f t="shared" si="76"/>
        <v>69</v>
      </c>
      <c r="L407" s="269">
        <f t="shared" si="76"/>
        <v>74</v>
      </c>
      <c r="M407" s="269">
        <f t="shared" si="76"/>
        <v>66</v>
      </c>
      <c r="N407" s="269">
        <f t="shared" si="76"/>
        <v>67</v>
      </c>
      <c r="O407" s="269">
        <f t="shared" si="76"/>
        <v>65</v>
      </c>
      <c r="P407" s="269">
        <f t="shared" si="75"/>
        <v>70</v>
      </c>
      <c r="Q407" s="269">
        <f t="shared" si="75"/>
        <v>76</v>
      </c>
      <c r="R407" s="269">
        <f t="shared" si="75"/>
        <v>75</v>
      </c>
      <c r="S407" s="269"/>
      <c r="T407" s="269">
        <f t="shared" si="78"/>
        <v>65</v>
      </c>
      <c r="U407" s="269">
        <f t="shared" si="79"/>
        <v>66</v>
      </c>
      <c r="V407" s="269">
        <f t="shared" si="80"/>
        <v>67</v>
      </c>
      <c r="W407" s="269">
        <f t="shared" si="81"/>
        <v>69</v>
      </c>
      <c r="X407" s="269">
        <f t="shared" si="82"/>
        <v>70</v>
      </c>
      <c r="Y407" s="269">
        <f t="shared" si="83"/>
        <v>74</v>
      </c>
      <c r="Z407" s="269">
        <f t="shared" si="84"/>
        <v>75</v>
      </c>
      <c r="AA407" s="269">
        <f t="shared" si="85"/>
        <v>76</v>
      </c>
    </row>
    <row r="408" spans="1:27">
      <c r="A408" s="104">
        <v>407</v>
      </c>
      <c r="B408" s="104" t="str">
        <f t="shared" si="77"/>
        <v>ABCEFIKL</v>
      </c>
      <c r="C408" s="104" t="s">
        <v>151</v>
      </c>
      <c r="D408" s="104" t="s">
        <v>258</v>
      </c>
      <c r="E408" s="104" t="s">
        <v>144</v>
      </c>
      <c r="F408" s="104" t="s">
        <v>145</v>
      </c>
      <c r="G408" s="104" t="s">
        <v>142</v>
      </c>
      <c r="H408" s="104" t="s">
        <v>152</v>
      </c>
      <c r="I408" s="104" t="s">
        <v>259</v>
      </c>
      <c r="J408" s="104" t="s">
        <v>246</v>
      </c>
      <c r="K408" s="269">
        <f t="shared" si="76"/>
        <v>69</v>
      </c>
      <c r="L408" s="269">
        <f t="shared" si="76"/>
        <v>73</v>
      </c>
      <c r="M408" s="269">
        <f t="shared" si="76"/>
        <v>66</v>
      </c>
      <c r="N408" s="269">
        <f t="shared" si="76"/>
        <v>67</v>
      </c>
      <c r="O408" s="269">
        <f t="shared" si="76"/>
        <v>65</v>
      </c>
      <c r="P408" s="269">
        <f t="shared" si="75"/>
        <v>70</v>
      </c>
      <c r="Q408" s="269">
        <f t="shared" si="75"/>
        <v>76</v>
      </c>
      <c r="R408" s="269">
        <f t="shared" si="75"/>
        <v>75</v>
      </c>
      <c r="S408" s="269"/>
      <c r="T408" s="269">
        <f t="shared" si="78"/>
        <v>65</v>
      </c>
      <c r="U408" s="269">
        <f t="shared" si="79"/>
        <v>66</v>
      </c>
      <c r="V408" s="269">
        <f t="shared" si="80"/>
        <v>67</v>
      </c>
      <c r="W408" s="269">
        <f t="shared" si="81"/>
        <v>69</v>
      </c>
      <c r="X408" s="269">
        <f t="shared" si="82"/>
        <v>70</v>
      </c>
      <c r="Y408" s="269">
        <f t="shared" si="83"/>
        <v>73</v>
      </c>
      <c r="Z408" s="269">
        <f t="shared" si="84"/>
        <v>75</v>
      </c>
      <c r="AA408" s="269">
        <f t="shared" si="85"/>
        <v>76</v>
      </c>
    </row>
    <row r="409" spans="1:27">
      <c r="A409" s="104">
        <v>408</v>
      </c>
      <c r="B409" s="104" t="str">
        <f t="shared" si="77"/>
        <v>ABCEFIJL</v>
      </c>
      <c r="C409" s="104" t="s">
        <v>151</v>
      </c>
      <c r="D409" s="104" t="s">
        <v>232</v>
      </c>
      <c r="E409" s="104" t="s">
        <v>144</v>
      </c>
      <c r="F409" s="104" t="s">
        <v>145</v>
      </c>
      <c r="G409" s="104" t="s">
        <v>142</v>
      </c>
      <c r="H409" s="104" t="s">
        <v>152</v>
      </c>
      <c r="I409" s="104" t="s">
        <v>259</v>
      </c>
      <c r="J409" s="104" t="s">
        <v>258</v>
      </c>
      <c r="K409" s="269">
        <f t="shared" si="76"/>
        <v>69</v>
      </c>
      <c r="L409" s="269">
        <f t="shared" si="76"/>
        <v>74</v>
      </c>
      <c r="M409" s="269">
        <f t="shared" si="76"/>
        <v>66</v>
      </c>
      <c r="N409" s="269">
        <f t="shared" si="76"/>
        <v>67</v>
      </c>
      <c r="O409" s="269">
        <f t="shared" si="76"/>
        <v>65</v>
      </c>
      <c r="P409" s="269">
        <f t="shared" si="75"/>
        <v>70</v>
      </c>
      <c r="Q409" s="269">
        <f t="shared" si="75"/>
        <v>76</v>
      </c>
      <c r="R409" s="269">
        <f t="shared" si="75"/>
        <v>73</v>
      </c>
      <c r="S409" s="269"/>
      <c r="T409" s="269">
        <f t="shared" si="78"/>
        <v>65</v>
      </c>
      <c r="U409" s="269">
        <f t="shared" si="79"/>
        <v>66</v>
      </c>
      <c r="V409" s="269">
        <f t="shared" si="80"/>
        <v>67</v>
      </c>
      <c r="W409" s="269">
        <f t="shared" si="81"/>
        <v>69</v>
      </c>
      <c r="X409" s="269">
        <f t="shared" si="82"/>
        <v>70</v>
      </c>
      <c r="Y409" s="269">
        <f t="shared" si="83"/>
        <v>73</v>
      </c>
      <c r="Z409" s="269">
        <f t="shared" si="84"/>
        <v>74</v>
      </c>
      <c r="AA409" s="269">
        <f t="shared" si="85"/>
        <v>76</v>
      </c>
    </row>
    <row r="410" spans="1:27">
      <c r="A410" s="104">
        <v>409</v>
      </c>
      <c r="B410" s="104" t="str">
        <f t="shared" si="77"/>
        <v>ABCEFIJK</v>
      </c>
      <c r="C410" s="104" t="s">
        <v>151</v>
      </c>
      <c r="D410" s="104" t="s">
        <v>232</v>
      </c>
      <c r="E410" s="104" t="s">
        <v>144</v>
      </c>
      <c r="F410" s="104" t="s">
        <v>145</v>
      </c>
      <c r="G410" s="104" t="s">
        <v>142</v>
      </c>
      <c r="H410" s="104" t="s">
        <v>152</v>
      </c>
      <c r="I410" s="104" t="s">
        <v>258</v>
      </c>
      <c r="J410" s="104" t="s">
        <v>246</v>
      </c>
      <c r="K410" s="269">
        <f t="shared" si="76"/>
        <v>69</v>
      </c>
      <c r="L410" s="269">
        <f t="shared" si="76"/>
        <v>74</v>
      </c>
      <c r="M410" s="269">
        <f t="shared" si="76"/>
        <v>66</v>
      </c>
      <c r="N410" s="269">
        <f t="shared" si="76"/>
        <v>67</v>
      </c>
      <c r="O410" s="269">
        <f t="shared" si="76"/>
        <v>65</v>
      </c>
      <c r="P410" s="269">
        <f t="shared" si="75"/>
        <v>70</v>
      </c>
      <c r="Q410" s="269">
        <f t="shared" si="75"/>
        <v>73</v>
      </c>
      <c r="R410" s="269">
        <f t="shared" si="75"/>
        <v>75</v>
      </c>
      <c r="S410" s="269"/>
      <c r="T410" s="269">
        <f t="shared" si="78"/>
        <v>65</v>
      </c>
      <c r="U410" s="269">
        <f t="shared" si="79"/>
        <v>66</v>
      </c>
      <c r="V410" s="269">
        <f t="shared" si="80"/>
        <v>67</v>
      </c>
      <c r="W410" s="269">
        <f t="shared" si="81"/>
        <v>69</v>
      </c>
      <c r="X410" s="269">
        <f t="shared" si="82"/>
        <v>70</v>
      </c>
      <c r="Y410" s="269">
        <f t="shared" si="83"/>
        <v>73</v>
      </c>
      <c r="Z410" s="269">
        <f t="shared" si="84"/>
        <v>74</v>
      </c>
      <c r="AA410" s="269">
        <f t="shared" si="85"/>
        <v>75</v>
      </c>
    </row>
    <row r="411" spans="1:27">
      <c r="A411" s="104">
        <v>410</v>
      </c>
      <c r="B411" s="104" t="str">
        <f t="shared" si="77"/>
        <v>ABCEFHKL</v>
      </c>
      <c r="C411" s="104" t="s">
        <v>245</v>
      </c>
      <c r="D411" s="104" t="s">
        <v>151</v>
      </c>
      <c r="E411" s="104" t="s">
        <v>144</v>
      </c>
      <c r="F411" s="104" t="s">
        <v>145</v>
      </c>
      <c r="G411" s="104" t="s">
        <v>142</v>
      </c>
      <c r="H411" s="104" t="s">
        <v>152</v>
      </c>
      <c r="I411" s="104" t="s">
        <v>259</v>
      </c>
      <c r="J411" s="104" t="s">
        <v>246</v>
      </c>
      <c r="K411" s="269">
        <f t="shared" si="76"/>
        <v>72</v>
      </c>
      <c r="L411" s="269">
        <f t="shared" si="76"/>
        <v>69</v>
      </c>
      <c r="M411" s="269">
        <f t="shared" si="76"/>
        <v>66</v>
      </c>
      <c r="N411" s="269">
        <f t="shared" si="76"/>
        <v>67</v>
      </c>
      <c r="O411" s="269">
        <f t="shared" si="76"/>
        <v>65</v>
      </c>
      <c r="P411" s="269">
        <f t="shared" si="75"/>
        <v>70</v>
      </c>
      <c r="Q411" s="269">
        <f t="shared" si="75"/>
        <v>76</v>
      </c>
      <c r="R411" s="269">
        <f t="shared" si="75"/>
        <v>75</v>
      </c>
      <c r="S411" s="269"/>
      <c r="T411" s="269">
        <f t="shared" si="78"/>
        <v>65</v>
      </c>
      <c r="U411" s="269">
        <f t="shared" si="79"/>
        <v>66</v>
      </c>
      <c r="V411" s="269">
        <f t="shared" si="80"/>
        <v>67</v>
      </c>
      <c r="W411" s="269">
        <f t="shared" si="81"/>
        <v>69</v>
      </c>
      <c r="X411" s="269">
        <f t="shared" si="82"/>
        <v>70</v>
      </c>
      <c r="Y411" s="269">
        <f t="shared" si="83"/>
        <v>72</v>
      </c>
      <c r="Z411" s="269">
        <f t="shared" si="84"/>
        <v>75</v>
      </c>
      <c r="AA411" s="269">
        <f t="shared" si="85"/>
        <v>76</v>
      </c>
    </row>
    <row r="412" spans="1:27">
      <c r="A412" s="104">
        <v>411</v>
      </c>
      <c r="B412" s="104" t="str">
        <f t="shared" si="77"/>
        <v>ABCEFHJL</v>
      </c>
      <c r="C412" s="104" t="s">
        <v>245</v>
      </c>
      <c r="D412" s="104" t="s">
        <v>232</v>
      </c>
      <c r="E412" s="104" t="s">
        <v>144</v>
      </c>
      <c r="F412" s="104" t="s">
        <v>145</v>
      </c>
      <c r="G412" s="104" t="s">
        <v>142</v>
      </c>
      <c r="H412" s="104" t="s">
        <v>152</v>
      </c>
      <c r="I412" s="104" t="s">
        <v>259</v>
      </c>
      <c r="J412" s="104" t="s">
        <v>151</v>
      </c>
      <c r="K412" s="269">
        <f t="shared" si="76"/>
        <v>72</v>
      </c>
      <c r="L412" s="269">
        <f t="shared" si="76"/>
        <v>74</v>
      </c>
      <c r="M412" s="269">
        <f t="shared" si="76"/>
        <v>66</v>
      </c>
      <c r="N412" s="269">
        <f t="shared" si="76"/>
        <v>67</v>
      </c>
      <c r="O412" s="269">
        <f t="shared" si="76"/>
        <v>65</v>
      </c>
      <c r="P412" s="269">
        <f t="shared" si="75"/>
        <v>70</v>
      </c>
      <c r="Q412" s="269">
        <f t="shared" si="75"/>
        <v>76</v>
      </c>
      <c r="R412" s="269">
        <f t="shared" si="75"/>
        <v>69</v>
      </c>
      <c r="S412" s="269"/>
      <c r="T412" s="269">
        <f t="shared" si="78"/>
        <v>65</v>
      </c>
      <c r="U412" s="269">
        <f t="shared" si="79"/>
        <v>66</v>
      </c>
      <c r="V412" s="269">
        <f t="shared" si="80"/>
        <v>67</v>
      </c>
      <c r="W412" s="269">
        <f t="shared" si="81"/>
        <v>69</v>
      </c>
      <c r="X412" s="269">
        <f t="shared" si="82"/>
        <v>70</v>
      </c>
      <c r="Y412" s="269">
        <f t="shared" si="83"/>
        <v>72</v>
      </c>
      <c r="Z412" s="269">
        <f t="shared" si="84"/>
        <v>74</v>
      </c>
      <c r="AA412" s="269">
        <f t="shared" si="85"/>
        <v>76</v>
      </c>
    </row>
    <row r="413" spans="1:27">
      <c r="A413" s="104">
        <v>412</v>
      </c>
      <c r="B413" s="104" t="str">
        <f t="shared" si="77"/>
        <v>ABCEFHJK</v>
      </c>
      <c r="C413" s="104" t="s">
        <v>245</v>
      </c>
      <c r="D413" s="104" t="s">
        <v>232</v>
      </c>
      <c r="E413" s="104" t="s">
        <v>144</v>
      </c>
      <c r="F413" s="104" t="s">
        <v>145</v>
      </c>
      <c r="G413" s="104" t="s">
        <v>142</v>
      </c>
      <c r="H413" s="104" t="s">
        <v>152</v>
      </c>
      <c r="I413" s="104" t="s">
        <v>151</v>
      </c>
      <c r="J413" s="104" t="s">
        <v>246</v>
      </c>
      <c r="K413" s="269">
        <f t="shared" si="76"/>
        <v>72</v>
      </c>
      <c r="L413" s="269">
        <f t="shared" si="76"/>
        <v>74</v>
      </c>
      <c r="M413" s="269">
        <f t="shared" si="76"/>
        <v>66</v>
      </c>
      <c r="N413" s="269">
        <f t="shared" si="76"/>
        <v>67</v>
      </c>
      <c r="O413" s="269">
        <f t="shared" si="76"/>
        <v>65</v>
      </c>
      <c r="P413" s="269">
        <f t="shared" si="75"/>
        <v>70</v>
      </c>
      <c r="Q413" s="269">
        <f t="shared" si="75"/>
        <v>69</v>
      </c>
      <c r="R413" s="269">
        <f t="shared" si="75"/>
        <v>75</v>
      </c>
      <c r="S413" s="269"/>
      <c r="T413" s="269">
        <f t="shared" si="78"/>
        <v>65</v>
      </c>
      <c r="U413" s="269">
        <f t="shared" si="79"/>
        <v>66</v>
      </c>
      <c r="V413" s="269">
        <f t="shared" si="80"/>
        <v>67</v>
      </c>
      <c r="W413" s="269">
        <f t="shared" si="81"/>
        <v>69</v>
      </c>
      <c r="X413" s="269">
        <f t="shared" si="82"/>
        <v>70</v>
      </c>
      <c r="Y413" s="269">
        <f t="shared" si="83"/>
        <v>72</v>
      </c>
      <c r="Z413" s="269">
        <f t="shared" si="84"/>
        <v>74</v>
      </c>
      <c r="AA413" s="269">
        <f t="shared" si="85"/>
        <v>75</v>
      </c>
    </row>
    <row r="414" spans="1:27">
      <c r="A414" s="104">
        <v>413</v>
      </c>
      <c r="B414" s="104" t="str">
        <f t="shared" si="77"/>
        <v>ABCEFHIL</v>
      </c>
      <c r="C414" s="104" t="s">
        <v>245</v>
      </c>
      <c r="D414" s="104" t="s">
        <v>151</v>
      </c>
      <c r="E414" s="104" t="s">
        <v>144</v>
      </c>
      <c r="F414" s="104" t="s">
        <v>145</v>
      </c>
      <c r="G414" s="104" t="s">
        <v>142</v>
      </c>
      <c r="H414" s="104" t="s">
        <v>152</v>
      </c>
      <c r="I414" s="104" t="s">
        <v>259</v>
      </c>
      <c r="J414" s="104" t="s">
        <v>258</v>
      </c>
      <c r="K414" s="269">
        <f t="shared" si="76"/>
        <v>72</v>
      </c>
      <c r="L414" s="269">
        <f t="shared" si="76"/>
        <v>69</v>
      </c>
      <c r="M414" s="269">
        <f t="shared" si="76"/>
        <v>66</v>
      </c>
      <c r="N414" s="269">
        <f t="shared" si="76"/>
        <v>67</v>
      </c>
      <c r="O414" s="269">
        <f t="shared" si="76"/>
        <v>65</v>
      </c>
      <c r="P414" s="269">
        <f t="shared" si="75"/>
        <v>70</v>
      </c>
      <c r="Q414" s="269">
        <f t="shared" si="75"/>
        <v>76</v>
      </c>
      <c r="R414" s="269">
        <f t="shared" si="75"/>
        <v>73</v>
      </c>
      <c r="S414" s="269"/>
      <c r="T414" s="269">
        <f t="shared" si="78"/>
        <v>65</v>
      </c>
      <c r="U414" s="269">
        <f t="shared" si="79"/>
        <v>66</v>
      </c>
      <c r="V414" s="269">
        <f t="shared" si="80"/>
        <v>67</v>
      </c>
      <c r="W414" s="269">
        <f t="shared" si="81"/>
        <v>69</v>
      </c>
      <c r="X414" s="269">
        <f t="shared" si="82"/>
        <v>70</v>
      </c>
      <c r="Y414" s="269">
        <f t="shared" si="83"/>
        <v>72</v>
      </c>
      <c r="Z414" s="269">
        <f t="shared" si="84"/>
        <v>73</v>
      </c>
      <c r="AA414" s="269">
        <f t="shared" si="85"/>
        <v>76</v>
      </c>
    </row>
    <row r="415" spans="1:27">
      <c r="A415" s="104">
        <v>414</v>
      </c>
      <c r="B415" s="104" t="str">
        <f t="shared" si="77"/>
        <v>ABCEFHIK</v>
      </c>
      <c r="C415" s="104" t="s">
        <v>245</v>
      </c>
      <c r="D415" s="104" t="s">
        <v>151</v>
      </c>
      <c r="E415" s="104" t="s">
        <v>144</v>
      </c>
      <c r="F415" s="104" t="s">
        <v>145</v>
      </c>
      <c r="G415" s="104" t="s">
        <v>142</v>
      </c>
      <c r="H415" s="104" t="s">
        <v>152</v>
      </c>
      <c r="I415" s="104" t="s">
        <v>258</v>
      </c>
      <c r="J415" s="104" t="s">
        <v>246</v>
      </c>
      <c r="K415" s="269">
        <f t="shared" si="76"/>
        <v>72</v>
      </c>
      <c r="L415" s="269">
        <f t="shared" si="76"/>
        <v>69</v>
      </c>
      <c r="M415" s="269">
        <f t="shared" si="76"/>
        <v>66</v>
      </c>
      <c r="N415" s="269">
        <f t="shared" si="76"/>
        <v>67</v>
      </c>
      <c r="O415" s="269">
        <f t="shared" si="76"/>
        <v>65</v>
      </c>
      <c r="P415" s="269">
        <f t="shared" si="75"/>
        <v>70</v>
      </c>
      <c r="Q415" s="269">
        <f t="shared" si="75"/>
        <v>73</v>
      </c>
      <c r="R415" s="269">
        <f t="shared" si="75"/>
        <v>75</v>
      </c>
      <c r="S415" s="269"/>
      <c r="T415" s="269">
        <f t="shared" si="78"/>
        <v>65</v>
      </c>
      <c r="U415" s="269">
        <f t="shared" si="79"/>
        <v>66</v>
      </c>
      <c r="V415" s="269">
        <f t="shared" si="80"/>
        <v>67</v>
      </c>
      <c r="W415" s="269">
        <f t="shared" si="81"/>
        <v>69</v>
      </c>
      <c r="X415" s="269">
        <f t="shared" si="82"/>
        <v>70</v>
      </c>
      <c r="Y415" s="269">
        <f t="shared" si="83"/>
        <v>72</v>
      </c>
      <c r="Z415" s="269">
        <f t="shared" si="84"/>
        <v>73</v>
      </c>
      <c r="AA415" s="269">
        <f t="shared" si="85"/>
        <v>75</v>
      </c>
    </row>
    <row r="416" spans="1:27">
      <c r="A416" s="104">
        <v>415</v>
      </c>
      <c r="B416" s="104" t="str">
        <f t="shared" si="77"/>
        <v>ABCEFHIJ</v>
      </c>
      <c r="C416" s="104" t="s">
        <v>245</v>
      </c>
      <c r="D416" s="104" t="s">
        <v>232</v>
      </c>
      <c r="E416" s="104" t="s">
        <v>144</v>
      </c>
      <c r="F416" s="104" t="s">
        <v>145</v>
      </c>
      <c r="G416" s="104" t="s">
        <v>142</v>
      </c>
      <c r="H416" s="104" t="s">
        <v>152</v>
      </c>
      <c r="I416" s="104" t="s">
        <v>151</v>
      </c>
      <c r="J416" s="104" t="s">
        <v>258</v>
      </c>
      <c r="K416" s="269">
        <f t="shared" si="76"/>
        <v>72</v>
      </c>
      <c r="L416" s="269">
        <f t="shared" si="76"/>
        <v>74</v>
      </c>
      <c r="M416" s="269">
        <f t="shared" si="76"/>
        <v>66</v>
      </c>
      <c r="N416" s="269">
        <f t="shared" si="76"/>
        <v>67</v>
      </c>
      <c r="O416" s="269">
        <f t="shared" si="76"/>
        <v>65</v>
      </c>
      <c r="P416" s="269">
        <f t="shared" si="75"/>
        <v>70</v>
      </c>
      <c r="Q416" s="269">
        <f t="shared" si="75"/>
        <v>69</v>
      </c>
      <c r="R416" s="269">
        <f t="shared" si="75"/>
        <v>73</v>
      </c>
      <c r="S416" s="269"/>
      <c r="T416" s="269">
        <f t="shared" si="78"/>
        <v>65</v>
      </c>
      <c r="U416" s="269">
        <f t="shared" si="79"/>
        <v>66</v>
      </c>
      <c r="V416" s="269">
        <f t="shared" si="80"/>
        <v>67</v>
      </c>
      <c r="W416" s="269">
        <f t="shared" si="81"/>
        <v>69</v>
      </c>
      <c r="X416" s="269">
        <f t="shared" si="82"/>
        <v>70</v>
      </c>
      <c r="Y416" s="269">
        <f t="shared" si="83"/>
        <v>72</v>
      </c>
      <c r="Z416" s="269">
        <f t="shared" si="84"/>
        <v>73</v>
      </c>
      <c r="AA416" s="269">
        <f t="shared" si="85"/>
        <v>74</v>
      </c>
    </row>
    <row r="417" spans="1:27">
      <c r="A417" s="104">
        <v>416</v>
      </c>
      <c r="B417" s="104" t="str">
        <f t="shared" si="77"/>
        <v>ABCEFGKL</v>
      </c>
      <c r="C417" s="104" t="s">
        <v>151</v>
      </c>
      <c r="D417" s="104" t="s">
        <v>231</v>
      </c>
      <c r="E417" s="104" t="s">
        <v>144</v>
      </c>
      <c r="F417" s="104" t="s">
        <v>145</v>
      </c>
      <c r="G417" s="104" t="s">
        <v>142</v>
      </c>
      <c r="H417" s="104" t="s">
        <v>152</v>
      </c>
      <c r="I417" s="104" t="s">
        <v>259</v>
      </c>
      <c r="J417" s="104" t="s">
        <v>246</v>
      </c>
      <c r="K417" s="269">
        <f t="shared" si="76"/>
        <v>69</v>
      </c>
      <c r="L417" s="269">
        <f t="shared" si="76"/>
        <v>71</v>
      </c>
      <c r="M417" s="269">
        <f t="shared" si="76"/>
        <v>66</v>
      </c>
      <c r="N417" s="269">
        <f t="shared" si="76"/>
        <v>67</v>
      </c>
      <c r="O417" s="269">
        <f t="shared" si="76"/>
        <v>65</v>
      </c>
      <c r="P417" s="269">
        <f t="shared" si="75"/>
        <v>70</v>
      </c>
      <c r="Q417" s="269">
        <f t="shared" si="75"/>
        <v>76</v>
      </c>
      <c r="R417" s="269">
        <f t="shared" si="75"/>
        <v>75</v>
      </c>
      <c r="S417" s="269"/>
      <c r="T417" s="269">
        <f t="shared" si="78"/>
        <v>65</v>
      </c>
      <c r="U417" s="269">
        <f t="shared" si="79"/>
        <v>66</v>
      </c>
      <c r="V417" s="269">
        <f t="shared" si="80"/>
        <v>67</v>
      </c>
      <c r="W417" s="269">
        <f t="shared" si="81"/>
        <v>69</v>
      </c>
      <c r="X417" s="269">
        <f t="shared" si="82"/>
        <v>70</v>
      </c>
      <c r="Y417" s="269">
        <f t="shared" si="83"/>
        <v>71</v>
      </c>
      <c r="Z417" s="269">
        <f t="shared" si="84"/>
        <v>75</v>
      </c>
      <c r="AA417" s="269">
        <f t="shared" si="85"/>
        <v>76</v>
      </c>
    </row>
    <row r="418" spans="1:27">
      <c r="A418" s="104">
        <v>417</v>
      </c>
      <c r="B418" s="104" t="str">
        <f t="shared" si="77"/>
        <v>ABCEFGJL</v>
      </c>
      <c r="C418" s="104" t="s">
        <v>151</v>
      </c>
      <c r="D418" s="104" t="s">
        <v>231</v>
      </c>
      <c r="E418" s="104" t="s">
        <v>144</v>
      </c>
      <c r="F418" s="104" t="s">
        <v>145</v>
      </c>
      <c r="G418" s="104" t="s">
        <v>142</v>
      </c>
      <c r="H418" s="104" t="s">
        <v>152</v>
      </c>
      <c r="I418" s="104" t="s">
        <v>259</v>
      </c>
      <c r="J418" s="104" t="s">
        <v>232</v>
      </c>
      <c r="K418" s="269">
        <f t="shared" si="76"/>
        <v>69</v>
      </c>
      <c r="L418" s="269">
        <f t="shared" si="76"/>
        <v>71</v>
      </c>
      <c r="M418" s="269">
        <f t="shared" si="76"/>
        <v>66</v>
      </c>
      <c r="N418" s="269">
        <f t="shared" si="76"/>
        <v>67</v>
      </c>
      <c r="O418" s="269">
        <f t="shared" si="76"/>
        <v>65</v>
      </c>
      <c r="P418" s="269">
        <f t="shared" si="75"/>
        <v>70</v>
      </c>
      <c r="Q418" s="269">
        <f t="shared" si="75"/>
        <v>76</v>
      </c>
      <c r="R418" s="269">
        <f t="shared" si="75"/>
        <v>74</v>
      </c>
      <c r="S418" s="269"/>
      <c r="T418" s="269">
        <f t="shared" si="78"/>
        <v>65</v>
      </c>
      <c r="U418" s="269">
        <f t="shared" si="79"/>
        <v>66</v>
      </c>
      <c r="V418" s="269">
        <f t="shared" si="80"/>
        <v>67</v>
      </c>
      <c r="W418" s="269">
        <f t="shared" si="81"/>
        <v>69</v>
      </c>
      <c r="X418" s="269">
        <f t="shared" si="82"/>
        <v>70</v>
      </c>
      <c r="Y418" s="269">
        <f t="shared" si="83"/>
        <v>71</v>
      </c>
      <c r="Z418" s="269">
        <f t="shared" si="84"/>
        <v>74</v>
      </c>
      <c r="AA418" s="269">
        <f t="shared" si="85"/>
        <v>76</v>
      </c>
    </row>
    <row r="419" spans="1:27">
      <c r="A419" s="104">
        <v>418</v>
      </c>
      <c r="B419" s="104" t="str">
        <f t="shared" si="77"/>
        <v>ABCEFGJK</v>
      </c>
      <c r="C419" s="104" t="s">
        <v>151</v>
      </c>
      <c r="D419" s="104" t="s">
        <v>231</v>
      </c>
      <c r="E419" s="104" t="s">
        <v>144</v>
      </c>
      <c r="F419" s="104" t="s">
        <v>145</v>
      </c>
      <c r="G419" s="104" t="s">
        <v>142</v>
      </c>
      <c r="H419" s="104" t="s">
        <v>152</v>
      </c>
      <c r="I419" s="104" t="s">
        <v>232</v>
      </c>
      <c r="J419" s="104" t="s">
        <v>246</v>
      </c>
      <c r="K419" s="269">
        <f t="shared" si="76"/>
        <v>69</v>
      </c>
      <c r="L419" s="269">
        <f t="shared" si="76"/>
        <v>71</v>
      </c>
      <c r="M419" s="269">
        <f t="shared" si="76"/>
        <v>66</v>
      </c>
      <c r="N419" s="269">
        <f t="shared" si="76"/>
        <v>67</v>
      </c>
      <c r="O419" s="269">
        <f t="shared" si="76"/>
        <v>65</v>
      </c>
      <c r="P419" s="269">
        <f t="shared" si="75"/>
        <v>70</v>
      </c>
      <c r="Q419" s="269">
        <f t="shared" si="75"/>
        <v>74</v>
      </c>
      <c r="R419" s="269">
        <f t="shared" si="75"/>
        <v>75</v>
      </c>
      <c r="S419" s="269"/>
      <c r="T419" s="269">
        <f t="shared" si="78"/>
        <v>65</v>
      </c>
      <c r="U419" s="269">
        <f t="shared" si="79"/>
        <v>66</v>
      </c>
      <c r="V419" s="269">
        <f t="shared" si="80"/>
        <v>67</v>
      </c>
      <c r="W419" s="269">
        <f t="shared" si="81"/>
        <v>69</v>
      </c>
      <c r="X419" s="269">
        <f t="shared" si="82"/>
        <v>70</v>
      </c>
      <c r="Y419" s="269">
        <f t="shared" si="83"/>
        <v>71</v>
      </c>
      <c r="Z419" s="269">
        <f t="shared" si="84"/>
        <v>74</v>
      </c>
      <c r="AA419" s="269">
        <f t="shared" si="85"/>
        <v>75</v>
      </c>
    </row>
    <row r="420" spans="1:27">
      <c r="A420" s="104">
        <v>419</v>
      </c>
      <c r="B420" s="104" t="str">
        <f t="shared" si="77"/>
        <v>ABCEFGIL</v>
      </c>
      <c r="C420" s="104" t="s">
        <v>151</v>
      </c>
      <c r="D420" s="104" t="s">
        <v>231</v>
      </c>
      <c r="E420" s="104" t="s">
        <v>144</v>
      </c>
      <c r="F420" s="104" t="s">
        <v>145</v>
      </c>
      <c r="G420" s="104" t="s">
        <v>142</v>
      </c>
      <c r="H420" s="104" t="s">
        <v>152</v>
      </c>
      <c r="I420" s="104" t="s">
        <v>259</v>
      </c>
      <c r="J420" s="104" t="s">
        <v>258</v>
      </c>
      <c r="K420" s="269">
        <f t="shared" si="76"/>
        <v>69</v>
      </c>
      <c r="L420" s="269">
        <f t="shared" si="76"/>
        <v>71</v>
      </c>
      <c r="M420" s="269">
        <f t="shared" si="76"/>
        <v>66</v>
      </c>
      <c r="N420" s="269">
        <f t="shared" si="76"/>
        <v>67</v>
      </c>
      <c r="O420" s="269">
        <f t="shared" si="76"/>
        <v>65</v>
      </c>
      <c r="P420" s="269">
        <f t="shared" si="75"/>
        <v>70</v>
      </c>
      <c r="Q420" s="269">
        <f t="shared" si="75"/>
        <v>76</v>
      </c>
      <c r="R420" s="269">
        <f t="shared" si="75"/>
        <v>73</v>
      </c>
      <c r="S420" s="269"/>
      <c r="T420" s="269">
        <f t="shared" si="78"/>
        <v>65</v>
      </c>
      <c r="U420" s="269">
        <f t="shared" si="79"/>
        <v>66</v>
      </c>
      <c r="V420" s="269">
        <f t="shared" si="80"/>
        <v>67</v>
      </c>
      <c r="W420" s="269">
        <f t="shared" si="81"/>
        <v>69</v>
      </c>
      <c r="X420" s="269">
        <f t="shared" si="82"/>
        <v>70</v>
      </c>
      <c r="Y420" s="269">
        <f t="shared" si="83"/>
        <v>71</v>
      </c>
      <c r="Z420" s="269">
        <f t="shared" si="84"/>
        <v>73</v>
      </c>
      <c r="AA420" s="269">
        <f t="shared" si="85"/>
        <v>76</v>
      </c>
    </row>
    <row r="421" spans="1:27">
      <c r="A421" s="104">
        <v>420</v>
      </c>
      <c r="B421" s="104" t="str">
        <f t="shared" si="77"/>
        <v>ABCEFGIK</v>
      </c>
      <c r="C421" s="104" t="s">
        <v>151</v>
      </c>
      <c r="D421" s="104" t="s">
        <v>231</v>
      </c>
      <c r="E421" s="104" t="s">
        <v>144</v>
      </c>
      <c r="F421" s="104" t="s">
        <v>145</v>
      </c>
      <c r="G421" s="104" t="s">
        <v>142</v>
      </c>
      <c r="H421" s="104" t="s">
        <v>152</v>
      </c>
      <c r="I421" s="104" t="s">
        <v>258</v>
      </c>
      <c r="J421" s="104" t="s">
        <v>246</v>
      </c>
      <c r="K421" s="269">
        <f t="shared" ref="K421:K453" si="86">CODE(MID(C421,2,1))</f>
        <v>69</v>
      </c>
      <c r="L421" s="269">
        <f t="shared" ref="L421:L453" si="87">CODE(MID(D421,2,1))</f>
        <v>71</v>
      </c>
      <c r="M421" s="269">
        <f t="shared" ref="M421:M453" si="88">CODE(MID(E421,2,1))</f>
        <v>66</v>
      </c>
      <c r="N421" s="269">
        <f t="shared" ref="N421:N453" si="89">CODE(MID(F421,2,1))</f>
        <v>67</v>
      </c>
      <c r="O421" s="269">
        <f t="shared" ref="O421:O453" si="90">CODE(MID(G421,2,1))</f>
        <v>65</v>
      </c>
      <c r="P421" s="269">
        <f t="shared" si="75"/>
        <v>70</v>
      </c>
      <c r="Q421" s="269">
        <f t="shared" si="75"/>
        <v>73</v>
      </c>
      <c r="R421" s="269">
        <f t="shared" si="75"/>
        <v>75</v>
      </c>
      <c r="S421" s="269"/>
      <c r="T421" s="269">
        <f t="shared" si="78"/>
        <v>65</v>
      </c>
      <c r="U421" s="269">
        <f t="shared" si="79"/>
        <v>66</v>
      </c>
      <c r="V421" s="269">
        <f t="shared" si="80"/>
        <v>67</v>
      </c>
      <c r="W421" s="269">
        <f t="shared" si="81"/>
        <v>69</v>
      </c>
      <c r="X421" s="269">
        <f t="shared" si="82"/>
        <v>70</v>
      </c>
      <c r="Y421" s="269">
        <f t="shared" si="83"/>
        <v>71</v>
      </c>
      <c r="Z421" s="269">
        <f t="shared" si="84"/>
        <v>73</v>
      </c>
      <c r="AA421" s="269">
        <f t="shared" si="85"/>
        <v>75</v>
      </c>
    </row>
    <row r="422" spans="1:27">
      <c r="A422" s="104">
        <v>421</v>
      </c>
      <c r="B422" s="104" t="str">
        <f t="shared" si="77"/>
        <v>ABCEFGIJ</v>
      </c>
      <c r="C422" s="104" t="s">
        <v>151</v>
      </c>
      <c r="D422" s="104" t="s">
        <v>231</v>
      </c>
      <c r="E422" s="104" t="s">
        <v>144</v>
      </c>
      <c r="F422" s="104" t="s">
        <v>145</v>
      </c>
      <c r="G422" s="104" t="s">
        <v>142</v>
      </c>
      <c r="H422" s="104" t="s">
        <v>152</v>
      </c>
      <c r="I422" s="104" t="s">
        <v>258</v>
      </c>
      <c r="J422" s="104" t="s">
        <v>232</v>
      </c>
      <c r="K422" s="269">
        <f t="shared" si="86"/>
        <v>69</v>
      </c>
      <c r="L422" s="269">
        <f t="shared" si="87"/>
        <v>71</v>
      </c>
      <c r="M422" s="269">
        <f t="shared" si="88"/>
        <v>66</v>
      </c>
      <c r="N422" s="269">
        <f t="shared" si="89"/>
        <v>67</v>
      </c>
      <c r="O422" s="269">
        <f t="shared" si="90"/>
        <v>65</v>
      </c>
      <c r="P422" s="269">
        <f t="shared" si="75"/>
        <v>70</v>
      </c>
      <c r="Q422" s="269">
        <f t="shared" si="75"/>
        <v>73</v>
      </c>
      <c r="R422" s="269">
        <f t="shared" si="75"/>
        <v>74</v>
      </c>
      <c r="S422" s="269"/>
      <c r="T422" s="269">
        <f t="shared" si="78"/>
        <v>65</v>
      </c>
      <c r="U422" s="269">
        <f t="shared" si="79"/>
        <v>66</v>
      </c>
      <c r="V422" s="269">
        <f t="shared" si="80"/>
        <v>67</v>
      </c>
      <c r="W422" s="269">
        <f t="shared" si="81"/>
        <v>69</v>
      </c>
      <c r="X422" s="269">
        <f t="shared" si="82"/>
        <v>70</v>
      </c>
      <c r="Y422" s="269">
        <f t="shared" si="83"/>
        <v>71</v>
      </c>
      <c r="Z422" s="269">
        <f t="shared" si="84"/>
        <v>73</v>
      </c>
      <c r="AA422" s="269">
        <f t="shared" si="85"/>
        <v>74</v>
      </c>
    </row>
    <row r="423" spans="1:27">
      <c r="A423" s="104">
        <v>422</v>
      </c>
      <c r="B423" s="104" t="str">
        <f t="shared" si="77"/>
        <v>ABCEFGHL</v>
      </c>
      <c r="C423" s="104" t="s">
        <v>245</v>
      </c>
      <c r="D423" s="104" t="s">
        <v>231</v>
      </c>
      <c r="E423" s="104" t="s">
        <v>144</v>
      </c>
      <c r="F423" s="104" t="s">
        <v>145</v>
      </c>
      <c r="G423" s="104" t="s">
        <v>142</v>
      </c>
      <c r="H423" s="104" t="s">
        <v>152</v>
      </c>
      <c r="I423" s="104" t="s">
        <v>259</v>
      </c>
      <c r="J423" s="104" t="s">
        <v>151</v>
      </c>
      <c r="K423" s="269">
        <f t="shared" si="86"/>
        <v>72</v>
      </c>
      <c r="L423" s="269">
        <f t="shared" si="87"/>
        <v>71</v>
      </c>
      <c r="M423" s="269">
        <f t="shared" si="88"/>
        <v>66</v>
      </c>
      <c r="N423" s="269">
        <f t="shared" si="89"/>
        <v>67</v>
      </c>
      <c r="O423" s="269">
        <f t="shared" si="90"/>
        <v>65</v>
      </c>
      <c r="P423" s="269">
        <f t="shared" si="75"/>
        <v>70</v>
      </c>
      <c r="Q423" s="269">
        <f t="shared" si="75"/>
        <v>76</v>
      </c>
      <c r="R423" s="269">
        <f t="shared" si="75"/>
        <v>69</v>
      </c>
      <c r="S423" s="269"/>
      <c r="T423" s="269">
        <f t="shared" si="78"/>
        <v>65</v>
      </c>
      <c r="U423" s="269">
        <f t="shared" si="79"/>
        <v>66</v>
      </c>
      <c r="V423" s="269">
        <f t="shared" si="80"/>
        <v>67</v>
      </c>
      <c r="W423" s="269">
        <f t="shared" si="81"/>
        <v>69</v>
      </c>
      <c r="X423" s="269">
        <f t="shared" si="82"/>
        <v>70</v>
      </c>
      <c r="Y423" s="269">
        <f t="shared" si="83"/>
        <v>71</v>
      </c>
      <c r="Z423" s="269">
        <f t="shared" si="84"/>
        <v>72</v>
      </c>
      <c r="AA423" s="269">
        <f t="shared" si="85"/>
        <v>76</v>
      </c>
    </row>
    <row r="424" spans="1:27">
      <c r="A424" s="104">
        <v>423</v>
      </c>
      <c r="B424" s="104" t="str">
        <f t="shared" si="77"/>
        <v>ABCEFGHK</v>
      </c>
      <c r="C424" s="104" t="s">
        <v>245</v>
      </c>
      <c r="D424" s="104" t="s">
        <v>231</v>
      </c>
      <c r="E424" s="104" t="s">
        <v>144</v>
      </c>
      <c r="F424" s="104" t="s">
        <v>145</v>
      </c>
      <c r="G424" s="104" t="s">
        <v>142</v>
      </c>
      <c r="H424" s="104" t="s">
        <v>152</v>
      </c>
      <c r="I424" s="104" t="s">
        <v>151</v>
      </c>
      <c r="J424" s="104" t="s">
        <v>246</v>
      </c>
      <c r="K424" s="269">
        <f t="shared" si="86"/>
        <v>72</v>
      </c>
      <c r="L424" s="269">
        <f t="shared" si="87"/>
        <v>71</v>
      </c>
      <c r="M424" s="269">
        <f t="shared" si="88"/>
        <v>66</v>
      </c>
      <c r="N424" s="269">
        <f t="shared" si="89"/>
        <v>67</v>
      </c>
      <c r="O424" s="269">
        <f t="shared" si="90"/>
        <v>65</v>
      </c>
      <c r="P424" s="269">
        <f t="shared" si="75"/>
        <v>70</v>
      </c>
      <c r="Q424" s="269">
        <f t="shared" si="75"/>
        <v>69</v>
      </c>
      <c r="R424" s="269">
        <f t="shared" si="75"/>
        <v>75</v>
      </c>
      <c r="S424" s="269"/>
      <c r="T424" s="269">
        <f t="shared" si="78"/>
        <v>65</v>
      </c>
      <c r="U424" s="269">
        <f t="shared" si="79"/>
        <v>66</v>
      </c>
      <c r="V424" s="269">
        <f t="shared" si="80"/>
        <v>67</v>
      </c>
      <c r="W424" s="269">
        <f t="shared" si="81"/>
        <v>69</v>
      </c>
      <c r="X424" s="269">
        <f t="shared" si="82"/>
        <v>70</v>
      </c>
      <c r="Y424" s="269">
        <f t="shared" si="83"/>
        <v>71</v>
      </c>
      <c r="Z424" s="269">
        <f t="shared" si="84"/>
        <v>72</v>
      </c>
      <c r="AA424" s="269">
        <f t="shared" si="85"/>
        <v>75</v>
      </c>
    </row>
    <row r="425" spans="1:27">
      <c r="A425" s="104">
        <v>424</v>
      </c>
      <c r="B425" s="104" t="str">
        <f t="shared" si="77"/>
        <v>ABCEFGHJ</v>
      </c>
      <c r="C425" s="104" t="s">
        <v>245</v>
      </c>
      <c r="D425" s="104" t="s">
        <v>231</v>
      </c>
      <c r="E425" s="104" t="s">
        <v>144</v>
      </c>
      <c r="F425" s="104" t="s">
        <v>145</v>
      </c>
      <c r="G425" s="104" t="s">
        <v>142</v>
      </c>
      <c r="H425" s="104" t="s">
        <v>152</v>
      </c>
      <c r="I425" s="104" t="s">
        <v>151</v>
      </c>
      <c r="J425" s="104" t="s">
        <v>232</v>
      </c>
      <c r="K425" s="269">
        <f t="shared" si="86"/>
        <v>72</v>
      </c>
      <c r="L425" s="269">
        <f t="shared" si="87"/>
        <v>71</v>
      </c>
      <c r="M425" s="269">
        <f t="shared" si="88"/>
        <v>66</v>
      </c>
      <c r="N425" s="269">
        <f t="shared" si="89"/>
        <v>67</v>
      </c>
      <c r="O425" s="269">
        <f t="shared" si="90"/>
        <v>65</v>
      </c>
      <c r="P425" s="269">
        <f t="shared" ref="P425:P453" si="91">CODE(MID(H425,2,1))</f>
        <v>70</v>
      </c>
      <c r="Q425" s="269">
        <f t="shared" ref="Q425:Q453" si="92">CODE(MID(I425,2,1))</f>
        <v>69</v>
      </c>
      <c r="R425" s="269">
        <f t="shared" ref="R425:R453" si="93">CODE(MID(J425,2,1))</f>
        <v>74</v>
      </c>
      <c r="S425" s="269"/>
      <c r="T425" s="269">
        <f t="shared" si="78"/>
        <v>65</v>
      </c>
      <c r="U425" s="269">
        <f t="shared" si="79"/>
        <v>66</v>
      </c>
      <c r="V425" s="269">
        <f t="shared" si="80"/>
        <v>67</v>
      </c>
      <c r="W425" s="269">
        <f t="shared" si="81"/>
        <v>69</v>
      </c>
      <c r="X425" s="269">
        <f t="shared" si="82"/>
        <v>70</v>
      </c>
      <c r="Y425" s="269">
        <f t="shared" si="83"/>
        <v>71</v>
      </c>
      <c r="Z425" s="269">
        <f t="shared" si="84"/>
        <v>72</v>
      </c>
      <c r="AA425" s="269">
        <f t="shared" si="85"/>
        <v>74</v>
      </c>
    </row>
    <row r="426" spans="1:27">
      <c r="A426" s="104">
        <v>425</v>
      </c>
      <c r="B426" s="104" t="str">
        <f t="shared" si="77"/>
        <v>ABCEFGHI</v>
      </c>
      <c r="C426" s="104" t="s">
        <v>245</v>
      </c>
      <c r="D426" s="104" t="s">
        <v>231</v>
      </c>
      <c r="E426" s="104" t="s">
        <v>144</v>
      </c>
      <c r="F426" s="104" t="s">
        <v>145</v>
      </c>
      <c r="G426" s="104" t="s">
        <v>142</v>
      </c>
      <c r="H426" s="104" t="s">
        <v>152</v>
      </c>
      <c r="I426" s="104" t="s">
        <v>151</v>
      </c>
      <c r="J426" s="104" t="s">
        <v>258</v>
      </c>
      <c r="K426" s="269">
        <f t="shared" si="86"/>
        <v>72</v>
      </c>
      <c r="L426" s="269">
        <f t="shared" si="87"/>
        <v>71</v>
      </c>
      <c r="M426" s="269">
        <f t="shared" si="88"/>
        <v>66</v>
      </c>
      <c r="N426" s="269">
        <f t="shared" si="89"/>
        <v>67</v>
      </c>
      <c r="O426" s="269">
        <f t="shared" si="90"/>
        <v>65</v>
      </c>
      <c r="P426" s="269">
        <f t="shared" si="91"/>
        <v>70</v>
      </c>
      <c r="Q426" s="269">
        <f t="shared" si="92"/>
        <v>69</v>
      </c>
      <c r="R426" s="269">
        <f t="shared" si="93"/>
        <v>73</v>
      </c>
      <c r="S426" s="269"/>
      <c r="T426" s="269">
        <f t="shared" si="78"/>
        <v>65</v>
      </c>
      <c r="U426" s="269">
        <f t="shared" si="79"/>
        <v>66</v>
      </c>
      <c r="V426" s="269">
        <f t="shared" si="80"/>
        <v>67</v>
      </c>
      <c r="W426" s="269">
        <f t="shared" si="81"/>
        <v>69</v>
      </c>
      <c r="X426" s="269">
        <f t="shared" si="82"/>
        <v>70</v>
      </c>
      <c r="Y426" s="269">
        <f t="shared" si="83"/>
        <v>71</v>
      </c>
      <c r="Z426" s="269">
        <f t="shared" si="84"/>
        <v>72</v>
      </c>
      <c r="AA426" s="269">
        <f t="shared" si="85"/>
        <v>73</v>
      </c>
    </row>
    <row r="427" spans="1:27">
      <c r="A427" s="104">
        <v>426</v>
      </c>
      <c r="B427" s="104" t="str">
        <f t="shared" si="77"/>
        <v>ABCDIJKL</v>
      </c>
      <c r="C427" s="104" t="s">
        <v>258</v>
      </c>
      <c r="D427" s="104" t="s">
        <v>232</v>
      </c>
      <c r="E427" s="104" t="s">
        <v>144</v>
      </c>
      <c r="F427" s="104" t="s">
        <v>145</v>
      </c>
      <c r="G427" s="104" t="s">
        <v>142</v>
      </c>
      <c r="H427" s="104" t="s">
        <v>150</v>
      </c>
      <c r="I427" s="104" t="s">
        <v>259</v>
      </c>
      <c r="J427" s="104" t="s">
        <v>246</v>
      </c>
      <c r="K427" s="269">
        <f t="shared" si="86"/>
        <v>73</v>
      </c>
      <c r="L427" s="269">
        <f t="shared" si="87"/>
        <v>74</v>
      </c>
      <c r="M427" s="269">
        <f t="shared" si="88"/>
        <v>66</v>
      </c>
      <c r="N427" s="269">
        <f t="shared" si="89"/>
        <v>67</v>
      </c>
      <c r="O427" s="269">
        <f t="shared" si="90"/>
        <v>65</v>
      </c>
      <c r="P427" s="269">
        <f t="shared" si="91"/>
        <v>68</v>
      </c>
      <c r="Q427" s="269">
        <f t="shared" si="92"/>
        <v>76</v>
      </c>
      <c r="R427" s="269">
        <f t="shared" si="93"/>
        <v>75</v>
      </c>
      <c r="S427" s="269"/>
      <c r="T427" s="269">
        <f t="shared" si="78"/>
        <v>65</v>
      </c>
      <c r="U427" s="269">
        <f t="shared" si="79"/>
        <v>66</v>
      </c>
      <c r="V427" s="269">
        <f t="shared" si="80"/>
        <v>67</v>
      </c>
      <c r="W427" s="269">
        <f t="shared" si="81"/>
        <v>68</v>
      </c>
      <c r="X427" s="269">
        <f t="shared" si="82"/>
        <v>73</v>
      </c>
      <c r="Y427" s="269">
        <f t="shared" si="83"/>
        <v>74</v>
      </c>
      <c r="Z427" s="269">
        <f t="shared" si="84"/>
        <v>75</v>
      </c>
      <c r="AA427" s="269">
        <f t="shared" si="85"/>
        <v>76</v>
      </c>
    </row>
    <row r="428" spans="1:27">
      <c r="A428" s="104">
        <v>427</v>
      </c>
      <c r="B428" s="104" t="str">
        <f t="shared" si="77"/>
        <v>ABCDHJKL</v>
      </c>
      <c r="C428" s="104" t="s">
        <v>245</v>
      </c>
      <c r="D428" s="104" t="s">
        <v>232</v>
      </c>
      <c r="E428" s="104" t="s">
        <v>144</v>
      </c>
      <c r="F428" s="104" t="s">
        <v>145</v>
      </c>
      <c r="G428" s="104" t="s">
        <v>142</v>
      </c>
      <c r="H428" s="104" t="s">
        <v>150</v>
      </c>
      <c r="I428" s="104" t="s">
        <v>259</v>
      </c>
      <c r="J428" s="104" t="s">
        <v>246</v>
      </c>
      <c r="K428" s="269">
        <f t="shared" si="86"/>
        <v>72</v>
      </c>
      <c r="L428" s="269">
        <f t="shared" si="87"/>
        <v>74</v>
      </c>
      <c r="M428" s="269">
        <f t="shared" si="88"/>
        <v>66</v>
      </c>
      <c r="N428" s="269">
        <f t="shared" si="89"/>
        <v>67</v>
      </c>
      <c r="O428" s="269">
        <f t="shared" si="90"/>
        <v>65</v>
      </c>
      <c r="P428" s="269">
        <f t="shared" si="91"/>
        <v>68</v>
      </c>
      <c r="Q428" s="269">
        <f t="shared" si="92"/>
        <v>76</v>
      </c>
      <c r="R428" s="269">
        <f t="shared" si="93"/>
        <v>75</v>
      </c>
      <c r="S428" s="269"/>
      <c r="T428" s="269">
        <f t="shared" si="78"/>
        <v>65</v>
      </c>
      <c r="U428" s="269">
        <f t="shared" si="79"/>
        <v>66</v>
      </c>
      <c r="V428" s="269">
        <f t="shared" si="80"/>
        <v>67</v>
      </c>
      <c r="W428" s="269">
        <f t="shared" si="81"/>
        <v>68</v>
      </c>
      <c r="X428" s="269">
        <f t="shared" si="82"/>
        <v>72</v>
      </c>
      <c r="Y428" s="269">
        <f t="shared" si="83"/>
        <v>74</v>
      </c>
      <c r="Z428" s="269">
        <f t="shared" si="84"/>
        <v>75</v>
      </c>
      <c r="AA428" s="269">
        <f t="shared" si="85"/>
        <v>76</v>
      </c>
    </row>
    <row r="429" spans="1:27">
      <c r="A429" s="104">
        <v>428</v>
      </c>
      <c r="B429" s="104" t="str">
        <f t="shared" si="77"/>
        <v>ABCDHIKL</v>
      </c>
      <c r="C429" s="104" t="s">
        <v>245</v>
      </c>
      <c r="D429" s="104" t="s">
        <v>258</v>
      </c>
      <c r="E429" s="104" t="s">
        <v>144</v>
      </c>
      <c r="F429" s="104" t="s">
        <v>145</v>
      </c>
      <c r="G429" s="104" t="s">
        <v>142</v>
      </c>
      <c r="H429" s="104" t="s">
        <v>150</v>
      </c>
      <c r="I429" s="104" t="s">
        <v>259</v>
      </c>
      <c r="J429" s="104" t="s">
        <v>246</v>
      </c>
      <c r="K429" s="269">
        <f t="shared" si="86"/>
        <v>72</v>
      </c>
      <c r="L429" s="269">
        <f t="shared" si="87"/>
        <v>73</v>
      </c>
      <c r="M429" s="269">
        <f t="shared" si="88"/>
        <v>66</v>
      </c>
      <c r="N429" s="269">
        <f t="shared" si="89"/>
        <v>67</v>
      </c>
      <c r="O429" s="269">
        <f t="shared" si="90"/>
        <v>65</v>
      </c>
      <c r="P429" s="269">
        <f t="shared" si="91"/>
        <v>68</v>
      </c>
      <c r="Q429" s="269">
        <f t="shared" si="92"/>
        <v>76</v>
      </c>
      <c r="R429" s="269">
        <f t="shared" si="93"/>
        <v>75</v>
      </c>
      <c r="S429" s="269"/>
      <c r="T429" s="269">
        <f t="shared" si="78"/>
        <v>65</v>
      </c>
      <c r="U429" s="269">
        <f t="shared" si="79"/>
        <v>66</v>
      </c>
      <c r="V429" s="269">
        <f t="shared" si="80"/>
        <v>67</v>
      </c>
      <c r="W429" s="269">
        <f t="shared" si="81"/>
        <v>68</v>
      </c>
      <c r="X429" s="269">
        <f t="shared" si="82"/>
        <v>72</v>
      </c>
      <c r="Y429" s="269">
        <f t="shared" si="83"/>
        <v>73</v>
      </c>
      <c r="Z429" s="269">
        <f t="shared" si="84"/>
        <v>75</v>
      </c>
      <c r="AA429" s="269">
        <f t="shared" si="85"/>
        <v>76</v>
      </c>
    </row>
    <row r="430" spans="1:27">
      <c r="A430" s="104">
        <v>429</v>
      </c>
      <c r="B430" s="104" t="str">
        <f t="shared" si="77"/>
        <v>ABCDHIJL</v>
      </c>
      <c r="C430" s="104" t="s">
        <v>245</v>
      </c>
      <c r="D430" s="104" t="s">
        <v>232</v>
      </c>
      <c r="E430" s="104" t="s">
        <v>144</v>
      </c>
      <c r="F430" s="104" t="s">
        <v>145</v>
      </c>
      <c r="G430" s="104" t="s">
        <v>142</v>
      </c>
      <c r="H430" s="104" t="s">
        <v>150</v>
      </c>
      <c r="I430" s="104" t="s">
        <v>259</v>
      </c>
      <c r="J430" s="104" t="s">
        <v>258</v>
      </c>
      <c r="K430" s="269">
        <f t="shared" si="86"/>
        <v>72</v>
      </c>
      <c r="L430" s="269">
        <f t="shared" si="87"/>
        <v>74</v>
      </c>
      <c r="M430" s="269">
        <f t="shared" si="88"/>
        <v>66</v>
      </c>
      <c r="N430" s="269">
        <f t="shared" si="89"/>
        <v>67</v>
      </c>
      <c r="O430" s="269">
        <f t="shared" si="90"/>
        <v>65</v>
      </c>
      <c r="P430" s="269">
        <f t="shared" si="91"/>
        <v>68</v>
      </c>
      <c r="Q430" s="269">
        <f t="shared" si="92"/>
        <v>76</v>
      </c>
      <c r="R430" s="269">
        <f t="shared" si="93"/>
        <v>73</v>
      </c>
      <c r="S430" s="269"/>
      <c r="T430" s="269">
        <f t="shared" si="78"/>
        <v>65</v>
      </c>
      <c r="U430" s="269">
        <f t="shared" si="79"/>
        <v>66</v>
      </c>
      <c r="V430" s="269">
        <f t="shared" si="80"/>
        <v>67</v>
      </c>
      <c r="W430" s="269">
        <f t="shared" si="81"/>
        <v>68</v>
      </c>
      <c r="X430" s="269">
        <f t="shared" si="82"/>
        <v>72</v>
      </c>
      <c r="Y430" s="269">
        <f t="shared" si="83"/>
        <v>73</v>
      </c>
      <c r="Z430" s="269">
        <f t="shared" si="84"/>
        <v>74</v>
      </c>
      <c r="AA430" s="269">
        <f t="shared" si="85"/>
        <v>76</v>
      </c>
    </row>
    <row r="431" spans="1:27">
      <c r="A431" s="104">
        <v>430</v>
      </c>
      <c r="B431" s="104" t="str">
        <f t="shared" si="77"/>
        <v>ABCDHIJK</v>
      </c>
      <c r="C431" s="104" t="s">
        <v>245</v>
      </c>
      <c r="D431" s="104" t="s">
        <v>232</v>
      </c>
      <c r="E431" s="104" t="s">
        <v>144</v>
      </c>
      <c r="F431" s="104" t="s">
        <v>145</v>
      </c>
      <c r="G431" s="104" t="s">
        <v>142</v>
      </c>
      <c r="H431" s="104" t="s">
        <v>150</v>
      </c>
      <c r="I431" s="104" t="s">
        <v>258</v>
      </c>
      <c r="J431" s="104" t="s">
        <v>246</v>
      </c>
      <c r="K431" s="269">
        <f t="shared" si="86"/>
        <v>72</v>
      </c>
      <c r="L431" s="269">
        <f t="shared" si="87"/>
        <v>74</v>
      </c>
      <c r="M431" s="269">
        <f t="shared" si="88"/>
        <v>66</v>
      </c>
      <c r="N431" s="269">
        <f t="shared" si="89"/>
        <v>67</v>
      </c>
      <c r="O431" s="269">
        <f t="shared" si="90"/>
        <v>65</v>
      </c>
      <c r="P431" s="269">
        <f t="shared" si="91"/>
        <v>68</v>
      </c>
      <c r="Q431" s="269">
        <f t="shared" si="92"/>
        <v>73</v>
      </c>
      <c r="R431" s="269">
        <f t="shared" si="93"/>
        <v>75</v>
      </c>
      <c r="S431" s="269"/>
      <c r="T431" s="269">
        <f t="shared" si="78"/>
        <v>65</v>
      </c>
      <c r="U431" s="269">
        <f t="shared" si="79"/>
        <v>66</v>
      </c>
      <c r="V431" s="269">
        <f t="shared" si="80"/>
        <v>67</v>
      </c>
      <c r="W431" s="269">
        <f t="shared" si="81"/>
        <v>68</v>
      </c>
      <c r="X431" s="269">
        <f t="shared" si="82"/>
        <v>72</v>
      </c>
      <c r="Y431" s="269">
        <f t="shared" si="83"/>
        <v>73</v>
      </c>
      <c r="Z431" s="269">
        <f t="shared" si="84"/>
        <v>74</v>
      </c>
      <c r="AA431" s="269">
        <f t="shared" si="85"/>
        <v>75</v>
      </c>
    </row>
    <row r="432" spans="1:27">
      <c r="A432" s="104">
        <v>431</v>
      </c>
      <c r="B432" s="104" t="str">
        <f t="shared" si="77"/>
        <v>ABCDGJKL</v>
      </c>
      <c r="C432" s="104" t="s">
        <v>145</v>
      </c>
      <c r="D432" s="104" t="s">
        <v>232</v>
      </c>
      <c r="E432" s="104" t="s">
        <v>144</v>
      </c>
      <c r="F432" s="104" t="s">
        <v>150</v>
      </c>
      <c r="G432" s="104" t="s">
        <v>142</v>
      </c>
      <c r="H432" s="104" t="s">
        <v>231</v>
      </c>
      <c r="I432" s="104" t="s">
        <v>259</v>
      </c>
      <c r="J432" s="104" t="s">
        <v>246</v>
      </c>
      <c r="K432" s="269">
        <f t="shared" si="86"/>
        <v>67</v>
      </c>
      <c r="L432" s="269">
        <f t="shared" si="87"/>
        <v>74</v>
      </c>
      <c r="M432" s="269">
        <f t="shared" si="88"/>
        <v>66</v>
      </c>
      <c r="N432" s="269">
        <f t="shared" si="89"/>
        <v>68</v>
      </c>
      <c r="O432" s="269">
        <f t="shared" si="90"/>
        <v>65</v>
      </c>
      <c r="P432" s="269">
        <f t="shared" si="91"/>
        <v>71</v>
      </c>
      <c r="Q432" s="269">
        <f t="shared" si="92"/>
        <v>76</v>
      </c>
      <c r="R432" s="269">
        <f t="shared" si="93"/>
        <v>75</v>
      </c>
      <c r="S432" s="269"/>
      <c r="T432" s="269">
        <f t="shared" si="78"/>
        <v>65</v>
      </c>
      <c r="U432" s="269">
        <f t="shared" si="79"/>
        <v>66</v>
      </c>
      <c r="V432" s="269">
        <f t="shared" si="80"/>
        <v>67</v>
      </c>
      <c r="W432" s="269">
        <f t="shared" si="81"/>
        <v>68</v>
      </c>
      <c r="X432" s="269">
        <f t="shared" si="82"/>
        <v>71</v>
      </c>
      <c r="Y432" s="269">
        <f t="shared" si="83"/>
        <v>74</v>
      </c>
      <c r="Z432" s="269">
        <f t="shared" si="84"/>
        <v>75</v>
      </c>
      <c r="AA432" s="269">
        <f t="shared" si="85"/>
        <v>76</v>
      </c>
    </row>
    <row r="433" spans="1:27">
      <c r="A433" s="104">
        <v>432</v>
      </c>
      <c r="B433" s="104" t="str">
        <f t="shared" si="77"/>
        <v>ABCDGIKL</v>
      </c>
      <c r="C433" s="104" t="s">
        <v>258</v>
      </c>
      <c r="D433" s="104" t="s">
        <v>231</v>
      </c>
      <c r="E433" s="104" t="s">
        <v>144</v>
      </c>
      <c r="F433" s="104" t="s">
        <v>145</v>
      </c>
      <c r="G433" s="104" t="s">
        <v>142</v>
      </c>
      <c r="H433" s="104" t="s">
        <v>150</v>
      </c>
      <c r="I433" s="104" t="s">
        <v>259</v>
      </c>
      <c r="J433" s="104" t="s">
        <v>246</v>
      </c>
      <c r="K433" s="269">
        <f t="shared" si="86"/>
        <v>73</v>
      </c>
      <c r="L433" s="269">
        <f t="shared" si="87"/>
        <v>71</v>
      </c>
      <c r="M433" s="269">
        <f t="shared" si="88"/>
        <v>66</v>
      </c>
      <c r="N433" s="269">
        <f t="shared" si="89"/>
        <v>67</v>
      </c>
      <c r="O433" s="269">
        <f t="shared" si="90"/>
        <v>65</v>
      </c>
      <c r="P433" s="269">
        <f t="shared" si="91"/>
        <v>68</v>
      </c>
      <c r="Q433" s="269">
        <f t="shared" si="92"/>
        <v>76</v>
      </c>
      <c r="R433" s="269">
        <f t="shared" si="93"/>
        <v>75</v>
      </c>
      <c r="S433" s="269"/>
      <c r="T433" s="269">
        <f t="shared" si="78"/>
        <v>65</v>
      </c>
      <c r="U433" s="269">
        <f t="shared" si="79"/>
        <v>66</v>
      </c>
      <c r="V433" s="269">
        <f t="shared" si="80"/>
        <v>67</v>
      </c>
      <c r="W433" s="269">
        <f t="shared" si="81"/>
        <v>68</v>
      </c>
      <c r="X433" s="269">
        <f t="shared" si="82"/>
        <v>71</v>
      </c>
      <c r="Y433" s="269">
        <f t="shared" si="83"/>
        <v>73</v>
      </c>
      <c r="Z433" s="269">
        <f t="shared" si="84"/>
        <v>75</v>
      </c>
      <c r="AA433" s="269">
        <f t="shared" si="85"/>
        <v>76</v>
      </c>
    </row>
    <row r="434" spans="1:27">
      <c r="A434" s="104">
        <v>433</v>
      </c>
      <c r="B434" s="104" t="str">
        <f t="shared" si="77"/>
        <v>ABCDGIJL</v>
      </c>
      <c r="C434" s="104" t="s">
        <v>145</v>
      </c>
      <c r="D434" s="104" t="s">
        <v>232</v>
      </c>
      <c r="E434" s="104" t="s">
        <v>144</v>
      </c>
      <c r="F434" s="104" t="s">
        <v>150</v>
      </c>
      <c r="G434" s="104" t="s">
        <v>142</v>
      </c>
      <c r="H434" s="104" t="s">
        <v>231</v>
      </c>
      <c r="I434" s="104" t="s">
        <v>259</v>
      </c>
      <c r="J434" s="104" t="s">
        <v>258</v>
      </c>
      <c r="K434" s="269">
        <f t="shared" si="86"/>
        <v>67</v>
      </c>
      <c r="L434" s="269">
        <f t="shared" si="87"/>
        <v>74</v>
      </c>
      <c r="M434" s="269">
        <f t="shared" si="88"/>
        <v>66</v>
      </c>
      <c r="N434" s="269">
        <f t="shared" si="89"/>
        <v>68</v>
      </c>
      <c r="O434" s="269">
        <f t="shared" si="90"/>
        <v>65</v>
      </c>
      <c r="P434" s="269">
        <f t="shared" si="91"/>
        <v>71</v>
      </c>
      <c r="Q434" s="269">
        <f t="shared" si="92"/>
        <v>76</v>
      </c>
      <c r="R434" s="269">
        <f t="shared" si="93"/>
        <v>73</v>
      </c>
      <c r="S434" s="269"/>
      <c r="T434" s="269">
        <f t="shared" si="78"/>
        <v>65</v>
      </c>
      <c r="U434" s="269">
        <f t="shared" si="79"/>
        <v>66</v>
      </c>
      <c r="V434" s="269">
        <f t="shared" si="80"/>
        <v>67</v>
      </c>
      <c r="W434" s="269">
        <f t="shared" si="81"/>
        <v>68</v>
      </c>
      <c r="X434" s="269">
        <f t="shared" si="82"/>
        <v>71</v>
      </c>
      <c r="Y434" s="269">
        <f t="shared" si="83"/>
        <v>73</v>
      </c>
      <c r="Z434" s="269">
        <f t="shared" si="84"/>
        <v>74</v>
      </c>
      <c r="AA434" s="269">
        <f t="shared" si="85"/>
        <v>76</v>
      </c>
    </row>
    <row r="435" spans="1:27">
      <c r="A435" s="104">
        <v>434</v>
      </c>
      <c r="B435" s="104" t="str">
        <f t="shared" si="77"/>
        <v>ABCDGIJK</v>
      </c>
      <c r="C435" s="104" t="s">
        <v>145</v>
      </c>
      <c r="D435" s="104" t="s">
        <v>232</v>
      </c>
      <c r="E435" s="104" t="s">
        <v>144</v>
      </c>
      <c r="F435" s="104" t="s">
        <v>150</v>
      </c>
      <c r="G435" s="104" t="s">
        <v>142</v>
      </c>
      <c r="H435" s="104" t="s">
        <v>231</v>
      </c>
      <c r="I435" s="104" t="s">
        <v>258</v>
      </c>
      <c r="J435" s="104" t="s">
        <v>246</v>
      </c>
      <c r="K435" s="269">
        <f t="shared" si="86"/>
        <v>67</v>
      </c>
      <c r="L435" s="269">
        <f t="shared" si="87"/>
        <v>74</v>
      </c>
      <c r="M435" s="269">
        <f t="shared" si="88"/>
        <v>66</v>
      </c>
      <c r="N435" s="269">
        <f t="shared" si="89"/>
        <v>68</v>
      </c>
      <c r="O435" s="269">
        <f t="shared" si="90"/>
        <v>65</v>
      </c>
      <c r="P435" s="269">
        <f t="shared" si="91"/>
        <v>71</v>
      </c>
      <c r="Q435" s="269">
        <f t="shared" si="92"/>
        <v>73</v>
      </c>
      <c r="R435" s="269">
        <f t="shared" si="93"/>
        <v>75</v>
      </c>
      <c r="S435" s="269"/>
      <c r="T435" s="269">
        <f t="shared" si="78"/>
        <v>65</v>
      </c>
      <c r="U435" s="269">
        <f t="shared" si="79"/>
        <v>66</v>
      </c>
      <c r="V435" s="269">
        <f t="shared" si="80"/>
        <v>67</v>
      </c>
      <c r="W435" s="269">
        <f t="shared" si="81"/>
        <v>68</v>
      </c>
      <c r="X435" s="269">
        <f t="shared" si="82"/>
        <v>71</v>
      </c>
      <c r="Y435" s="269">
        <f t="shared" si="83"/>
        <v>73</v>
      </c>
      <c r="Z435" s="269">
        <f t="shared" si="84"/>
        <v>74</v>
      </c>
      <c r="AA435" s="269">
        <f t="shared" si="85"/>
        <v>75</v>
      </c>
    </row>
    <row r="436" spans="1:27">
      <c r="A436" s="104">
        <v>435</v>
      </c>
      <c r="B436" s="104" t="str">
        <f t="shared" si="77"/>
        <v>ABCDGHKL</v>
      </c>
      <c r="C436" s="104" t="s">
        <v>245</v>
      </c>
      <c r="D436" s="104" t="s">
        <v>231</v>
      </c>
      <c r="E436" s="104" t="s">
        <v>144</v>
      </c>
      <c r="F436" s="104" t="s">
        <v>145</v>
      </c>
      <c r="G436" s="104" t="s">
        <v>142</v>
      </c>
      <c r="H436" s="104" t="s">
        <v>150</v>
      </c>
      <c r="I436" s="104" t="s">
        <v>259</v>
      </c>
      <c r="J436" s="104" t="s">
        <v>246</v>
      </c>
      <c r="K436" s="269">
        <f t="shared" si="86"/>
        <v>72</v>
      </c>
      <c r="L436" s="269">
        <f t="shared" si="87"/>
        <v>71</v>
      </c>
      <c r="M436" s="269">
        <f t="shared" si="88"/>
        <v>66</v>
      </c>
      <c r="N436" s="269">
        <f t="shared" si="89"/>
        <v>67</v>
      </c>
      <c r="O436" s="269">
        <f t="shared" si="90"/>
        <v>65</v>
      </c>
      <c r="P436" s="269">
        <f t="shared" si="91"/>
        <v>68</v>
      </c>
      <c r="Q436" s="269">
        <f t="shared" si="92"/>
        <v>76</v>
      </c>
      <c r="R436" s="269">
        <f t="shared" si="93"/>
        <v>75</v>
      </c>
      <c r="S436" s="269"/>
      <c r="T436" s="269">
        <f t="shared" si="78"/>
        <v>65</v>
      </c>
      <c r="U436" s="269">
        <f t="shared" si="79"/>
        <v>66</v>
      </c>
      <c r="V436" s="269">
        <f t="shared" si="80"/>
        <v>67</v>
      </c>
      <c r="W436" s="269">
        <f t="shared" si="81"/>
        <v>68</v>
      </c>
      <c r="X436" s="269">
        <f t="shared" si="82"/>
        <v>71</v>
      </c>
      <c r="Y436" s="269">
        <f t="shared" si="83"/>
        <v>72</v>
      </c>
      <c r="Z436" s="269">
        <f t="shared" si="84"/>
        <v>75</v>
      </c>
      <c r="AA436" s="269">
        <f t="shared" si="85"/>
        <v>76</v>
      </c>
    </row>
    <row r="437" spans="1:27">
      <c r="A437" s="104">
        <v>436</v>
      </c>
      <c r="B437" s="104" t="str">
        <f t="shared" si="77"/>
        <v>ABCDGHJL</v>
      </c>
      <c r="C437" s="104" t="s">
        <v>245</v>
      </c>
      <c r="D437" s="104" t="s">
        <v>231</v>
      </c>
      <c r="E437" s="104" t="s">
        <v>144</v>
      </c>
      <c r="F437" s="104" t="s">
        <v>145</v>
      </c>
      <c r="G437" s="104" t="s">
        <v>142</v>
      </c>
      <c r="H437" s="104" t="s">
        <v>150</v>
      </c>
      <c r="I437" s="104" t="s">
        <v>259</v>
      </c>
      <c r="J437" s="104" t="s">
        <v>232</v>
      </c>
      <c r="K437" s="269">
        <f t="shared" si="86"/>
        <v>72</v>
      </c>
      <c r="L437" s="269">
        <f t="shared" si="87"/>
        <v>71</v>
      </c>
      <c r="M437" s="269">
        <f t="shared" si="88"/>
        <v>66</v>
      </c>
      <c r="N437" s="269">
        <f t="shared" si="89"/>
        <v>67</v>
      </c>
      <c r="O437" s="269">
        <f t="shared" si="90"/>
        <v>65</v>
      </c>
      <c r="P437" s="269">
        <f t="shared" si="91"/>
        <v>68</v>
      </c>
      <c r="Q437" s="269">
        <f t="shared" si="92"/>
        <v>76</v>
      </c>
      <c r="R437" s="269">
        <f t="shared" si="93"/>
        <v>74</v>
      </c>
      <c r="S437" s="269"/>
      <c r="T437" s="269">
        <f t="shared" si="78"/>
        <v>65</v>
      </c>
      <c r="U437" s="269">
        <f t="shared" si="79"/>
        <v>66</v>
      </c>
      <c r="V437" s="269">
        <f t="shared" si="80"/>
        <v>67</v>
      </c>
      <c r="W437" s="269">
        <f t="shared" si="81"/>
        <v>68</v>
      </c>
      <c r="X437" s="269">
        <f t="shared" si="82"/>
        <v>71</v>
      </c>
      <c r="Y437" s="269">
        <f t="shared" si="83"/>
        <v>72</v>
      </c>
      <c r="Z437" s="269">
        <f t="shared" si="84"/>
        <v>74</v>
      </c>
      <c r="AA437" s="269">
        <f t="shared" si="85"/>
        <v>76</v>
      </c>
    </row>
    <row r="438" spans="1:27">
      <c r="A438" s="104">
        <v>437</v>
      </c>
      <c r="B438" s="104" t="str">
        <f t="shared" si="77"/>
        <v>ABCDGHJK</v>
      </c>
      <c r="C438" s="104" t="s">
        <v>245</v>
      </c>
      <c r="D438" s="104" t="s">
        <v>231</v>
      </c>
      <c r="E438" s="104" t="s">
        <v>144</v>
      </c>
      <c r="F438" s="104" t="s">
        <v>145</v>
      </c>
      <c r="G438" s="104" t="s">
        <v>142</v>
      </c>
      <c r="H438" s="104" t="s">
        <v>150</v>
      </c>
      <c r="I438" s="104" t="s">
        <v>232</v>
      </c>
      <c r="J438" s="104" t="s">
        <v>246</v>
      </c>
      <c r="K438" s="269">
        <f t="shared" si="86"/>
        <v>72</v>
      </c>
      <c r="L438" s="269">
        <f t="shared" si="87"/>
        <v>71</v>
      </c>
      <c r="M438" s="269">
        <f t="shared" si="88"/>
        <v>66</v>
      </c>
      <c r="N438" s="269">
        <f t="shared" si="89"/>
        <v>67</v>
      </c>
      <c r="O438" s="269">
        <f t="shared" si="90"/>
        <v>65</v>
      </c>
      <c r="P438" s="269">
        <f t="shared" si="91"/>
        <v>68</v>
      </c>
      <c r="Q438" s="269">
        <f t="shared" si="92"/>
        <v>74</v>
      </c>
      <c r="R438" s="269">
        <f t="shared" si="93"/>
        <v>75</v>
      </c>
      <c r="S438" s="269"/>
      <c r="T438" s="269">
        <f t="shared" si="78"/>
        <v>65</v>
      </c>
      <c r="U438" s="269">
        <f t="shared" si="79"/>
        <v>66</v>
      </c>
      <c r="V438" s="269">
        <f t="shared" si="80"/>
        <v>67</v>
      </c>
      <c r="W438" s="269">
        <f t="shared" si="81"/>
        <v>68</v>
      </c>
      <c r="X438" s="269">
        <f t="shared" si="82"/>
        <v>71</v>
      </c>
      <c r="Y438" s="269">
        <f t="shared" si="83"/>
        <v>72</v>
      </c>
      <c r="Z438" s="269">
        <f t="shared" si="84"/>
        <v>74</v>
      </c>
      <c r="AA438" s="269">
        <f t="shared" si="85"/>
        <v>75</v>
      </c>
    </row>
    <row r="439" spans="1:27">
      <c r="A439" s="104">
        <v>438</v>
      </c>
      <c r="B439" s="104" t="str">
        <f t="shared" si="77"/>
        <v>ABCDGHIL</v>
      </c>
      <c r="C439" s="104" t="s">
        <v>245</v>
      </c>
      <c r="D439" s="104" t="s">
        <v>231</v>
      </c>
      <c r="E439" s="104" t="s">
        <v>144</v>
      </c>
      <c r="F439" s="104" t="s">
        <v>145</v>
      </c>
      <c r="G439" s="104" t="s">
        <v>142</v>
      </c>
      <c r="H439" s="104" t="s">
        <v>150</v>
      </c>
      <c r="I439" s="104" t="s">
        <v>259</v>
      </c>
      <c r="J439" s="104" t="s">
        <v>258</v>
      </c>
      <c r="K439" s="269">
        <f t="shared" si="86"/>
        <v>72</v>
      </c>
      <c r="L439" s="269">
        <f t="shared" si="87"/>
        <v>71</v>
      </c>
      <c r="M439" s="269">
        <f t="shared" si="88"/>
        <v>66</v>
      </c>
      <c r="N439" s="269">
        <f t="shared" si="89"/>
        <v>67</v>
      </c>
      <c r="O439" s="269">
        <f t="shared" si="90"/>
        <v>65</v>
      </c>
      <c r="P439" s="269">
        <f t="shared" si="91"/>
        <v>68</v>
      </c>
      <c r="Q439" s="269">
        <f t="shared" si="92"/>
        <v>76</v>
      </c>
      <c r="R439" s="269">
        <f t="shared" si="93"/>
        <v>73</v>
      </c>
      <c r="S439" s="269"/>
      <c r="T439" s="269">
        <f t="shared" si="78"/>
        <v>65</v>
      </c>
      <c r="U439" s="269">
        <f t="shared" si="79"/>
        <v>66</v>
      </c>
      <c r="V439" s="269">
        <f t="shared" si="80"/>
        <v>67</v>
      </c>
      <c r="W439" s="269">
        <f t="shared" si="81"/>
        <v>68</v>
      </c>
      <c r="X439" s="269">
        <f t="shared" si="82"/>
        <v>71</v>
      </c>
      <c r="Y439" s="269">
        <f t="shared" si="83"/>
        <v>72</v>
      </c>
      <c r="Z439" s="269">
        <f t="shared" si="84"/>
        <v>73</v>
      </c>
      <c r="AA439" s="269">
        <f t="shared" si="85"/>
        <v>76</v>
      </c>
    </row>
    <row r="440" spans="1:27">
      <c r="A440" s="104">
        <v>439</v>
      </c>
      <c r="B440" s="104" t="str">
        <f t="shared" si="77"/>
        <v>ABCDGHIK</v>
      </c>
      <c r="C440" s="104" t="s">
        <v>245</v>
      </c>
      <c r="D440" s="104" t="s">
        <v>231</v>
      </c>
      <c r="E440" s="104" t="s">
        <v>144</v>
      </c>
      <c r="F440" s="104" t="s">
        <v>145</v>
      </c>
      <c r="G440" s="104" t="s">
        <v>142</v>
      </c>
      <c r="H440" s="104" t="s">
        <v>150</v>
      </c>
      <c r="I440" s="104" t="s">
        <v>258</v>
      </c>
      <c r="J440" s="104" t="s">
        <v>246</v>
      </c>
      <c r="K440" s="269">
        <f t="shared" si="86"/>
        <v>72</v>
      </c>
      <c r="L440" s="269">
        <f t="shared" si="87"/>
        <v>71</v>
      </c>
      <c r="M440" s="269">
        <f t="shared" si="88"/>
        <v>66</v>
      </c>
      <c r="N440" s="269">
        <f t="shared" si="89"/>
        <v>67</v>
      </c>
      <c r="O440" s="269">
        <f t="shared" si="90"/>
        <v>65</v>
      </c>
      <c r="P440" s="269">
        <f t="shared" si="91"/>
        <v>68</v>
      </c>
      <c r="Q440" s="269">
        <f t="shared" si="92"/>
        <v>73</v>
      </c>
      <c r="R440" s="269">
        <f t="shared" si="93"/>
        <v>75</v>
      </c>
      <c r="S440" s="269"/>
      <c r="T440" s="269">
        <f t="shared" si="78"/>
        <v>65</v>
      </c>
      <c r="U440" s="269">
        <f t="shared" si="79"/>
        <v>66</v>
      </c>
      <c r="V440" s="269">
        <f t="shared" si="80"/>
        <v>67</v>
      </c>
      <c r="W440" s="269">
        <f t="shared" si="81"/>
        <v>68</v>
      </c>
      <c r="X440" s="269">
        <f t="shared" si="82"/>
        <v>71</v>
      </c>
      <c r="Y440" s="269">
        <f t="shared" si="83"/>
        <v>72</v>
      </c>
      <c r="Z440" s="269">
        <f t="shared" si="84"/>
        <v>73</v>
      </c>
      <c r="AA440" s="269">
        <f t="shared" si="85"/>
        <v>75</v>
      </c>
    </row>
    <row r="441" spans="1:27">
      <c r="A441" s="104">
        <v>440</v>
      </c>
      <c r="B441" s="104" t="str">
        <f t="shared" si="77"/>
        <v>ABCDGHIJ</v>
      </c>
      <c r="C441" s="104" t="s">
        <v>245</v>
      </c>
      <c r="D441" s="104" t="s">
        <v>231</v>
      </c>
      <c r="E441" s="104" t="s">
        <v>144</v>
      </c>
      <c r="F441" s="104" t="s">
        <v>145</v>
      </c>
      <c r="G441" s="104" t="s">
        <v>142</v>
      </c>
      <c r="H441" s="104" t="s">
        <v>150</v>
      </c>
      <c r="I441" s="104" t="s">
        <v>258</v>
      </c>
      <c r="J441" s="104" t="s">
        <v>232</v>
      </c>
      <c r="K441" s="269">
        <f t="shared" si="86"/>
        <v>72</v>
      </c>
      <c r="L441" s="269">
        <f t="shared" si="87"/>
        <v>71</v>
      </c>
      <c r="M441" s="269">
        <f t="shared" si="88"/>
        <v>66</v>
      </c>
      <c r="N441" s="269">
        <f t="shared" si="89"/>
        <v>67</v>
      </c>
      <c r="O441" s="269">
        <f t="shared" si="90"/>
        <v>65</v>
      </c>
      <c r="P441" s="269">
        <f t="shared" si="91"/>
        <v>68</v>
      </c>
      <c r="Q441" s="269">
        <f t="shared" si="92"/>
        <v>73</v>
      </c>
      <c r="R441" s="269">
        <f t="shared" si="93"/>
        <v>74</v>
      </c>
      <c r="S441" s="269"/>
      <c r="T441" s="269">
        <f t="shared" si="78"/>
        <v>65</v>
      </c>
      <c r="U441" s="269">
        <f t="shared" si="79"/>
        <v>66</v>
      </c>
      <c r="V441" s="269">
        <f t="shared" si="80"/>
        <v>67</v>
      </c>
      <c r="W441" s="269">
        <f t="shared" si="81"/>
        <v>68</v>
      </c>
      <c r="X441" s="269">
        <f t="shared" si="82"/>
        <v>71</v>
      </c>
      <c r="Y441" s="269">
        <f t="shared" si="83"/>
        <v>72</v>
      </c>
      <c r="Z441" s="269">
        <f t="shared" si="84"/>
        <v>73</v>
      </c>
      <c r="AA441" s="269">
        <f t="shared" si="85"/>
        <v>74</v>
      </c>
    </row>
    <row r="442" spans="1:27">
      <c r="A442" s="104">
        <v>441</v>
      </c>
      <c r="B442" s="104" t="str">
        <f t="shared" si="77"/>
        <v>ABCDFJKL</v>
      </c>
      <c r="C442" s="104" t="s">
        <v>145</v>
      </c>
      <c r="D442" s="104" t="s">
        <v>232</v>
      </c>
      <c r="E442" s="104" t="s">
        <v>144</v>
      </c>
      <c r="F442" s="104" t="s">
        <v>150</v>
      </c>
      <c r="G442" s="104" t="s">
        <v>142</v>
      </c>
      <c r="H442" s="104" t="s">
        <v>152</v>
      </c>
      <c r="I442" s="104" t="s">
        <v>259</v>
      </c>
      <c r="J442" s="104" t="s">
        <v>246</v>
      </c>
      <c r="K442" s="269">
        <f t="shared" si="86"/>
        <v>67</v>
      </c>
      <c r="L442" s="269">
        <f t="shared" si="87"/>
        <v>74</v>
      </c>
      <c r="M442" s="269">
        <f t="shared" si="88"/>
        <v>66</v>
      </c>
      <c r="N442" s="269">
        <f t="shared" si="89"/>
        <v>68</v>
      </c>
      <c r="O442" s="269">
        <f t="shared" si="90"/>
        <v>65</v>
      </c>
      <c r="P442" s="269">
        <f t="shared" si="91"/>
        <v>70</v>
      </c>
      <c r="Q442" s="269">
        <f t="shared" si="92"/>
        <v>76</v>
      </c>
      <c r="R442" s="269">
        <f t="shared" si="93"/>
        <v>75</v>
      </c>
      <c r="S442" s="269"/>
      <c r="T442" s="269">
        <f t="shared" si="78"/>
        <v>65</v>
      </c>
      <c r="U442" s="269">
        <f t="shared" si="79"/>
        <v>66</v>
      </c>
      <c r="V442" s="269">
        <f t="shared" si="80"/>
        <v>67</v>
      </c>
      <c r="W442" s="269">
        <f t="shared" si="81"/>
        <v>68</v>
      </c>
      <c r="X442" s="269">
        <f t="shared" si="82"/>
        <v>70</v>
      </c>
      <c r="Y442" s="269">
        <f t="shared" si="83"/>
        <v>74</v>
      </c>
      <c r="Z442" s="269">
        <f t="shared" si="84"/>
        <v>75</v>
      </c>
      <c r="AA442" s="269">
        <f t="shared" si="85"/>
        <v>76</v>
      </c>
    </row>
    <row r="443" spans="1:27">
      <c r="A443" s="104">
        <v>442</v>
      </c>
      <c r="B443" s="104" t="str">
        <f t="shared" si="77"/>
        <v>ABCDFIKL</v>
      </c>
      <c r="C443" s="104" t="s">
        <v>145</v>
      </c>
      <c r="D443" s="104" t="s">
        <v>258</v>
      </c>
      <c r="E443" s="104" t="s">
        <v>144</v>
      </c>
      <c r="F443" s="104" t="s">
        <v>150</v>
      </c>
      <c r="G443" s="104" t="s">
        <v>142</v>
      </c>
      <c r="H443" s="104" t="s">
        <v>152</v>
      </c>
      <c r="I443" s="104" t="s">
        <v>259</v>
      </c>
      <c r="J443" s="104" t="s">
        <v>246</v>
      </c>
      <c r="K443" s="269">
        <f t="shared" si="86"/>
        <v>67</v>
      </c>
      <c r="L443" s="269">
        <f t="shared" si="87"/>
        <v>73</v>
      </c>
      <c r="M443" s="269">
        <f t="shared" si="88"/>
        <v>66</v>
      </c>
      <c r="N443" s="269">
        <f t="shared" si="89"/>
        <v>68</v>
      </c>
      <c r="O443" s="269">
        <f t="shared" si="90"/>
        <v>65</v>
      </c>
      <c r="P443" s="269">
        <f t="shared" si="91"/>
        <v>70</v>
      </c>
      <c r="Q443" s="269">
        <f t="shared" si="92"/>
        <v>76</v>
      </c>
      <c r="R443" s="269">
        <f t="shared" si="93"/>
        <v>75</v>
      </c>
      <c r="S443" s="269"/>
      <c r="T443" s="269">
        <f t="shared" si="78"/>
        <v>65</v>
      </c>
      <c r="U443" s="269">
        <f t="shared" si="79"/>
        <v>66</v>
      </c>
      <c r="V443" s="269">
        <f t="shared" si="80"/>
        <v>67</v>
      </c>
      <c r="W443" s="269">
        <f t="shared" si="81"/>
        <v>68</v>
      </c>
      <c r="X443" s="269">
        <f t="shared" si="82"/>
        <v>70</v>
      </c>
      <c r="Y443" s="269">
        <f t="shared" si="83"/>
        <v>73</v>
      </c>
      <c r="Z443" s="269">
        <f t="shared" si="84"/>
        <v>75</v>
      </c>
      <c r="AA443" s="269">
        <f t="shared" si="85"/>
        <v>76</v>
      </c>
    </row>
    <row r="444" spans="1:27">
      <c r="A444" s="104">
        <v>443</v>
      </c>
      <c r="B444" s="104" t="str">
        <f t="shared" si="77"/>
        <v>ABCDFIJL</v>
      </c>
      <c r="C444" s="104" t="s">
        <v>145</v>
      </c>
      <c r="D444" s="104" t="s">
        <v>232</v>
      </c>
      <c r="E444" s="104" t="s">
        <v>144</v>
      </c>
      <c r="F444" s="104" t="s">
        <v>150</v>
      </c>
      <c r="G444" s="104" t="s">
        <v>142</v>
      </c>
      <c r="H444" s="104" t="s">
        <v>152</v>
      </c>
      <c r="I444" s="104" t="s">
        <v>259</v>
      </c>
      <c r="J444" s="104" t="s">
        <v>258</v>
      </c>
      <c r="K444" s="269">
        <f t="shared" si="86"/>
        <v>67</v>
      </c>
      <c r="L444" s="269">
        <f t="shared" si="87"/>
        <v>74</v>
      </c>
      <c r="M444" s="269">
        <f t="shared" si="88"/>
        <v>66</v>
      </c>
      <c r="N444" s="269">
        <f t="shared" si="89"/>
        <v>68</v>
      </c>
      <c r="O444" s="269">
        <f t="shared" si="90"/>
        <v>65</v>
      </c>
      <c r="P444" s="269">
        <f t="shared" si="91"/>
        <v>70</v>
      </c>
      <c r="Q444" s="269">
        <f t="shared" si="92"/>
        <v>76</v>
      </c>
      <c r="R444" s="269">
        <f t="shared" si="93"/>
        <v>73</v>
      </c>
      <c r="S444" s="269"/>
      <c r="T444" s="269">
        <f t="shared" si="78"/>
        <v>65</v>
      </c>
      <c r="U444" s="269">
        <f t="shared" si="79"/>
        <v>66</v>
      </c>
      <c r="V444" s="269">
        <f t="shared" si="80"/>
        <v>67</v>
      </c>
      <c r="W444" s="269">
        <f t="shared" si="81"/>
        <v>68</v>
      </c>
      <c r="X444" s="269">
        <f t="shared" si="82"/>
        <v>70</v>
      </c>
      <c r="Y444" s="269">
        <f t="shared" si="83"/>
        <v>73</v>
      </c>
      <c r="Z444" s="269">
        <f t="shared" si="84"/>
        <v>74</v>
      </c>
      <c r="AA444" s="269">
        <f t="shared" si="85"/>
        <v>76</v>
      </c>
    </row>
    <row r="445" spans="1:27">
      <c r="A445" s="104">
        <v>444</v>
      </c>
      <c r="B445" s="104" t="str">
        <f t="shared" si="77"/>
        <v>ABCDFIJK</v>
      </c>
      <c r="C445" s="104" t="s">
        <v>145</v>
      </c>
      <c r="D445" s="104" t="s">
        <v>232</v>
      </c>
      <c r="E445" s="104" t="s">
        <v>144</v>
      </c>
      <c r="F445" s="104" t="s">
        <v>150</v>
      </c>
      <c r="G445" s="104" t="s">
        <v>142</v>
      </c>
      <c r="H445" s="104" t="s">
        <v>152</v>
      </c>
      <c r="I445" s="104" t="s">
        <v>258</v>
      </c>
      <c r="J445" s="104" t="s">
        <v>246</v>
      </c>
      <c r="K445" s="269">
        <f t="shared" si="86"/>
        <v>67</v>
      </c>
      <c r="L445" s="269">
        <f t="shared" si="87"/>
        <v>74</v>
      </c>
      <c r="M445" s="269">
        <f t="shared" si="88"/>
        <v>66</v>
      </c>
      <c r="N445" s="269">
        <f t="shared" si="89"/>
        <v>68</v>
      </c>
      <c r="O445" s="269">
        <f t="shared" si="90"/>
        <v>65</v>
      </c>
      <c r="P445" s="269">
        <f t="shared" si="91"/>
        <v>70</v>
      </c>
      <c r="Q445" s="269">
        <f t="shared" si="92"/>
        <v>73</v>
      </c>
      <c r="R445" s="269">
        <f t="shared" si="93"/>
        <v>75</v>
      </c>
      <c r="S445" s="269"/>
      <c r="T445" s="269">
        <f t="shared" si="78"/>
        <v>65</v>
      </c>
      <c r="U445" s="269">
        <f t="shared" si="79"/>
        <v>66</v>
      </c>
      <c r="V445" s="269">
        <f t="shared" si="80"/>
        <v>67</v>
      </c>
      <c r="W445" s="269">
        <f t="shared" si="81"/>
        <v>68</v>
      </c>
      <c r="X445" s="269">
        <f t="shared" si="82"/>
        <v>70</v>
      </c>
      <c r="Y445" s="269">
        <f t="shared" si="83"/>
        <v>73</v>
      </c>
      <c r="Z445" s="269">
        <f t="shared" si="84"/>
        <v>74</v>
      </c>
      <c r="AA445" s="269">
        <f t="shared" si="85"/>
        <v>75</v>
      </c>
    </row>
    <row r="446" spans="1:27">
      <c r="A446" s="104">
        <v>445</v>
      </c>
      <c r="B446" s="104" t="str">
        <f t="shared" si="77"/>
        <v>ABCDFHKL</v>
      </c>
      <c r="C446" s="104" t="s">
        <v>245</v>
      </c>
      <c r="D446" s="104" t="s">
        <v>152</v>
      </c>
      <c r="E446" s="104" t="s">
        <v>144</v>
      </c>
      <c r="F446" s="104" t="s">
        <v>145</v>
      </c>
      <c r="G446" s="104" t="s">
        <v>142</v>
      </c>
      <c r="H446" s="104" t="s">
        <v>150</v>
      </c>
      <c r="I446" s="104" t="s">
        <v>259</v>
      </c>
      <c r="J446" s="104" t="s">
        <v>246</v>
      </c>
      <c r="K446" s="269">
        <f t="shared" si="86"/>
        <v>72</v>
      </c>
      <c r="L446" s="269">
        <f t="shared" si="87"/>
        <v>70</v>
      </c>
      <c r="M446" s="269">
        <f t="shared" si="88"/>
        <v>66</v>
      </c>
      <c r="N446" s="269">
        <f t="shared" si="89"/>
        <v>67</v>
      </c>
      <c r="O446" s="269">
        <f t="shared" si="90"/>
        <v>65</v>
      </c>
      <c r="P446" s="269">
        <f t="shared" si="91"/>
        <v>68</v>
      </c>
      <c r="Q446" s="269">
        <f t="shared" si="92"/>
        <v>76</v>
      </c>
      <c r="R446" s="269">
        <f t="shared" si="93"/>
        <v>75</v>
      </c>
      <c r="S446" s="269"/>
      <c r="T446" s="269">
        <f t="shared" si="78"/>
        <v>65</v>
      </c>
      <c r="U446" s="269">
        <f t="shared" si="79"/>
        <v>66</v>
      </c>
      <c r="V446" s="269">
        <f t="shared" si="80"/>
        <v>67</v>
      </c>
      <c r="W446" s="269">
        <f t="shared" si="81"/>
        <v>68</v>
      </c>
      <c r="X446" s="269">
        <f t="shared" si="82"/>
        <v>70</v>
      </c>
      <c r="Y446" s="269">
        <f t="shared" si="83"/>
        <v>72</v>
      </c>
      <c r="Z446" s="269">
        <f t="shared" si="84"/>
        <v>75</v>
      </c>
      <c r="AA446" s="269">
        <f t="shared" si="85"/>
        <v>76</v>
      </c>
    </row>
    <row r="447" spans="1:27">
      <c r="A447" s="104">
        <v>446</v>
      </c>
      <c r="B447" s="104" t="str">
        <f t="shared" si="77"/>
        <v>ABCDFHJL</v>
      </c>
      <c r="C447" s="104" t="s">
        <v>145</v>
      </c>
      <c r="D447" s="104" t="s">
        <v>232</v>
      </c>
      <c r="E447" s="104" t="s">
        <v>144</v>
      </c>
      <c r="F447" s="104" t="s">
        <v>150</v>
      </c>
      <c r="G447" s="104" t="s">
        <v>142</v>
      </c>
      <c r="H447" s="104" t="s">
        <v>152</v>
      </c>
      <c r="I447" s="104" t="s">
        <v>259</v>
      </c>
      <c r="J447" s="104" t="s">
        <v>245</v>
      </c>
      <c r="K447" s="269">
        <f t="shared" si="86"/>
        <v>67</v>
      </c>
      <c r="L447" s="269">
        <f t="shared" si="87"/>
        <v>74</v>
      </c>
      <c r="M447" s="269">
        <f t="shared" si="88"/>
        <v>66</v>
      </c>
      <c r="N447" s="269">
        <f t="shared" si="89"/>
        <v>68</v>
      </c>
      <c r="O447" s="269">
        <f t="shared" si="90"/>
        <v>65</v>
      </c>
      <c r="P447" s="269">
        <f t="shared" si="91"/>
        <v>70</v>
      </c>
      <c r="Q447" s="269">
        <f t="shared" si="92"/>
        <v>76</v>
      </c>
      <c r="R447" s="269">
        <f t="shared" si="93"/>
        <v>72</v>
      </c>
      <c r="S447" s="269"/>
      <c r="T447" s="269">
        <f t="shared" si="78"/>
        <v>65</v>
      </c>
      <c r="U447" s="269">
        <f t="shared" si="79"/>
        <v>66</v>
      </c>
      <c r="V447" s="269">
        <f t="shared" si="80"/>
        <v>67</v>
      </c>
      <c r="W447" s="269">
        <f t="shared" si="81"/>
        <v>68</v>
      </c>
      <c r="X447" s="269">
        <f t="shared" si="82"/>
        <v>70</v>
      </c>
      <c r="Y447" s="269">
        <f t="shared" si="83"/>
        <v>72</v>
      </c>
      <c r="Z447" s="269">
        <f t="shared" si="84"/>
        <v>74</v>
      </c>
      <c r="AA447" s="269">
        <f t="shared" si="85"/>
        <v>76</v>
      </c>
    </row>
    <row r="448" spans="1:27">
      <c r="A448" s="104">
        <v>447</v>
      </c>
      <c r="B448" s="104" t="str">
        <f t="shared" si="77"/>
        <v>ABCDFHJK</v>
      </c>
      <c r="C448" s="104" t="s">
        <v>245</v>
      </c>
      <c r="D448" s="104" t="s">
        <v>232</v>
      </c>
      <c r="E448" s="104" t="s">
        <v>144</v>
      </c>
      <c r="F448" s="104" t="s">
        <v>145</v>
      </c>
      <c r="G448" s="104" t="s">
        <v>142</v>
      </c>
      <c r="H448" s="104" t="s">
        <v>152</v>
      </c>
      <c r="I448" s="104" t="s">
        <v>150</v>
      </c>
      <c r="J448" s="104" t="s">
        <v>246</v>
      </c>
      <c r="K448" s="269">
        <f t="shared" si="86"/>
        <v>72</v>
      </c>
      <c r="L448" s="269">
        <f t="shared" si="87"/>
        <v>74</v>
      </c>
      <c r="M448" s="269">
        <f t="shared" si="88"/>
        <v>66</v>
      </c>
      <c r="N448" s="269">
        <f t="shared" si="89"/>
        <v>67</v>
      </c>
      <c r="O448" s="269">
        <f t="shared" si="90"/>
        <v>65</v>
      </c>
      <c r="P448" s="269">
        <f t="shared" si="91"/>
        <v>70</v>
      </c>
      <c r="Q448" s="269">
        <f t="shared" si="92"/>
        <v>68</v>
      </c>
      <c r="R448" s="269">
        <f t="shared" si="93"/>
        <v>75</v>
      </c>
      <c r="S448" s="269"/>
      <c r="T448" s="269">
        <f t="shared" si="78"/>
        <v>65</v>
      </c>
      <c r="U448" s="269">
        <f t="shared" si="79"/>
        <v>66</v>
      </c>
      <c r="V448" s="269">
        <f t="shared" si="80"/>
        <v>67</v>
      </c>
      <c r="W448" s="269">
        <f t="shared" si="81"/>
        <v>68</v>
      </c>
      <c r="X448" s="269">
        <f t="shared" si="82"/>
        <v>70</v>
      </c>
      <c r="Y448" s="269">
        <f t="shared" si="83"/>
        <v>72</v>
      </c>
      <c r="Z448" s="269">
        <f t="shared" si="84"/>
        <v>74</v>
      </c>
      <c r="AA448" s="269">
        <f t="shared" si="85"/>
        <v>75</v>
      </c>
    </row>
    <row r="449" spans="1:27">
      <c r="A449" s="104">
        <v>448</v>
      </c>
      <c r="B449" s="104" t="str">
        <f t="shared" si="77"/>
        <v>ABCDFHIL</v>
      </c>
      <c r="C449" s="104" t="s">
        <v>245</v>
      </c>
      <c r="D449" s="104" t="s">
        <v>152</v>
      </c>
      <c r="E449" s="104" t="s">
        <v>144</v>
      </c>
      <c r="F449" s="104" t="s">
        <v>145</v>
      </c>
      <c r="G449" s="104" t="s">
        <v>142</v>
      </c>
      <c r="H449" s="104" t="s">
        <v>150</v>
      </c>
      <c r="I449" s="104" t="s">
        <v>259</v>
      </c>
      <c r="J449" s="104" t="s">
        <v>258</v>
      </c>
      <c r="K449" s="269">
        <f t="shared" si="86"/>
        <v>72</v>
      </c>
      <c r="L449" s="269">
        <f t="shared" si="87"/>
        <v>70</v>
      </c>
      <c r="M449" s="269">
        <f t="shared" si="88"/>
        <v>66</v>
      </c>
      <c r="N449" s="269">
        <f t="shared" si="89"/>
        <v>67</v>
      </c>
      <c r="O449" s="269">
        <f t="shared" si="90"/>
        <v>65</v>
      </c>
      <c r="P449" s="269">
        <f t="shared" si="91"/>
        <v>68</v>
      </c>
      <c r="Q449" s="269">
        <f t="shared" si="92"/>
        <v>76</v>
      </c>
      <c r="R449" s="269">
        <f t="shared" si="93"/>
        <v>73</v>
      </c>
      <c r="S449" s="269"/>
      <c r="T449" s="269">
        <f t="shared" si="78"/>
        <v>65</v>
      </c>
      <c r="U449" s="269">
        <f t="shared" si="79"/>
        <v>66</v>
      </c>
      <c r="V449" s="269">
        <f t="shared" si="80"/>
        <v>67</v>
      </c>
      <c r="W449" s="269">
        <f t="shared" si="81"/>
        <v>68</v>
      </c>
      <c r="X449" s="269">
        <f t="shared" si="82"/>
        <v>70</v>
      </c>
      <c r="Y449" s="269">
        <f t="shared" si="83"/>
        <v>72</v>
      </c>
      <c r="Z449" s="269">
        <f t="shared" si="84"/>
        <v>73</v>
      </c>
      <c r="AA449" s="269">
        <f t="shared" si="85"/>
        <v>76</v>
      </c>
    </row>
    <row r="450" spans="1:27">
      <c r="A450" s="104">
        <v>449</v>
      </c>
      <c r="B450" s="104" t="str">
        <f t="shared" si="77"/>
        <v>ABCDFHIK</v>
      </c>
      <c r="C450" s="104" t="s">
        <v>245</v>
      </c>
      <c r="D450" s="104" t="s">
        <v>152</v>
      </c>
      <c r="E450" s="104" t="s">
        <v>144</v>
      </c>
      <c r="F450" s="104" t="s">
        <v>145</v>
      </c>
      <c r="G450" s="104" t="s">
        <v>142</v>
      </c>
      <c r="H450" s="104" t="s">
        <v>150</v>
      </c>
      <c r="I450" s="104" t="s">
        <v>258</v>
      </c>
      <c r="J450" s="104" t="s">
        <v>246</v>
      </c>
      <c r="K450" s="269">
        <f t="shared" si="86"/>
        <v>72</v>
      </c>
      <c r="L450" s="269">
        <f t="shared" si="87"/>
        <v>70</v>
      </c>
      <c r="M450" s="269">
        <f t="shared" si="88"/>
        <v>66</v>
      </c>
      <c r="N450" s="269">
        <f t="shared" si="89"/>
        <v>67</v>
      </c>
      <c r="O450" s="269">
        <f t="shared" si="90"/>
        <v>65</v>
      </c>
      <c r="P450" s="269">
        <f t="shared" si="91"/>
        <v>68</v>
      </c>
      <c r="Q450" s="269">
        <f t="shared" si="92"/>
        <v>73</v>
      </c>
      <c r="R450" s="269">
        <f t="shared" si="93"/>
        <v>75</v>
      </c>
      <c r="S450" s="269"/>
      <c r="T450" s="269">
        <f t="shared" si="78"/>
        <v>65</v>
      </c>
      <c r="U450" s="269">
        <f t="shared" si="79"/>
        <v>66</v>
      </c>
      <c r="V450" s="269">
        <f t="shared" si="80"/>
        <v>67</v>
      </c>
      <c r="W450" s="269">
        <f t="shared" si="81"/>
        <v>68</v>
      </c>
      <c r="X450" s="269">
        <f t="shared" si="82"/>
        <v>70</v>
      </c>
      <c r="Y450" s="269">
        <f t="shared" si="83"/>
        <v>72</v>
      </c>
      <c r="Z450" s="269">
        <f t="shared" si="84"/>
        <v>73</v>
      </c>
      <c r="AA450" s="269">
        <f t="shared" si="85"/>
        <v>75</v>
      </c>
    </row>
    <row r="451" spans="1:27">
      <c r="A451" s="104">
        <v>450</v>
      </c>
      <c r="B451" s="104" t="str">
        <f t="shared" ref="B451:B495" si="94">CONCATENATE(CHAR(T451),CHAR(U451),CHAR(V451),CHAR(W451),CHAR(X451),CHAR(Y451),CHAR(Z451),CHAR(AA451))</f>
        <v>ABCDFHIJ</v>
      </c>
      <c r="C451" s="104" t="s">
        <v>245</v>
      </c>
      <c r="D451" s="104" t="s">
        <v>232</v>
      </c>
      <c r="E451" s="104" t="s">
        <v>144</v>
      </c>
      <c r="F451" s="104" t="s">
        <v>145</v>
      </c>
      <c r="G451" s="104" t="s">
        <v>142</v>
      </c>
      <c r="H451" s="104" t="s">
        <v>152</v>
      </c>
      <c r="I451" s="104" t="s">
        <v>150</v>
      </c>
      <c r="J451" s="104" t="s">
        <v>258</v>
      </c>
      <c r="K451" s="269">
        <f t="shared" si="86"/>
        <v>72</v>
      </c>
      <c r="L451" s="269">
        <f t="shared" si="87"/>
        <v>74</v>
      </c>
      <c r="M451" s="269">
        <f t="shared" si="88"/>
        <v>66</v>
      </c>
      <c r="N451" s="269">
        <f t="shared" si="89"/>
        <v>67</v>
      </c>
      <c r="O451" s="269">
        <f t="shared" si="90"/>
        <v>65</v>
      </c>
      <c r="P451" s="269">
        <f t="shared" si="91"/>
        <v>70</v>
      </c>
      <c r="Q451" s="269">
        <f t="shared" si="92"/>
        <v>68</v>
      </c>
      <c r="R451" s="269">
        <f t="shared" si="93"/>
        <v>73</v>
      </c>
      <c r="S451" s="269"/>
      <c r="T451" s="269">
        <f t="shared" ref="T451:T496" si="95">SMALL($K451:$R451,1)</f>
        <v>65</v>
      </c>
      <c r="U451" s="269">
        <f t="shared" ref="U451:U496" si="96">SMALL($K451:$R451,2)</f>
        <v>66</v>
      </c>
      <c r="V451" s="269">
        <f t="shared" ref="V451:V496" si="97">SMALL($K451:$R451,3)</f>
        <v>67</v>
      </c>
      <c r="W451" s="269">
        <f t="shared" ref="W451:W496" si="98">SMALL($K451:$R451,4)</f>
        <v>68</v>
      </c>
      <c r="X451" s="269">
        <f t="shared" ref="X451:X496" si="99">SMALL($K451:$R451,5)</f>
        <v>70</v>
      </c>
      <c r="Y451" s="269">
        <f t="shared" ref="Y451:Y496" si="100">SMALL($K451:$R451,6)</f>
        <v>72</v>
      </c>
      <c r="Z451" s="269">
        <f t="shared" ref="Z451:Z496" si="101">SMALL($K451:$R451,7)</f>
        <v>73</v>
      </c>
      <c r="AA451" s="269">
        <f t="shared" ref="AA451:AA496" si="102">SMALL($K451:$R451,8)</f>
        <v>74</v>
      </c>
    </row>
    <row r="452" spans="1:27">
      <c r="A452" s="104">
        <v>451</v>
      </c>
      <c r="B452" s="104" t="str">
        <f t="shared" si="94"/>
        <v>ABCDFGKL</v>
      </c>
      <c r="C452" s="104" t="s">
        <v>145</v>
      </c>
      <c r="D452" s="104" t="s">
        <v>231</v>
      </c>
      <c r="E452" s="104" t="s">
        <v>144</v>
      </c>
      <c r="F452" s="104" t="s">
        <v>150</v>
      </c>
      <c r="G452" s="104" t="s">
        <v>142</v>
      </c>
      <c r="H452" s="104" t="s">
        <v>152</v>
      </c>
      <c r="I452" s="104" t="s">
        <v>259</v>
      </c>
      <c r="J452" s="104" t="s">
        <v>246</v>
      </c>
      <c r="K452" s="269">
        <f t="shared" si="86"/>
        <v>67</v>
      </c>
      <c r="L452" s="269">
        <f t="shared" si="87"/>
        <v>71</v>
      </c>
      <c r="M452" s="269">
        <f t="shared" si="88"/>
        <v>66</v>
      </c>
      <c r="N452" s="269">
        <f t="shared" si="89"/>
        <v>68</v>
      </c>
      <c r="O452" s="269">
        <f t="shared" si="90"/>
        <v>65</v>
      </c>
      <c r="P452" s="269">
        <f t="shared" si="91"/>
        <v>70</v>
      </c>
      <c r="Q452" s="269">
        <f t="shared" si="92"/>
        <v>76</v>
      </c>
      <c r="R452" s="269">
        <f t="shared" si="93"/>
        <v>75</v>
      </c>
      <c r="S452" s="269"/>
      <c r="T452" s="269">
        <f t="shared" si="95"/>
        <v>65</v>
      </c>
      <c r="U452" s="269">
        <f t="shared" si="96"/>
        <v>66</v>
      </c>
      <c r="V452" s="269">
        <f t="shared" si="97"/>
        <v>67</v>
      </c>
      <c r="W452" s="269">
        <f t="shared" si="98"/>
        <v>68</v>
      </c>
      <c r="X452" s="269">
        <f t="shared" si="99"/>
        <v>70</v>
      </c>
      <c r="Y452" s="269">
        <f t="shared" si="100"/>
        <v>71</v>
      </c>
      <c r="Z452" s="269">
        <f t="shared" si="101"/>
        <v>75</v>
      </c>
      <c r="AA452" s="269">
        <f t="shared" si="102"/>
        <v>76</v>
      </c>
    </row>
    <row r="453" spans="1:27">
      <c r="A453" s="104">
        <v>452</v>
      </c>
      <c r="B453" s="104" t="str">
        <f t="shared" si="94"/>
        <v>ABCDFGJL</v>
      </c>
      <c r="C453" s="104" t="s">
        <v>145</v>
      </c>
      <c r="D453" s="104" t="s">
        <v>231</v>
      </c>
      <c r="E453" s="104" t="s">
        <v>144</v>
      </c>
      <c r="F453" s="104" t="s">
        <v>150</v>
      </c>
      <c r="G453" s="104" t="s">
        <v>142</v>
      </c>
      <c r="H453" s="104" t="s">
        <v>152</v>
      </c>
      <c r="I453" s="104" t="s">
        <v>259</v>
      </c>
      <c r="J453" s="104" t="s">
        <v>232</v>
      </c>
      <c r="K453" s="269">
        <f t="shared" si="86"/>
        <v>67</v>
      </c>
      <c r="L453" s="269">
        <f t="shared" si="87"/>
        <v>71</v>
      </c>
      <c r="M453" s="269">
        <f t="shared" si="88"/>
        <v>66</v>
      </c>
      <c r="N453" s="269">
        <f t="shared" si="89"/>
        <v>68</v>
      </c>
      <c r="O453" s="269">
        <f t="shared" si="90"/>
        <v>65</v>
      </c>
      <c r="P453" s="269">
        <f t="shared" si="91"/>
        <v>70</v>
      </c>
      <c r="Q453" s="269">
        <f t="shared" si="92"/>
        <v>76</v>
      </c>
      <c r="R453" s="269">
        <f t="shared" si="93"/>
        <v>74</v>
      </c>
      <c r="S453" s="269"/>
      <c r="T453" s="269">
        <f t="shared" si="95"/>
        <v>65</v>
      </c>
      <c r="U453" s="269">
        <f t="shared" si="96"/>
        <v>66</v>
      </c>
      <c r="V453" s="269">
        <f t="shared" si="97"/>
        <v>67</v>
      </c>
      <c r="W453" s="269">
        <f t="shared" si="98"/>
        <v>68</v>
      </c>
      <c r="X453" s="269">
        <f t="shared" si="99"/>
        <v>70</v>
      </c>
      <c r="Y453" s="269">
        <f t="shared" si="100"/>
        <v>71</v>
      </c>
      <c r="Z453" s="269">
        <f t="shared" si="101"/>
        <v>74</v>
      </c>
      <c r="AA453" s="269">
        <f t="shared" si="102"/>
        <v>76</v>
      </c>
    </row>
    <row r="454" spans="1:27">
      <c r="A454" s="104">
        <v>453</v>
      </c>
      <c r="B454" s="104" t="str">
        <f t="shared" si="94"/>
        <v>ABCDFGJK</v>
      </c>
      <c r="C454" s="104" t="s">
        <v>145</v>
      </c>
      <c r="D454" s="104" t="s">
        <v>231</v>
      </c>
      <c r="E454" s="104" t="s">
        <v>144</v>
      </c>
      <c r="F454" s="104" t="s">
        <v>150</v>
      </c>
      <c r="G454" s="104" t="s">
        <v>142</v>
      </c>
      <c r="H454" s="104" t="s">
        <v>152</v>
      </c>
      <c r="I454" s="104" t="s">
        <v>232</v>
      </c>
      <c r="J454" s="104" t="s">
        <v>246</v>
      </c>
      <c r="K454" s="269">
        <f>CODE(MID(C454,2,1))</f>
        <v>67</v>
      </c>
      <c r="L454" s="269">
        <f>CODE(MID(D454,2,1))</f>
        <v>71</v>
      </c>
      <c r="M454" s="269">
        <f>CODE(MID(E454,2,1))</f>
        <v>66</v>
      </c>
      <c r="N454" s="269">
        <f t="shared" ref="N454:R496" si="103">CODE(MID(F454,2,1))</f>
        <v>68</v>
      </c>
      <c r="O454" s="269">
        <f t="shared" si="103"/>
        <v>65</v>
      </c>
      <c r="P454" s="269">
        <f t="shared" si="103"/>
        <v>70</v>
      </c>
      <c r="Q454" s="269">
        <f t="shared" si="103"/>
        <v>74</v>
      </c>
      <c r="R454" s="269">
        <f t="shared" si="103"/>
        <v>75</v>
      </c>
      <c r="S454" s="269"/>
      <c r="T454" s="269">
        <f t="shared" si="95"/>
        <v>65</v>
      </c>
      <c r="U454" s="269">
        <f t="shared" si="96"/>
        <v>66</v>
      </c>
      <c r="V454" s="269">
        <f t="shared" si="97"/>
        <v>67</v>
      </c>
      <c r="W454" s="269">
        <f t="shared" si="98"/>
        <v>68</v>
      </c>
      <c r="X454" s="269">
        <f t="shared" si="99"/>
        <v>70</v>
      </c>
      <c r="Y454" s="269">
        <f t="shared" si="100"/>
        <v>71</v>
      </c>
      <c r="Z454" s="269">
        <f t="shared" si="101"/>
        <v>74</v>
      </c>
      <c r="AA454" s="269">
        <f t="shared" si="102"/>
        <v>75</v>
      </c>
    </row>
    <row r="455" spans="1:27">
      <c r="A455" s="104">
        <v>454</v>
      </c>
      <c r="B455" s="104" t="str">
        <f t="shared" si="94"/>
        <v>ABCDFGIL</v>
      </c>
      <c r="C455" s="104" t="s">
        <v>145</v>
      </c>
      <c r="D455" s="104" t="s">
        <v>231</v>
      </c>
      <c r="E455" s="104" t="s">
        <v>144</v>
      </c>
      <c r="F455" s="104" t="s">
        <v>150</v>
      </c>
      <c r="G455" s="104" t="s">
        <v>142</v>
      </c>
      <c r="H455" s="104" t="s">
        <v>152</v>
      </c>
      <c r="I455" s="104" t="s">
        <v>259</v>
      </c>
      <c r="J455" s="104" t="s">
        <v>258</v>
      </c>
      <c r="K455" s="269">
        <f t="shared" ref="K455:M496" si="104">CODE(MID(C455,2,1))</f>
        <v>67</v>
      </c>
      <c r="L455" s="269">
        <f t="shared" si="104"/>
        <v>71</v>
      </c>
      <c r="M455" s="269">
        <f t="shared" si="104"/>
        <v>66</v>
      </c>
      <c r="N455" s="269">
        <f t="shared" si="103"/>
        <v>68</v>
      </c>
      <c r="O455" s="269">
        <f t="shared" si="103"/>
        <v>65</v>
      </c>
      <c r="P455" s="269">
        <f t="shared" si="103"/>
        <v>70</v>
      </c>
      <c r="Q455" s="269">
        <f t="shared" si="103"/>
        <v>76</v>
      </c>
      <c r="R455" s="269">
        <f t="shared" si="103"/>
        <v>73</v>
      </c>
      <c r="S455" s="269"/>
      <c r="T455" s="269">
        <f t="shared" si="95"/>
        <v>65</v>
      </c>
      <c r="U455" s="269">
        <f t="shared" si="96"/>
        <v>66</v>
      </c>
      <c r="V455" s="269">
        <f t="shared" si="97"/>
        <v>67</v>
      </c>
      <c r="W455" s="269">
        <f t="shared" si="98"/>
        <v>68</v>
      </c>
      <c r="X455" s="269">
        <f t="shared" si="99"/>
        <v>70</v>
      </c>
      <c r="Y455" s="269">
        <f t="shared" si="100"/>
        <v>71</v>
      </c>
      <c r="Z455" s="269">
        <f t="shared" si="101"/>
        <v>73</v>
      </c>
      <c r="AA455" s="269">
        <f t="shared" si="102"/>
        <v>76</v>
      </c>
    </row>
    <row r="456" spans="1:27">
      <c r="A456" s="104">
        <v>455</v>
      </c>
      <c r="B456" s="104" t="str">
        <f t="shared" si="94"/>
        <v>ABCDFGIK</v>
      </c>
      <c r="C456" s="104" t="s">
        <v>145</v>
      </c>
      <c r="D456" s="104" t="s">
        <v>231</v>
      </c>
      <c r="E456" s="104" t="s">
        <v>144</v>
      </c>
      <c r="F456" s="104" t="s">
        <v>150</v>
      </c>
      <c r="G456" s="104" t="s">
        <v>142</v>
      </c>
      <c r="H456" s="104" t="s">
        <v>152</v>
      </c>
      <c r="I456" s="104" t="s">
        <v>258</v>
      </c>
      <c r="J456" s="104" t="s">
        <v>246</v>
      </c>
      <c r="K456" s="269">
        <f t="shared" si="104"/>
        <v>67</v>
      </c>
      <c r="L456" s="269">
        <f t="shared" si="104"/>
        <v>71</v>
      </c>
      <c r="M456" s="269">
        <f t="shared" si="104"/>
        <v>66</v>
      </c>
      <c r="N456" s="269">
        <f t="shared" si="103"/>
        <v>68</v>
      </c>
      <c r="O456" s="269">
        <f t="shared" si="103"/>
        <v>65</v>
      </c>
      <c r="P456" s="269">
        <f t="shared" si="103"/>
        <v>70</v>
      </c>
      <c r="Q456" s="269">
        <f t="shared" si="103"/>
        <v>73</v>
      </c>
      <c r="R456" s="269">
        <f t="shared" si="103"/>
        <v>75</v>
      </c>
      <c r="S456" s="269"/>
      <c r="T456" s="269">
        <f t="shared" si="95"/>
        <v>65</v>
      </c>
      <c r="U456" s="269">
        <f t="shared" si="96"/>
        <v>66</v>
      </c>
      <c r="V456" s="269">
        <f t="shared" si="97"/>
        <v>67</v>
      </c>
      <c r="W456" s="269">
        <f t="shared" si="98"/>
        <v>68</v>
      </c>
      <c r="X456" s="269">
        <f t="shared" si="99"/>
        <v>70</v>
      </c>
      <c r="Y456" s="269">
        <f t="shared" si="100"/>
        <v>71</v>
      </c>
      <c r="Z456" s="269">
        <f t="shared" si="101"/>
        <v>73</v>
      </c>
      <c r="AA456" s="269">
        <f t="shared" si="102"/>
        <v>75</v>
      </c>
    </row>
    <row r="457" spans="1:27">
      <c r="A457" s="104">
        <v>456</v>
      </c>
      <c r="B457" s="104" t="str">
        <f t="shared" si="94"/>
        <v>ABCDFGIJ</v>
      </c>
      <c r="C457" s="104" t="s">
        <v>145</v>
      </c>
      <c r="D457" s="104" t="s">
        <v>231</v>
      </c>
      <c r="E457" s="104" t="s">
        <v>144</v>
      </c>
      <c r="F457" s="104" t="s">
        <v>150</v>
      </c>
      <c r="G457" s="104" t="s">
        <v>142</v>
      </c>
      <c r="H457" s="104" t="s">
        <v>152</v>
      </c>
      <c r="I457" s="104" t="s">
        <v>258</v>
      </c>
      <c r="J457" s="104" t="s">
        <v>232</v>
      </c>
      <c r="K457" s="269">
        <f t="shared" si="104"/>
        <v>67</v>
      </c>
      <c r="L457" s="269">
        <f t="shared" si="104"/>
        <v>71</v>
      </c>
      <c r="M457" s="269">
        <f t="shared" si="104"/>
        <v>66</v>
      </c>
      <c r="N457" s="269">
        <f t="shared" si="103"/>
        <v>68</v>
      </c>
      <c r="O457" s="269">
        <f t="shared" si="103"/>
        <v>65</v>
      </c>
      <c r="P457" s="269">
        <f t="shared" si="103"/>
        <v>70</v>
      </c>
      <c r="Q457" s="269">
        <f t="shared" si="103"/>
        <v>73</v>
      </c>
      <c r="R457" s="269">
        <f t="shared" si="103"/>
        <v>74</v>
      </c>
      <c r="S457" s="269"/>
      <c r="T457" s="269">
        <f t="shared" si="95"/>
        <v>65</v>
      </c>
      <c r="U457" s="269">
        <f t="shared" si="96"/>
        <v>66</v>
      </c>
      <c r="V457" s="269">
        <f t="shared" si="97"/>
        <v>67</v>
      </c>
      <c r="W457" s="269">
        <f t="shared" si="98"/>
        <v>68</v>
      </c>
      <c r="X457" s="269">
        <f t="shared" si="99"/>
        <v>70</v>
      </c>
      <c r="Y457" s="269">
        <f t="shared" si="100"/>
        <v>71</v>
      </c>
      <c r="Z457" s="269">
        <f t="shared" si="101"/>
        <v>73</v>
      </c>
      <c r="AA457" s="269">
        <f t="shared" si="102"/>
        <v>74</v>
      </c>
    </row>
    <row r="458" spans="1:27">
      <c r="A458" s="104">
        <v>457</v>
      </c>
      <c r="B458" s="104" t="str">
        <f t="shared" si="94"/>
        <v>ABCDFGHL</v>
      </c>
      <c r="C458" s="104" t="s">
        <v>145</v>
      </c>
      <c r="D458" s="104" t="s">
        <v>231</v>
      </c>
      <c r="E458" s="104" t="s">
        <v>144</v>
      </c>
      <c r="F458" s="104" t="s">
        <v>150</v>
      </c>
      <c r="G458" s="104" t="s">
        <v>142</v>
      </c>
      <c r="H458" s="104" t="s">
        <v>152</v>
      </c>
      <c r="I458" s="104" t="s">
        <v>259</v>
      </c>
      <c r="J458" s="104" t="s">
        <v>245</v>
      </c>
      <c r="K458" s="269">
        <f t="shared" si="104"/>
        <v>67</v>
      </c>
      <c r="L458" s="269">
        <f t="shared" si="104"/>
        <v>71</v>
      </c>
      <c r="M458" s="269">
        <f t="shared" si="104"/>
        <v>66</v>
      </c>
      <c r="N458" s="269">
        <f t="shared" si="103"/>
        <v>68</v>
      </c>
      <c r="O458" s="269">
        <f t="shared" si="103"/>
        <v>65</v>
      </c>
      <c r="P458" s="269">
        <f t="shared" si="103"/>
        <v>70</v>
      </c>
      <c r="Q458" s="269">
        <f t="shared" si="103"/>
        <v>76</v>
      </c>
      <c r="R458" s="269">
        <f t="shared" si="103"/>
        <v>72</v>
      </c>
      <c r="S458" s="269"/>
      <c r="T458" s="269">
        <f t="shared" si="95"/>
        <v>65</v>
      </c>
      <c r="U458" s="269">
        <f t="shared" si="96"/>
        <v>66</v>
      </c>
      <c r="V458" s="269">
        <f t="shared" si="97"/>
        <v>67</v>
      </c>
      <c r="W458" s="269">
        <f t="shared" si="98"/>
        <v>68</v>
      </c>
      <c r="X458" s="269">
        <f t="shared" si="99"/>
        <v>70</v>
      </c>
      <c r="Y458" s="269">
        <f t="shared" si="100"/>
        <v>71</v>
      </c>
      <c r="Z458" s="269">
        <f t="shared" si="101"/>
        <v>72</v>
      </c>
      <c r="AA458" s="269">
        <f t="shared" si="102"/>
        <v>76</v>
      </c>
    </row>
    <row r="459" spans="1:27">
      <c r="A459" s="104">
        <v>458</v>
      </c>
      <c r="B459" s="104" t="str">
        <f t="shared" si="94"/>
        <v>ABCDFGHK</v>
      </c>
      <c r="C459" s="104" t="s">
        <v>245</v>
      </c>
      <c r="D459" s="104" t="s">
        <v>231</v>
      </c>
      <c r="E459" s="104" t="s">
        <v>144</v>
      </c>
      <c r="F459" s="104" t="s">
        <v>145</v>
      </c>
      <c r="G459" s="104" t="s">
        <v>142</v>
      </c>
      <c r="H459" s="104" t="s">
        <v>152</v>
      </c>
      <c r="I459" s="104" t="s">
        <v>150</v>
      </c>
      <c r="J459" s="104" t="s">
        <v>246</v>
      </c>
      <c r="K459" s="269">
        <f t="shared" si="104"/>
        <v>72</v>
      </c>
      <c r="L459" s="269">
        <f t="shared" si="104"/>
        <v>71</v>
      </c>
      <c r="M459" s="269">
        <f t="shared" si="104"/>
        <v>66</v>
      </c>
      <c r="N459" s="269">
        <f t="shared" si="103"/>
        <v>67</v>
      </c>
      <c r="O459" s="269">
        <f t="shared" si="103"/>
        <v>65</v>
      </c>
      <c r="P459" s="269">
        <f t="shared" si="103"/>
        <v>70</v>
      </c>
      <c r="Q459" s="269">
        <f t="shared" si="103"/>
        <v>68</v>
      </c>
      <c r="R459" s="269">
        <f t="shared" si="103"/>
        <v>75</v>
      </c>
      <c r="S459" s="269"/>
      <c r="T459" s="269">
        <f t="shared" si="95"/>
        <v>65</v>
      </c>
      <c r="U459" s="269">
        <f t="shared" si="96"/>
        <v>66</v>
      </c>
      <c r="V459" s="269">
        <f t="shared" si="97"/>
        <v>67</v>
      </c>
      <c r="W459" s="269">
        <f t="shared" si="98"/>
        <v>68</v>
      </c>
      <c r="X459" s="269">
        <f t="shared" si="99"/>
        <v>70</v>
      </c>
      <c r="Y459" s="269">
        <f t="shared" si="100"/>
        <v>71</v>
      </c>
      <c r="Z459" s="269">
        <f t="shared" si="101"/>
        <v>72</v>
      </c>
      <c r="AA459" s="269">
        <f t="shared" si="102"/>
        <v>75</v>
      </c>
    </row>
    <row r="460" spans="1:27">
      <c r="A460" s="104">
        <v>459</v>
      </c>
      <c r="B460" s="104" t="str">
        <f t="shared" si="94"/>
        <v>ABCDFGHJ</v>
      </c>
      <c r="C460" s="104" t="s">
        <v>245</v>
      </c>
      <c r="D460" s="104" t="s">
        <v>231</v>
      </c>
      <c r="E460" s="104" t="s">
        <v>144</v>
      </c>
      <c r="F460" s="104" t="s">
        <v>145</v>
      </c>
      <c r="G460" s="104" t="s">
        <v>142</v>
      </c>
      <c r="H460" s="104" t="s">
        <v>152</v>
      </c>
      <c r="I460" s="104" t="s">
        <v>150</v>
      </c>
      <c r="J460" s="104" t="s">
        <v>232</v>
      </c>
      <c r="K460" s="269">
        <f t="shared" si="104"/>
        <v>72</v>
      </c>
      <c r="L460" s="269">
        <f t="shared" si="104"/>
        <v>71</v>
      </c>
      <c r="M460" s="269">
        <f t="shared" si="104"/>
        <v>66</v>
      </c>
      <c r="N460" s="269">
        <f t="shared" si="103"/>
        <v>67</v>
      </c>
      <c r="O460" s="269">
        <f t="shared" si="103"/>
        <v>65</v>
      </c>
      <c r="P460" s="269">
        <f t="shared" si="103"/>
        <v>70</v>
      </c>
      <c r="Q460" s="269">
        <f t="shared" si="103"/>
        <v>68</v>
      </c>
      <c r="R460" s="269">
        <f t="shared" si="103"/>
        <v>74</v>
      </c>
      <c r="S460" s="269"/>
      <c r="T460" s="269">
        <f t="shared" si="95"/>
        <v>65</v>
      </c>
      <c r="U460" s="269">
        <f t="shared" si="96"/>
        <v>66</v>
      </c>
      <c r="V460" s="269">
        <f t="shared" si="97"/>
        <v>67</v>
      </c>
      <c r="W460" s="269">
        <f t="shared" si="98"/>
        <v>68</v>
      </c>
      <c r="X460" s="269">
        <f t="shared" si="99"/>
        <v>70</v>
      </c>
      <c r="Y460" s="269">
        <f t="shared" si="100"/>
        <v>71</v>
      </c>
      <c r="Z460" s="269">
        <f t="shared" si="101"/>
        <v>72</v>
      </c>
      <c r="AA460" s="269">
        <f t="shared" si="102"/>
        <v>74</v>
      </c>
    </row>
    <row r="461" spans="1:27">
      <c r="A461" s="104">
        <v>460</v>
      </c>
      <c r="B461" s="104" t="str">
        <f t="shared" si="94"/>
        <v>ABCDFGHI</v>
      </c>
      <c r="C461" s="104" t="s">
        <v>245</v>
      </c>
      <c r="D461" s="104" t="s">
        <v>231</v>
      </c>
      <c r="E461" s="104" t="s">
        <v>144</v>
      </c>
      <c r="F461" s="104" t="s">
        <v>145</v>
      </c>
      <c r="G461" s="104" t="s">
        <v>142</v>
      </c>
      <c r="H461" s="104" t="s">
        <v>152</v>
      </c>
      <c r="I461" s="104" t="s">
        <v>150</v>
      </c>
      <c r="J461" s="104" t="s">
        <v>258</v>
      </c>
      <c r="K461" s="269">
        <f t="shared" si="104"/>
        <v>72</v>
      </c>
      <c r="L461" s="269">
        <f t="shared" si="104"/>
        <v>71</v>
      </c>
      <c r="M461" s="269">
        <f t="shared" si="104"/>
        <v>66</v>
      </c>
      <c r="N461" s="269">
        <f t="shared" si="103"/>
        <v>67</v>
      </c>
      <c r="O461" s="269">
        <f t="shared" si="103"/>
        <v>65</v>
      </c>
      <c r="P461" s="269">
        <f t="shared" si="103"/>
        <v>70</v>
      </c>
      <c r="Q461" s="269">
        <f t="shared" si="103"/>
        <v>68</v>
      </c>
      <c r="R461" s="269">
        <f t="shared" si="103"/>
        <v>73</v>
      </c>
      <c r="S461" s="269"/>
      <c r="T461" s="269">
        <f t="shared" si="95"/>
        <v>65</v>
      </c>
      <c r="U461" s="269">
        <f t="shared" si="96"/>
        <v>66</v>
      </c>
      <c r="V461" s="269">
        <f t="shared" si="97"/>
        <v>67</v>
      </c>
      <c r="W461" s="269">
        <f t="shared" si="98"/>
        <v>68</v>
      </c>
      <c r="X461" s="269">
        <f t="shared" si="99"/>
        <v>70</v>
      </c>
      <c r="Y461" s="269">
        <f t="shared" si="100"/>
        <v>71</v>
      </c>
      <c r="Z461" s="269">
        <f t="shared" si="101"/>
        <v>72</v>
      </c>
      <c r="AA461" s="269">
        <f t="shared" si="102"/>
        <v>73</v>
      </c>
    </row>
    <row r="462" spans="1:27">
      <c r="A462" s="104">
        <v>461</v>
      </c>
      <c r="B462" s="104" t="str">
        <f t="shared" si="94"/>
        <v>ABCDEJKL</v>
      </c>
      <c r="C462" s="104" t="s">
        <v>151</v>
      </c>
      <c r="D462" s="104" t="s">
        <v>232</v>
      </c>
      <c r="E462" s="104" t="s">
        <v>144</v>
      </c>
      <c r="F462" s="104" t="s">
        <v>145</v>
      </c>
      <c r="G462" s="104" t="s">
        <v>142</v>
      </c>
      <c r="H462" s="104" t="s">
        <v>150</v>
      </c>
      <c r="I462" s="104" t="s">
        <v>259</v>
      </c>
      <c r="J462" s="104" t="s">
        <v>246</v>
      </c>
      <c r="K462" s="269">
        <f t="shared" si="104"/>
        <v>69</v>
      </c>
      <c r="L462" s="269">
        <f t="shared" si="104"/>
        <v>74</v>
      </c>
      <c r="M462" s="269">
        <f t="shared" si="104"/>
        <v>66</v>
      </c>
      <c r="N462" s="269">
        <f t="shared" si="103"/>
        <v>67</v>
      </c>
      <c r="O462" s="269">
        <f t="shared" si="103"/>
        <v>65</v>
      </c>
      <c r="P462" s="269">
        <f t="shared" si="103"/>
        <v>68</v>
      </c>
      <c r="Q462" s="269">
        <f t="shared" si="103"/>
        <v>76</v>
      </c>
      <c r="R462" s="269">
        <f t="shared" si="103"/>
        <v>75</v>
      </c>
      <c r="S462" s="269"/>
      <c r="T462" s="269">
        <f t="shared" si="95"/>
        <v>65</v>
      </c>
      <c r="U462" s="269">
        <f t="shared" si="96"/>
        <v>66</v>
      </c>
      <c r="V462" s="269">
        <f t="shared" si="97"/>
        <v>67</v>
      </c>
      <c r="W462" s="269">
        <f t="shared" si="98"/>
        <v>68</v>
      </c>
      <c r="X462" s="269">
        <f t="shared" si="99"/>
        <v>69</v>
      </c>
      <c r="Y462" s="269">
        <f t="shared" si="100"/>
        <v>74</v>
      </c>
      <c r="Z462" s="269">
        <f t="shared" si="101"/>
        <v>75</v>
      </c>
      <c r="AA462" s="269">
        <f t="shared" si="102"/>
        <v>76</v>
      </c>
    </row>
    <row r="463" spans="1:27">
      <c r="A463" s="104">
        <v>462</v>
      </c>
      <c r="B463" s="104" t="str">
        <f t="shared" si="94"/>
        <v>ABCDEIKL</v>
      </c>
      <c r="C463" s="104" t="s">
        <v>151</v>
      </c>
      <c r="D463" s="104" t="s">
        <v>258</v>
      </c>
      <c r="E463" s="104" t="s">
        <v>144</v>
      </c>
      <c r="F463" s="104" t="s">
        <v>145</v>
      </c>
      <c r="G463" s="104" t="s">
        <v>142</v>
      </c>
      <c r="H463" s="104" t="s">
        <v>150</v>
      </c>
      <c r="I463" s="104" t="s">
        <v>259</v>
      </c>
      <c r="J463" s="104" t="s">
        <v>246</v>
      </c>
      <c r="K463" s="269">
        <f t="shared" si="104"/>
        <v>69</v>
      </c>
      <c r="L463" s="269">
        <f t="shared" si="104"/>
        <v>73</v>
      </c>
      <c r="M463" s="269">
        <f t="shared" si="104"/>
        <v>66</v>
      </c>
      <c r="N463" s="269">
        <f t="shared" si="103"/>
        <v>67</v>
      </c>
      <c r="O463" s="269">
        <f t="shared" si="103"/>
        <v>65</v>
      </c>
      <c r="P463" s="269">
        <f t="shared" si="103"/>
        <v>68</v>
      </c>
      <c r="Q463" s="269">
        <f t="shared" si="103"/>
        <v>76</v>
      </c>
      <c r="R463" s="269">
        <f t="shared" si="103"/>
        <v>75</v>
      </c>
      <c r="S463" s="269"/>
      <c r="T463" s="269">
        <f t="shared" si="95"/>
        <v>65</v>
      </c>
      <c r="U463" s="269">
        <f t="shared" si="96"/>
        <v>66</v>
      </c>
      <c r="V463" s="269">
        <f t="shared" si="97"/>
        <v>67</v>
      </c>
      <c r="W463" s="269">
        <f t="shared" si="98"/>
        <v>68</v>
      </c>
      <c r="X463" s="269">
        <f t="shared" si="99"/>
        <v>69</v>
      </c>
      <c r="Y463" s="269">
        <f t="shared" si="100"/>
        <v>73</v>
      </c>
      <c r="Z463" s="269">
        <f t="shared" si="101"/>
        <v>75</v>
      </c>
      <c r="AA463" s="269">
        <f t="shared" si="102"/>
        <v>76</v>
      </c>
    </row>
    <row r="464" spans="1:27">
      <c r="A464" s="104">
        <v>463</v>
      </c>
      <c r="B464" s="104" t="str">
        <f t="shared" si="94"/>
        <v>ABCDEIJL</v>
      </c>
      <c r="C464" s="104" t="s">
        <v>151</v>
      </c>
      <c r="D464" s="104" t="s">
        <v>232</v>
      </c>
      <c r="E464" s="104" t="s">
        <v>144</v>
      </c>
      <c r="F464" s="104" t="s">
        <v>145</v>
      </c>
      <c r="G464" s="104" t="s">
        <v>142</v>
      </c>
      <c r="H464" s="104" t="s">
        <v>150</v>
      </c>
      <c r="I464" s="104" t="s">
        <v>259</v>
      </c>
      <c r="J464" s="104" t="s">
        <v>258</v>
      </c>
      <c r="K464" s="269">
        <f t="shared" si="104"/>
        <v>69</v>
      </c>
      <c r="L464" s="269">
        <f t="shared" si="104"/>
        <v>74</v>
      </c>
      <c r="M464" s="269">
        <f t="shared" si="104"/>
        <v>66</v>
      </c>
      <c r="N464" s="269">
        <f t="shared" si="103"/>
        <v>67</v>
      </c>
      <c r="O464" s="269">
        <f t="shared" si="103"/>
        <v>65</v>
      </c>
      <c r="P464" s="269">
        <f t="shared" si="103"/>
        <v>68</v>
      </c>
      <c r="Q464" s="269">
        <f t="shared" si="103"/>
        <v>76</v>
      </c>
      <c r="R464" s="269">
        <f t="shared" si="103"/>
        <v>73</v>
      </c>
      <c r="S464" s="269"/>
      <c r="T464" s="269">
        <f t="shared" si="95"/>
        <v>65</v>
      </c>
      <c r="U464" s="269">
        <f t="shared" si="96"/>
        <v>66</v>
      </c>
      <c r="V464" s="269">
        <f t="shared" si="97"/>
        <v>67</v>
      </c>
      <c r="W464" s="269">
        <f t="shared" si="98"/>
        <v>68</v>
      </c>
      <c r="X464" s="269">
        <f t="shared" si="99"/>
        <v>69</v>
      </c>
      <c r="Y464" s="269">
        <f t="shared" si="100"/>
        <v>73</v>
      </c>
      <c r="Z464" s="269">
        <f t="shared" si="101"/>
        <v>74</v>
      </c>
      <c r="AA464" s="269">
        <f t="shared" si="102"/>
        <v>76</v>
      </c>
    </row>
    <row r="465" spans="1:27">
      <c r="A465" s="104">
        <v>464</v>
      </c>
      <c r="B465" s="104" t="str">
        <f t="shared" si="94"/>
        <v>ABCDEIJK</v>
      </c>
      <c r="C465" s="104" t="s">
        <v>151</v>
      </c>
      <c r="D465" s="104" t="s">
        <v>232</v>
      </c>
      <c r="E465" s="104" t="s">
        <v>144</v>
      </c>
      <c r="F465" s="104" t="s">
        <v>145</v>
      </c>
      <c r="G465" s="104" t="s">
        <v>142</v>
      </c>
      <c r="H465" s="104" t="s">
        <v>150</v>
      </c>
      <c r="I465" s="104" t="s">
        <v>258</v>
      </c>
      <c r="J465" s="104" t="s">
        <v>246</v>
      </c>
      <c r="K465" s="269">
        <f t="shared" si="104"/>
        <v>69</v>
      </c>
      <c r="L465" s="269">
        <f t="shared" si="104"/>
        <v>74</v>
      </c>
      <c r="M465" s="269">
        <f t="shared" si="104"/>
        <v>66</v>
      </c>
      <c r="N465" s="269">
        <f t="shared" si="103"/>
        <v>67</v>
      </c>
      <c r="O465" s="269">
        <f t="shared" si="103"/>
        <v>65</v>
      </c>
      <c r="P465" s="269">
        <f t="shared" si="103"/>
        <v>68</v>
      </c>
      <c r="Q465" s="269">
        <f t="shared" si="103"/>
        <v>73</v>
      </c>
      <c r="R465" s="269">
        <f t="shared" si="103"/>
        <v>75</v>
      </c>
      <c r="S465" s="269"/>
      <c r="T465" s="269">
        <f t="shared" si="95"/>
        <v>65</v>
      </c>
      <c r="U465" s="269">
        <f t="shared" si="96"/>
        <v>66</v>
      </c>
      <c r="V465" s="269">
        <f t="shared" si="97"/>
        <v>67</v>
      </c>
      <c r="W465" s="269">
        <f t="shared" si="98"/>
        <v>68</v>
      </c>
      <c r="X465" s="269">
        <f t="shared" si="99"/>
        <v>69</v>
      </c>
      <c r="Y465" s="269">
        <f t="shared" si="100"/>
        <v>73</v>
      </c>
      <c r="Z465" s="269">
        <f t="shared" si="101"/>
        <v>74</v>
      </c>
      <c r="AA465" s="269">
        <f t="shared" si="102"/>
        <v>75</v>
      </c>
    </row>
    <row r="466" spans="1:27">
      <c r="A466" s="104">
        <v>465</v>
      </c>
      <c r="B466" s="104" t="str">
        <f t="shared" si="94"/>
        <v>ABCDEHKL</v>
      </c>
      <c r="C466" s="104" t="s">
        <v>245</v>
      </c>
      <c r="D466" s="104" t="s">
        <v>151</v>
      </c>
      <c r="E466" s="104" t="s">
        <v>144</v>
      </c>
      <c r="F466" s="104" t="s">
        <v>145</v>
      </c>
      <c r="G466" s="104" t="s">
        <v>142</v>
      </c>
      <c r="H466" s="104" t="s">
        <v>150</v>
      </c>
      <c r="I466" s="104" t="s">
        <v>259</v>
      </c>
      <c r="J466" s="104" t="s">
        <v>246</v>
      </c>
      <c r="K466" s="269">
        <f t="shared" si="104"/>
        <v>72</v>
      </c>
      <c r="L466" s="269">
        <f t="shared" si="104"/>
        <v>69</v>
      </c>
      <c r="M466" s="269">
        <f t="shared" si="104"/>
        <v>66</v>
      </c>
      <c r="N466" s="269">
        <f t="shared" si="103"/>
        <v>67</v>
      </c>
      <c r="O466" s="269">
        <f t="shared" si="103"/>
        <v>65</v>
      </c>
      <c r="P466" s="269">
        <f t="shared" si="103"/>
        <v>68</v>
      </c>
      <c r="Q466" s="269">
        <f t="shared" si="103"/>
        <v>76</v>
      </c>
      <c r="R466" s="269">
        <f t="shared" si="103"/>
        <v>75</v>
      </c>
      <c r="S466" s="269"/>
      <c r="T466" s="269">
        <f t="shared" si="95"/>
        <v>65</v>
      </c>
      <c r="U466" s="269">
        <f t="shared" si="96"/>
        <v>66</v>
      </c>
      <c r="V466" s="269">
        <f t="shared" si="97"/>
        <v>67</v>
      </c>
      <c r="W466" s="269">
        <f t="shared" si="98"/>
        <v>68</v>
      </c>
      <c r="X466" s="269">
        <f t="shared" si="99"/>
        <v>69</v>
      </c>
      <c r="Y466" s="269">
        <f t="shared" si="100"/>
        <v>72</v>
      </c>
      <c r="Z466" s="269">
        <f t="shared" si="101"/>
        <v>75</v>
      </c>
      <c r="AA466" s="269">
        <f t="shared" si="102"/>
        <v>76</v>
      </c>
    </row>
    <row r="467" spans="1:27">
      <c r="A467" s="104">
        <v>466</v>
      </c>
      <c r="B467" s="104" t="str">
        <f t="shared" si="94"/>
        <v>ABCDEHJL</v>
      </c>
      <c r="C467" s="104" t="s">
        <v>245</v>
      </c>
      <c r="D467" s="104" t="s">
        <v>232</v>
      </c>
      <c r="E467" s="104" t="s">
        <v>144</v>
      </c>
      <c r="F467" s="104" t="s">
        <v>145</v>
      </c>
      <c r="G467" s="104" t="s">
        <v>142</v>
      </c>
      <c r="H467" s="104" t="s">
        <v>150</v>
      </c>
      <c r="I467" s="104" t="s">
        <v>259</v>
      </c>
      <c r="J467" s="104" t="s">
        <v>151</v>
      </c>
      <c r="K467" s="269">
        <f t="shared" si="104"/>
        <v>72</v>
      </c>
      <c r="L467" s="269">
        <f t="shared" si="104"/>
        <v>74</v>
      </c>
      <c r="M467" s="269">
        <f t="shared" si="104"/>
        <v>66</v>
      </c>
      <c r="N467" s="269">
        <f t="shared" si="103"/>
        <v>67</v>
      </c>
      <c r="O467" s="269">
        <f t="shared" si="103"/>
        <v>65</v>
      </c>
      <c r="P467" s="269">
        <f t="shared" si="103"/>
        <v>68</v>
      </c>
      <c r="Q467" s="269">
        <f t="shared" si="103"/>
        <v>76</v>
      </c>
      <c r="R467" s="269">
        <f t="shared" si="103"/>
        <v>69</v>
      </c>
      <c r="S467" s="269"/>
      <c r="T467" s="269">
        <f t="shared" si="95"/>
        <v>65</v>
      </c>
      <c r="U467" s="269">
        <f t="shared" si="96"/>
        <v>66</v>
      </c>
      <c r="V467" s="269">
        <f t="shared" si="97"/>
        <v>67</v>
      </c>
      <c r="W467" s="269">
        <f t="shared" si="98"/>
        <v>68</v>
      </c>
      <c r="X467" s="269">
        <f t="shared" si="99"/>
        <v>69</v>
      </c>
      <c r="Y467" s="269">
        <f t="shared" si="100"/>
        <v>72</v>
      </c>
      <c r="Z467" s="269">
        <f t="shared" si="101"/>
        <v>74</v>
      </c>
      <c r="AA467" s="269">
        <f t="shared" si="102"/>
        <v>76</v>
      </c>
    </row>
    <row r="468" spans="1:27">
      <c r="A468" s="104">
        <v>467</v>
      </c>
      <c r="B468" s="104" t="str">
        <f t="shared" si="94"/>
        <v>ABCDEHJK</v>
      </c>
      <c r="C468" s="104" t="s">
        <v>245</v>
      </c>
      <c r="D468" s="104" t="s">
        <v>232</v>
      </c>
      <c r="E468" s="104" t="s">
        <v>144</v>
      </c>
      <c r="F468" s="104" t="s">
        <v>145</v>
      </c>
      <c r="G468" s="104" t="s">
        <v>142</v>
      </c>
      <c r="H468" s="104" t="s">
        <v>150</v>
      </c>
      <c r="I468" s="104" t="s">
        <v>151</v>
      </c>
      <c r="J468" s="104" t="s">
        <v>246</v>
      </c>
      <c r="K468" s="269">
        <f t="shared" si="104"/>
        <v>72</v>
      </c>
      <c r="L468" s="269">
        <f t="shared" si="104"/>
        <v>74</v>
      </c>
      <c r="M468" s="269">
        <f t="shared" si="104"/>
        <v>66</v>
      </c>
      <c r="N468" s="269">
        <f t="shared" si="103"/>
        <v>67</v>
      </c>
      <c r="O468" s="269">
        <f t="shared" si="103"/>
        <v>65</v>
      </c>
      <c r="P468" s="269">
        <f t="shared" si="103"/>
        <v>68</v>
      </c>
      <c r="Q468" s="269">
        <f t="shared" si="103"/>
        <v>69</v>
      </c>
      <c r="R468" s="269">
        <f t="shared" si="103"/>
        <v>75</v>
      </c>
      <c r="S468" s="269"/>
      <c r="T468" s="269">
        <f t="shared" si="95"/>
        <v>65</v>
      </c>
      <c r="U468" s="269">
        <f t="shared" si="96"/>
        <v>66</v>
      </c>
      <c r="V468" s="269">
        <f t="shared" si="97"/>
        <v>67</v>
      </c>
      <c r="W468" s="269">
        <f t="shared" si="98"/>
        <v>68</v>
      </c>
      <c r="X468" s="269">
        <f t="shared" si="99"/>
        <v>69</v>
      </c>
      <c r="Y468" s="269">
        <f t="shared" si="100"/>
        <v>72</v>
      </c>
      <c r="Z468" s="269">
        <f t="shared" si="101"/>
        <v>74</v>
      </c>
      <c r="AA468" s="269">
        <f t="shared" si="102"/>
        <v>75</v>
      </c>
    </row>
    <row r="469" spans="1:27">
      <c r="A469" s="104">
        <v>468</v>
      </c>
      <c r="B469" s="104" t="str">
        <f t="shared" si="94"/>
        <v>ABCDEHIL</v>
      </c>
      <c r="C469" s="104" t="s">
        <v>245</v>
      </c>
      <c r="D469" s="104" t="s">
        <v>151</v>
      </c>
      <c r="E469" s="104" t="s">
        <v>144</v>
      </c>
      <c r="F469" s="104" t="s">
        <v>145</v>
      </c>
      <c r="G469" s="104" t="s">
        <v>142</v>
      </c>
      <c r="H469" s="104" t="s">
        <v>150</v>
      </c>
      <c r="I469" s="104" t="s">
        <v>259</v>
      </c>
      <c r="J469" s="104" t="s">
        <v>258</v>
      </c>
      <c r="K469" s="269">
        <f t="shared" si="104"/>
        <v>72</v>
      </c>
      <c r="L469" s="269">
        <f t="shared" si="104"/>
        <v>69</v>
      </c>
      <c r="M469" s="269">
        <f t="shared" si="104"/>
        <v>66</v>
      </c>
      <c r="N469" s="269">
        <f t="shared" si="103"/>
        <v>67</v>
      </c>
      <c r="O469" s="269">
        <f t="shared" si="103"/>
        <v>65</v>
      </c>
      <c r="P469" s="269">
        <f t="shared" si="103"/>
        <v>68</v>
      </c>
      <c r="Q469" s="269">
        <f t="shared" si="103"/>
        <v>76</v>
      </c>
      <c r="R469" s="269">
        <f t="shared" si="103"/>
        <v>73</v>
      </c>
      <c r="S469" s="269"/>
      <c r="T469" s="269">
        <f t="shared" si="95"/>
        <v>65</v>
      </c>
      <c r="U469" s="269">
        <f t="shared" si="96"/>
        <v>66</v>
      </c>
      <c r="V469" s="269">
        <f t="shared" si="97"/>
        <v>67</v>
      </c>
      <c r="W469" s="269">
        <f t="shared" si="98"/>
        <v>68</v>
      </c>
      <c r="X469" s="269">
        <f t="shared" si="99"/>
        <v>69</v>
      </c>
      <c r="Y469" s="269">
        <f t="shared" si="100"/>
        <v>72</v>
      </c>
      <c r="Z469" s="269">
        <f t="shared" si="101"/>
        <v>73</v>
      </c>
      <c r="AA469" s="269">
        <f t="shared" si="102"/>
        <v>76</v>
      </c>
    </row>
    <row r="470" spans="1:27">
      <c r="A470" s="104">
        <v>469</v>
      </c>
      <c r="B470" s="104" t="str">
        <f t="shared" si="94"/>
        <v>ABCDEHIK</v>
      </c>
      <c r="C470" s="104" t="s">
        <v>245</v>
      </c>
      <c r="D470" s="104" t="s">
        <v>151</v>
      </c>
      <c r="E470" s="104" t="s">
        <v>144</v>
      </c>
      <c r="F470" s="104" t="s">
        <v>145</v>
      </c>
      <c r="G470" s="104" t="s">
        <v>142</v>
      </c>
      <c r="H470" s="104" t="s">
        <v>150</v>
      </c>
      <c r="I470" s="104" t="s">
        <v>258</v>
      </c>
      <c r="J470" s="104" t="s">
        <v>246</v>
      </c>
      <c r="K470" s="269">
        <f t="shared" si="104"/>
        <v>72</v>
      </c>
      <c r="L470" s="269">
        <f t="shared" si="104"/>
        <v>69</v>
      </c>
      <c r="M470" s="269">
        <f t="shared" si="104"/>
        <v>66</v>
      </c>
      <c r="N470" s="269">
        <f t="shared" si="103"/>
        <v>67</v>
      </c>
      <c r="O470" s="269">
        <f t="shared" si="103"/>
        <v>65</v>
      </c>
      <c r="P470" s="269">
        <f t="shared" si="103"/>
        <v>68</v>
      </c>
      <c r="Q470" s="269">
        <f t="shared" si="103"/>
        <v>73</v>
      </c>
      <c r="R470" s="269">
        <f t="shared" si="103"/>
        <v>75</v>
      </c>
      <c r="S470" s="269"/>
      <c r="T470" s="269">
        <f t="shared" si="95"/>
        <v>65</v>
      </c>
      <c r="U470" s="269">
        <f t="shared" si="96"/>
        <v>66</v>
      </c>
      <c r="V470" s="269">
        <f t="shared" si="97"/>
        <v>67</v>
      </c>
      <c r="W470" s="269">
        <f t="shared" si="98"/>
        <v>68</v>
      </c>
      <c r="X470" s="269">
        <f t="shared" si="99"/>
        <v>69</v>
      </c>
      <c r="Y470" s="269">
        <f t="shared" si="100"/>
        <v>72</v>
      </c>
      <c r="Z470" s="269">
        <f t="shared" si="101"/>
        <v>73</v>
      </c>
      <c r="AA470" s="269">
        <f t="shared" si="102"/>
        <v>75</v>
      </c>
    </row>
    <row r="471" spans="1:27">
      <c r="A471" s="104">
        <v>470</v>
      </c>
      <c r="B471" s="104" t="str">
        <f t="shared" si="94"/>
        <v>ABCDEHIJ</v>
      </c>
      <c r="C471" s="104" t="s">
        <v>245</v>
      </c>
      <c r="D471" s="104" t="s">
        <v>232</v>
      </c>
      <c r="E471" s="104" t="s">
        <v>144</v>
      </c>
      <c r="F471" s="104" t="s">
        <v>145</v>
      </c>
      <c r="G471" s="104" t="s">
        <v>142</v>
      </c>
      <c r="H471" s="104" t="s">
        <v>150</v>
      </c>
      <c r="I471" s="104" t="s">
        <v>151</v>
      </c>
      <c r="J471" s="104" t="s">
        <v>258</v>
      </c>
      <c r="K471" s="269">
        <f t="shared" si="104"/>
        <v>72</v>
      </c>
      <c r="L471" s="269">
        <f t="shared" si="104"/>
        <v>74</v>
      </c>
      <c r="M471" s="269">
        <f t="shared" si="104"/>
        <v>66</v>
      </c>
      <c r="N471" s="269">
        <f t="shared" si="103"/>
        <v>67</v>
      </c>
      <c r="O471" s="269">
        <f t="shared" si="103"/>
        <v>65</v>
      </c>
      <c r="P471" s="269">
        <f t="shared" si="103"/>
        <v>68</v>
      </c>
      <c r="Q471" s="269">
        <f t="shared" si="103"/>
        <v>69</v>
      </c>
      <c r="R471" s="269">
        <f t="shared" si="103"/>
        <v>73</v>
      </c>
      <c r="S471" s="269"/>
      <c r="T471" s="269">
        <f t="shared" si="95"/>
        <v>65</v>
      </c>
      <c r="U471" s="269">
        <f t="shared" si="96"/>
        <v>66</v>
      </c>
      <c r="V471" s="269">
        <f t="shared" si="97"/>
        <v>67</v>
      </c>
      <c r="W471" s="269">
        <f t="shared" si="98"/>
        <v>68</v>
      </c>
      <c r="X471" s="269">
        <f t="shared" si="99"/>
        <v>69</v>
      </c>
      <c r="Y471" s="269">
        <f t="shared" si="100"/>
        <v>72</v>
      </c>
      <c r="Z471" s="269">
        <f t="shared" si="101"/>
        <v>73</v>
      </c>
      <c r="AA471" s="269">
        <f t="shared" si="102"/>
        <v>74</v>
      </c>
    </row>
    <row r="472" spans="1:27">
      <c r="A472" s="104">
        <v>471</v>
      </c>
      <c r="B472" s="104" t="str">
        <f t="shared" si="94"/>
        <v>ABCDEGKL</v>
      </c>
      <c r="C472" s="104" t="s">
        <v>151</v>
      </c>
      <c r="D472" s="104" t="s">
        <v>231</v>
      </c>
      <c r="E472" s="104" t="s">
        <v>144</v>
      </c>
      <c r="F472" s="104" t="s">
        <v>145</v>
      </c>
      <c r="G472" s="104" t="s">
        <v>142</v>
      </c>
      <c r="H472" s="104" t="s">
        <v>150</v>
      </c>
      <c r="I472" s="104" t="s">
        <v>259</v>
      </c>
      <c r="J472" s="104" t="s">
        <v>246</v>
      </c>
      <c r="K472" s="269">
        <f t="shared" si="104"/>
        <v>69</v>
      </c>
      <c r="L472" s="269">
        <f t="shared" si="104"/>
        <v>71</v>
      </c>
      <c r="M472" s="269">
        <f t="shared" si="104"/>
        <v>66</v>
      </c>
      <c r="N472" s="269">
        <f t="shared" si="103"/>
        <v>67</v>
      </c>
      <c r="O472" s="269">
        <f t="shared" si="103"/>
        <v>65</v>
      </c>
      <c r="P472" s="269">
        <f t="shared" si="103"/>
        <v>68</v>
      </c>
      <c r="Q472" s="269">
        <f t="shared" si="103"/>
        <v>76</v>
      </c>
      <c r="R472" s="269">
        <f t="shared" si="103"/>
        <v>75</v>
      </c>
      <c r="S472" s="269"/>
      <c r="T472" s="269">
        <f t="shared" si="95"/>
        <v>65</v>
      </c>
      <c r="U472" s="269">
        <f t="shared" si="96"/>
        <v>66</v>
      </c>
      <c r="V472" s="269">
        <f t="shared" si="97"/>
        <v>67</v>
      </c>
      <c r="W472" s="269">
        <f t="shared" si="98"/>
        <v>68</v>
      </c>
      <c r="X472" s="269">
        <f t="shared" si="99"/>
        <v>69</v>
      </c>
      <c r="Y472" s="269">
        <f t="shared" si="100"/>
        <v>71</v>
      </c>
      <c r="Z472" s="269">
        <f t="shared" si="101"/>
        <v>75</v>
      </c>
      <c r="AA472" s="269">
        <f t="shared" si="102"/>
        <v>76</v>
      </c>
    </row>
    <row r="473" spans="1:27">
      <c r="A473" s="104">
        <v>472</v>
      </c>
      <c r="B473" s="104" t="str">
        <f t="shared" si="94"/>
        <v>ABCDEGJL</v>
      </c>
      <c r="C473" s="104" t="s">
        <v>151</v>
      </c>
      <c r="D473" s="104" t="s">
        <v>231</v>
      </c>
      <c r="E473" s="104" t="s">
        <v>144</v>
      </c>
      <c r="F473" s="104" t="s">
        <v>145</v>
      </c>
      <c r="G473" s="104" t="s">
        <v>142</v>
      </c>
      <c r="H473" s="104" t="s">
        <v>150</v>
      </c>
      <c r="I473" s="104" t="s">
        <v>259</v>
      </c>
      <c r="J473" s="104" t="s">
        <v>232</v>
      </c>
      <c r="K473" s="269">
        <f t="shared" si="104"/>
        <v>69</v>
      </c>
      <c r="L473" s="269">
        <f t="shared" si="104"/>
        <v>71</v>
      </c>
      <c r="M473" s="269">
        <f t="shared" si="104"/>
        <v>66</v>
      </c>
      <c r="N473" s="269">
        <f t="shared" si="103"/>
        <v>67</v>
      </c>
      <c r="O473" s="269">
        <f t="shared" si="103"/>
        <v>65</v>
      </c>
      <c r="P473" s="269">
        <f t="shared" si="103"/>
        <v>68</v>
      </c>
      <c r="Q473" s="269">
        <f t="shared" si="103"/>
        <v>76</v>
      </c>
      <c r="R473" s="269">
        <f t="shared" si="103"/>
        <v>74</v>
      </c>
      <c r="S473" s="269"/>
      <c r="T473" s="269">
        <f t="shared" si="95"/>
        <v>65</v>
      </c>
      <c r="U473" s="269">
        <f t="shared" si="96"/>
        <v>66</v>
      </c>
      <c r="V473" s="269">
        <f t="shared" si="97"/>
        <v>67</v>
      </c>
      <c r="W473" s="269">
        <f t="shared" si="98"/>
        <v>68</v>
      </c>
      <c r="X473" s="269">
        <f t="shared" si="99"/>
        <v>69</v>
      </c>
      <c r="Y473" s="269">
        <f t="shared" si="100"/>
        <v>71</v>
      </c>
      <c r="Z473" s="269">
        <f t="shared" si="101"/>
        <v>74</v>
      </c>
      <c r="AA473" s="269">
        <f t="shared" si="102"/>
        <v>76</v>
      </c>
    </row>
    <row r="474" spans="1:27">
      <c r="A474" s="104">
        <v>473</v>
      </c>
      <c r="B474" s="104" t="str">
        <f t="shared" si="94"/>
        <v>ABCDEGJK</v>
      </c>
      <c r="C474" s="104" t="s">
        <v>151</v>
      </c>
      <c r="D474" s="104" t="s">
        <v>231</v>
      </c>
      <c r="E474" s="104" t="s">
        <v>144</v>
      </c>
      <c r="F474" s="104" t="s">
        <v>145</v>
      </c>
      <c r="G474" s="104" t="s">
        <v>142</v>
      </c>
      <c r="H474" s="104" t="s">
        <v>150</v>
      </c>
      <c r="I474" s="104" t="s">
        <v>232</v>
      </c>
      <c r="J474" s="104" t="s">
        <v>246</v>
      </c>
      <c r="K474" s="269">
        <f t="shared" si="104"/>
        <v>69</v>
      </c>
      <c r="L474" s="269">
        <f t="shared" si="104"/>
        <v>71</v>
      </c>
      <c r="M474" s="269">
        <f t="shared" si="104"/>
        <v>66</v>
      </c>
      <c r="N474" s="269">
        <f t="shared" si="103"/>
        <v>67</v>
      </c>
      <c r="O474" s="269">
        <f t="shared" si="103"/>
        <v>65</v>
      </c>
      <c r="P474" s="269">
        <f t="shared" si="103"/>
        <v>68</v>
      </c>
      <c r="Q474" s="269">
        <f t="shared" si="103"/>
        <v>74</v>
      </c>
      <c r="R474" s="269">
        <f t="shared" si="103"/>
        <v>75</v>
      </c>
      <c r="S474" s="269"/>
      <c r="T474" s="269">
        <f t="shared" si="95"/>
        <v>65</v>
      </c>
      <c r="U474" s="269">
        <f t="shared" si="96"/>
        <v>66</v>
      </c>
      <c r="V474" s="269">
        <f t="shared" si="97"/>
        <v>67</v>
      </c>
      <c r="W474" s="269">
        <f t="shared" si="98"/>
        <v>68</v>
      </c>
      <c r="X474" s="269">
        <f t="shared" si="99"/>
        <v>69</v>
      </c>
      <c r="Y474" s="269">
        <f t="shared" si="100"/>
        <v>71</v>
      </c>
      <c r="Z474" s="269">
        <f t="shared" si="101"/>
        <v>74</v>
      </c>
      <c r="AA474" s="269">
        <f t="shared" si="102"/>
        <v>75</v>
      </c>
    </row>
    <row r="475" spans="1:27">
      <c r="A475" s="104">
        <v>474</v>
      </c>
      <c r="B475" s="104" t="str">
        <f t="shared" si="94"/>
        <v>ABCDEGIL</v>
      </c>
      <c r="C475" s="104" t="s">
        <v>151</v>
      </c>
      <c r="D475" s="104" t="s">
        <v>231</v>
      </c>
      <c r="E475" s="104" t="s">
        <v>144</v>
      </c>
      <c r="F475" s="104" t="s">
        <v>145</v>
      </c>
      <c r="G475" s="104" t="s">
        <v>142</v>
      </c>
      <c r="H475" s="104" t="s">
        <v>150</v>
      </c>
      <c r="I475" s="104" t="s">
        <v>259</v>
      </c>
      <c r="J475" s="104" t="s">
        <v>258</v>
      </c>
      <c r="K475" s="269">
        <f t="shared" si="104"/>
        <v>69</v>
      </c>
      <c r="L475" s="269">
        <f t="shared" si="104"/>
        <v>71</v>
      </c>
      <c r="M475" s="269">
        <f t="shared" si="104"/>
        <v>66</v>
      </c>
      <c r="N475" s="269">
        <f t="shared" si="103"/>
        <v>67</v>
      </c>
      <c r="O475" s="269">
        <f t="shared" si="103"/>
        <v>65</v>
      </c>
      <c r="P475" s="269">
        <f t="shared" si="103"/>
        <v>68</v>
      </c>
      <c r="Q475" s="269">
        <f t="shared" si="103"/>
        <v>76</v>
      </c>
      <c r="R475" s="269">
        <f t="shared" si="103"/>
        <v>73</v>
      </c>
      <c r="S475" s="269"/>
      <c r="T475" s="269">
        <f t="shared" si="95"/>
        <v>65</v>
      </c>
      <c r="U475" s="269">
        <f t="shared" si="96"/>
        <v>66</v>
      </c>
      <c r="V475" s="269">
        <f t="shared" si="97"/>
        <v>67</v>
      </c>
      <c r="W475" s="269">
        <f t="shared" si="98"/>
        <v>68</v>
      </c>
      <c r="X475" s="269">
        <f t="shared" si="99"/>
        <v>69</v>
      </c>
      <c r="Y475" s="269">
        <f t="shared" si="100"/>
        <v>71</v>
      </c>
      <c r="Z475" s="269">
        <f t="shared" si="101"/>
        <v>73</v>
      </c>
      <c r="AA475" s="269">
        <f t="shared" si="102"/>
        <v>76</v>
      </c>
    </row>
    <row r="476" spans="1:27">
      <c r="A476" s="104">
        <v>475</v>
      </c>
      <c r="B476" s="104" t="str">
        <f t="shared" si="94"/>
        <v>ABCDEGIK</v>
      </c>
      <c r="C476" s="104" t="s">
        <v>151</v>
      </c>
      <c r="D476" s="104" t="s">
        <v>231</v>
      </c>
      <c r="E476" s="104" t="s">
        <v>144</v>
      </c>
      <c r="F476" s="104" t="s">
        <v>145</v>
      </c>
      <c r="G476" s="104" t="s">
        <v>142</v>
      </c>
      <c r="H476" s="104" t="s">
        <v>150</v>
      </c>
      <c r="I476" s="104" t="s">
        <v>258</v>
      </c>
      <c r="J476" s="104" t="s">
        <v>246</v>
      </c>
      <c r="K476" s="269">
        <f t="shared" si="104"/>
        <v>69</v>
      </c>
      <c r="L476" s="269">
        <f t="shared" si="104"/>
        <v>71</v>
      </c>
      <c r="M476" s="269">
        <f t="shared" si="104"/>
        <v>66</v>
      </c>
      <c r="N476" s="269">
        <f t="shared" si="103"/>
        <v>67</v>
      </c>
      <c r="O476" s="269">
        <f t="shared" si="103"/>
        <v>65</v>
      </c>
      <c r="P476" s="269">
        <f t="shared" si="103"/>
        <v>68</v>
      </c>
      <c r="Q476" s="269">
        <f t="shared" si="103"/>
        <v>73</v>
      </c>
      <c r="R476" s="269">
        <f t="shared" si="103"/>
        <v>75</v>
      </c>
      <c r="S476" s="269"/>
      <c r="T476" s="269">
        <f t="shared" si="95"/>
        <v>65</v>
      </c>
      <c r="U476" s="269">
        <f t="shared" si="96"/>
        <v>66</v>
      </c>
      <c r="V476" s="269">
        <f t="shared" si="97"/>
        <v>67</v>
      </c>
      <c r="W476" s="269">
        <f t="shared" si="98"/>
        <v>68</v>
      </c>
      <c r="X476" s="269">
        <f t="shared" si="99"/>
        <v>69</v>
      </c>
      <c r="Y476" s="269">
        <f t="shared" si="100"/>
        <v>71</v>
      </c>
      <c r="Z476" s="269">
        <f t="shared" si="101"/>
        <v>73</v>
      </c>
      <c r="AA476" s="269">
        <f t="shared" si="102"/>
        <v>75</v>
      </c>
    </row>
    <row r="477" spans="1:27">
      <c r="A477" s="104">
        <v>476</v>
      </c>
      <c r="B477" s="104" t="str">
        <f t="shared" si="94"/>
        <v>ABCDEGIJ</v>
      </c>
      <c r="C477" s="104" t="s">
        <v>151</v>
      </c>
      <c r="D477" s="104" t="s">
        <v>231</v>
      </c>
      <c r="E477" s="104" t="s">
        <v>144</v>
      </c>
      <c r="F477" s="104" t="s">
        <v>145</v>
      </c>
      <c r="G477" s="104" t="s">
        <v>142</v>
      </c>
      <c r="H477" s="104" t="s">
        <v>150</v>
      </c>
      <c r="I477" s="104" t="s">
        <v>258</v>
      </c>
      <c r="J477" s="104" t="s">
        <v>232</v>
      </c>
      <c r="K477" s="269">
        <f t="shared" si="104"/>
        <v>69</v>
      </c>
      <c r="L477" s="269">
        <f t="shared" si="104"/>
        <v>71</v>
      </c>
      <c r="M477" s="269">
        <f t="shared" si="104"/>
        <v>66</v>
      </c>
      <c r="N477" s="269">
        <f t="shared" si="103"/>
        <v>67</v>
      </c>
      <c r="O477" s="269">
        <f t="shared" si="103"/>
        <v>65</v>
      </c>
      <c r="P477" s="269">
        <f t="shared" si="103"/>
        <v>68</v>
      </c>
      <c r="Q477" s="269">
        <f t="shared" si="103"/>
        <v>73</v>
      </c>
      <c r="R477" s="269">
        <f t="shared" si="103"/>
        <v>74</v>
      </c>
      <c r="S477" s="269"/>
      <c r="T477" s="269">
        <f t="shared" si="95"/>
        <v>65</v>
      </c>
      <c r="U477" s="269">
        <f t="shared" si="96"/>
        <v>66</v>
      </c>
      <c r="V477" s="269">
        <f t="shared" si="97"/>
        <v>67</v>
      </c>
      <c r="W477" s="269">
        <f t="shared" si="98"/>
        <v>68</v>
      </c>
      <c r="X477" s="269">
        <f t="shared" si="99"/>
        <v>69</v>
      </c>
      <c r="Y477" s="269">
        <f t="shared" si="100"/>
        <v>71</v>
      </c>
      <c r="Z477" s="269">
        <f t="shared" si="101"/>
        <v>73</v>
      </c>
      <c r="AA477" s="269">
        <f t="shared" si="102"/>
        <v>74</v>
      </c>
    </row>
    <row r="478" spans="1:27">
      <c r="A478" s="104">
        <v>477</v>
      </c>
      <c r="B478" s="104" t="str">
        <f t="shared" si="94"/>
        <v>ABCDEGHL</v>
      </c>
      <c r="C478" s="104" t="s">
        <v>245</v>
      </c>
      <c r="D478" s="104" t="s">
        <v>231</v>
      </c>
      <c r="E478" s="104" t="s">
        <v>144</v>
      </c>
      <c r="F478" s="104" t="s">
        <v>145</v>
      </c>
      <c r="G478" s="104" t="s">
        <v>142</v>
      </c>
      <c r="H478" s="104" t="s">
        <v>150</v>
      </c>
      <c r="I478" s="104" t="s">
        <v>259</v>
      </c>
      <c r="J478" s="104" t="s">
        <v>151</v>
      </c>
      <c r="K478" s="269">
        <f t="shared" si="104"/>
        <v>72</v>
      </c>
      <c r="L478" s="269">
        <f t="shared" si="104"/>
        <v>71</v>
      </c>
      <c r="M478" s="269">
        <f t="shared" si="104"/>
        <v>66</v>
      </c>
      <c r="N478" s="269">
        <f t="shared" si="103"/>
        <v>67</v>
      </c>
      <c r="O478" s="269">
        <f t="shared" si="103"/>
        <v>65</v>
      </c>
      <c r="P478" s="269">
        <f t="shared" si="103"/>
        <v>68</v>
      </c>
      <c r="Q478" s="269">
        <f t="shared" si="103"/>
        <v>76</v>
      </c>
      <c r="R478" s="269">
        <f t="shared" si="103"/>
        <v>69</v>
      </c>
      <c r="S478" s="269"/>
      <c r="T478" s="269">
        <f t="shared" si="95"/>
        <v>65</v>
      </c>
      <c r="U478" s="269">
        <f t="shared" si="96"/>
        <v>66</v>
      </c>
      <c r="V478" s="269">
        <f t="shared" si="97"/>
        <v>67</v>
      </c>
      <c r="W478" s="269">
        <f t="shared" si="98"/>
        <v>68</v>
      </c>
      <c r="X478" s="269">
        <f t="shared" si="99"/>
        <v>69</v>
      </c>
      <c r="Y478" s="269">
        <f t="shared" si="100"/>
        <v>71</v>
      </c>
      <c r="Z478" s="269">
        <f t="shared" si="101"/>
        <v>72</v>
      </c>
      <c r="AA478" s="269">
        <f t="shared" si="102"/>
        <v>76</v>
      </c>
    </row>
    <row r="479" spans="1:27">
      <c r="A479" s="104">
        <v>478</v>
      </c>
      <c r="B479" s="104" t="str">
        <f t="shared" si="94"/>
        <v>ABCDEGHK</v>
      </c>
      <c r="C479" s="104" t="s">
        <v>245</v>
      </c>
      <c r="D479" s="104" t="s">
        <v>231</v>
      </c>
      <c r="E479" s="104" t="s">
        <v>144</v>
      </c>
      <c r="F479" s="104" t="s">
        <v>145</v>
      </c>
      <c r="G479" s="104" t="s">
        <v>142</v>
      </c>
      <c r="H479" s="104" t="s">
        <v>150</v>
      </c>
      <c r="I479" s="104" t="s">
        <v>151</v>
      </c>
      <c r="J479" s="104" t="s">
        <v>246</v>
      </c>
      <c r="K479" s="269">
        <f t="shared" si="104"/>
        <v>72</v>
      </c>
      <c r="L479" s="269">
        <f t="shared" si="104"/>
        <v>71</v>
      </c>
      <c r="M479" s="269">
        <f t="shared" si="104"/>
        <v>66</v>
      </c>
      <c r="N479" s="269">
        <f t="shared" si="103"/>
        <v>67</v>
      </c>
      <c r="O479" s="269">
        <f t="shared" si="103"/>
        <v>65</v>
      </c>
      <c r="P479" s="269">
        <f t="shared" si="103"/>
        <v>68</v>
      </c>
      <c r="Q479" s="269">
        <f t="shared" si="103"/>
        <v>69</v>
      </c>
      <c r="R479" s="269">
        <f t="shared" si="103"/>
        <v>75</v>
      </c>
      <c r="S479" s="269"/>
      <c r="T479" s="269">
        <f t="shared" si="95"/>
        <v>65</v>
      </c>
      <c r="U479" s="269">
        <f t="shared" si="96"/>
        <v>66</v>
      </c>
      <c r="V479" s="269">
        <f t="shared" si="97"/>
        <v>67</v>
      </c>
      <c r="W479" s="269">
        <f t="shared" si="98"/>
        <v>68</v>
      </c>
      <c r="X479" s="269">
        <f t="shared" si="99"/>
        <v>69</v>
      </c>
      <c r="Y479" s="269">
        <f t="shared" si="100"/>
        <v>71</v>
      </c>
      <c r="Z479" s="269">
        <f t="shared" si="101"/>
        <v>72</v>
      </c>
      <c r="AA479" s="269">
        <f t="shared" si="102"/>
        <v>75</v>
      </c>
    </row>
    <row r="480" spans="1:27">
      <c r="A480" s="104">
        <v>479</v>
      </c>
      <c r="B480" s="104" t="str">
        <f t="shared" si="94"/>
        <v>ABCDEGHJ</v>
      </c>
      <c r="C480" s="104" t="s">
        <v>245</v>
      </c>
      <c r="D480" s="104" t="s">
        <v>231</v>
      </c>
      <c r="E480" s="104" t="s">
        <v>144</v>
      </c>
      <c r="F480" s="104" t="s">
        <v>145</v>
      </c>
      <c r="G480" s="104" t="s">
        <v>142</v>
      </c>
      <c r="H480" s="104" t="s">
        <v>150</v>
      </c>
      <c r="I480" s="104" t="s">
        <v>151</v>
      </c>
      <c r="J480" s="104" t="s">
        <v>232</v>
      </c>
      <c r="K480" s="269">
        <f t="shared" si="104"/>
        <v>72</v>
      </c>
      <c r="L480" s="269">
        <f t="shared" si="104"/>
        <v>71</v>
      </c>
      <c r="M480" s="269">
        <f t="shared" si="104"/>
        <v>66</v>
      </c>
      <c r="N480" s="269">
        <f t="shared" si="103"/>
        <v>67</v>
      </c>
      <c r="O480" s="269">
        <f t="shared" si="103"/>
        <v>65</v>
      </c>
      <c r="P480" s="269">
        <f t="shared" si="103"/>
        <v>68</v>
      </c>
      <c r="Q480" s="269">
        <f t="shared" si="103"/>
        <v>69</v>
      </c>
      <c r="R480" s="269">
        <f t="shared" si="103"/>
        <v>74</v>
      </c>
      <c r="S480" s="269"/>
      <c r="T480" s="269">
        <f t="shared" si="95"/>
        <v>65</v>
      </c>
      <c r="U480" s="269">
        <f t="shared" si="96"/>
        <v>66</v>
      </c>
      <c r="V480" s="269">
        <f t="shared" si="97"/>
        <v>67</v>
      </c>
      <c r="W480" s="269">
        <f t="shared" si="98"/>
        <v>68</v>
      </c>
      <c r="X480" s="269">
        <f t="shared" si="99"/>
        <v>69</v>
      </c>
      <c r="Y480" s="269">
        <f t="shared" si="100"/>
        <v>71</v>
      </c>
      <c r="Z480" s="269">
        <f t="shared" si="101"/>
        <v>72</v>
      </c>
      <c r="AA480" s="269">
        <f t="shared" si="102"/>
        <v>74</v>
      </c>
    </row>
    <row r="481" spans="1:27">
      <c r="A481" s="104">
        <v>480</v>
      </c>
      <c r="B481" s="104" t="str">
        <f t="shared" si="94"/>
        <v>ABCDEGHI</v>
      </c>
      <c r="C481" s="104" t="s">
        <v>245</v>
      </c>
      <c r="D481" s="104" t="s">
        <v>231</v>
      </c>
      <c r="E481" s="104" t="s">
        <v>144</v>
      </c>
      <c r="F481" s="104" t="s">
        <v>145</v>
      </c>
      <c r="G481" s="104" t="s">
        <v>142</v>
      </c>
      <c r="H481" s="104" t="s">
        <v>150</v>
      </c>
      <c r="I481" s="104" t="s">
        <v>151</v>
      </c>
      <c r="J481" s="104" t="s">
        <v>258</v>
      </c>
      <c r="K481" s="269">
        <f t="shared" si="104"/>
        <v>72</v>
      </c>
      <c r="L481" s="269">
        <f t="shared" si="104"/>
        <v>71</v>
      </c>
      <c r="M481" s="269">
        <f t="shared" si="104"/>
        <v>66</v>
      </c>
      <c r="N481" s="269">
        <f t="shared" si="103"/>
        <v>67</v>
      </c>
      <c r="O481" s="269">
        <f t="shared" si="103"/>
        <v>65</v>
      </c>
      <c r="P481" s="269">
        <f t="shared" si="103"/>
        <v>68</v>
      </c>
      <c r="Q481" s="269">
        <f t="shared" si="103"/>
        <v>69</v>
      </c>
      <c r="R481" s="269">
        <f t="shared" si="103"/>
        <v>73</v>
      </c>
      <c r="S481" s="269"/>
      <c r="T481" s="269">
        <f t="shared" si="95"/>
        <v>65</v>
      </c>
      <c r="U481" s="269">
        <f t="shared" si="96"/>
        <v>66</v>
      </c>
      <c r="V481" s="269">
        <f t="shared" si="97"/>
        <v>67</v>
      </c>
      <c r="W481" s="269">
        <f t="shared" si="98"/>
        <v>68</v>
      </c>
      <c r="X481" s="269">
        <f t="shared" si="99"/>
        <v>69</v>
      </c>
      <c r="Y481" s="269">
        <f t="shared" si="100"/>
        <v>71</v>
      </c>
      <c r="Z481" s="269">
        <f t="shared" si="101"/>
        <v>72</v>
      </c>
      <c r="AA481" s="269">
        <f t="shared" si="102"/>
        <v>73</v>
      </c>
    </row>
    <row r="482" spans="1:27">
      <c r="A482" s="104">
        <v>481</v>
      </c>
      <c r="B482" s="104" t="str">
        <f t="shared" si="94"/>
        <v>ABCDEFKL</v>
      </c>
      <c r="C482" s="104" t="s">
        <v>145</v>
      </c>
      <c r="D482" s="104" t="s">
        <v>151</v>
      </c>
      <c r="E482" s="104" t="s">
        <v>144</v>
      </c>
      <c r="F482" s="104" t="s">
        <v>150</v>
      </c>
      <c r="G482" s="104" t="s">
        <v>142</v>
      </c>
      <c r="H482" s="104" t="s">
        <v>152</v>
      </c>
      <c r="I482" s="104" t="s">
        <v>259</v>
      </c>
      <c r="J482" s="104" t="s">
        <v>246</v>
      </c>
      <c r="K482" s="269">
        <f t="shared" si="104"/>
        <v>67</v>
      </c>
      <c r="L482" s="269">
        <f t="shared" si="104"/>
        <v>69</v>
      </c>
      <c r="M482" s="269">
        <f t="shared" si="104"/>
        <v>66</v>
      </c>
      <c r="N482" s="269">
        <f t="shared" si="103"/>
        <v>68</v>
      </c>
      <c r="O482" s="269">
        <f t="shared" si="103"/>
        <v>65</v>
      </c>
      <c r="P482" s="269">
        <f t="shared" si="103"/>
        <v>70</v>
      </c>
      <c r="Q482" s="269">
        <f t="shared" si="103"/>
        <v>76</v>
      </c>
      <c r="R482" s="269">
        <f t="shared" si="103"/>
        <v>75</v>
      </c>
      <c r="S482" s="269"/>
      <c r="T482" s="269">
        <f t="shared" si="95"/>
        <v>65</v>
      </c>
      <c r="U482" s="269">
        <f t="shared" si="96"/>
        <v>66</v>
      </c>
      <c r="V482" s="269">
        <f t="shared" si="97"/>
        <v>67</v>
      </c>
      <c r="W482" s="269">
        <f t="shared" si="98"/>
        <v>68</v>
      </c>
      <c r="X482" s="269">
        <f t="shared" si="99"/>
        <v>69</v>
      </c>
      <c r="Y482" s="269">
        <f t="shared" si="100"/>
        <v>70</v>
      </c>
      <c r="Z482" s="269">
        <f t="shared" si="101"/>
        <v>75</v>
      </c>
      <c r="AA482" s="269">
        <f t="shared" si="102"/>
        <v>76</v>
      </c>
    </row>
    <row r="483" spans="1:27">
      <c r="A483" s="104">
        <v>482</v>
      </c>
      <c r="B483" s="104" t="str">
        <f t="shared" si="94"/>
        <v>ABCDEFJL</v>
      </c>
      <c r="C483" s="104" t="s">
        <v>145</v>
      </c>
      <c r="D483" s="104" t="s">
        <v>232</v>
      </c>
      <c r="E483" s="104" t="s">
        <v>144</v>
      </c>
      <c r="F483" s="104" t="s">
        <v>150</v>
      </c>
      <c r="G483" s="104" t="s">
        <v>142</v>
      </c>
      <c r="H483" s="104" t="s">
        <v>152</v>
      </c>
      <c r="I483" s="104" t="s">
        <v>259</v>
      </c>
      <c r="J483" s="104" t="s">
        <v>151</v>
      </c>
      <c r="K483" s="269">
        <f t="shared" si="104"/>
        <v>67</v>
      </c>
      <c r="L483" s="269">
        <f t="shared" si="104"/>
        <v>74</v>
      </c>
      <c r="M483" s="269">
        <f t="shared" si="104"/>
        <v>66</v>
      </c>
      <c r="N483" s="269">
        <f t="shared" si="103"/>
        <v>68</v>
      </c>
      <c r="O483" s="269">
        <f t="shared" si="103"/>
        <v>65</v>
      </c>
      <c r="P483" s="269">
        <f t="shared" si="103"/>
        <v>70</v>
      </c>
      <c r="Q483" s="269">
        <f t="shared" si="103"/>
        <v>76</v>
      </c>
      <c r="R483" s="269">
        <f t="shared" si="103"/>
        <v>69</v>
      </c>
      <c r="S483" s="269"/>
      <c r="T483" s="269">
        <f t="shared" si="95"/>
        <v>65</v>
      </c>
      <c r="U483" s="269">
        <f t="shared" si="96"/>
        <v>66</v>
      </c>
      <c r="V483" s="269">
        <f t="shared" si="97"/>
        <v>67</v>
      </c>
      <c r="W483" s="269">
        <f t="shared" si="98"/>
        <v>68</v>
      </c>
      <c r="X483" s="269">
        <f t="shared" si="99"/>
        <v>69</v>
      </c>
      <c r="Y483" s="269">
        <f t="shared" si="100"/>
        <v>70</v>
      </c>
      <c r="Z483" s="269">
        <f t="shared" si="101"/>
        <v>74</v>
      </c>
      <c r="AA483" s="269">
        <f t="shared" si="102"/>
        <v>76</v>
      </c>
    </row>
    <row r="484" spans="1:27">
      <c r="A484" s="104">
        <v>483</v>
      </c>
      <c r="B484" s="104" t="str">
        <f t="shared" si="94"/>
        <v>ABCDEFJK</v>
      </c>
      <c r="C484" s="104" t="s">
        <v>145</v>
      </c>
      <c r="D484" s="104" t="s">
        <v>232</v>
      </c>
      <c r="E484" s="104" t="s">
        <v>144</v>
      </c>
      <c r="F484" s="104" t="s">
        <v>150</v>
      </c>
      <c r="G484" s="104" t="s">
        <v>142</v>
      </c>
      <c r="H484" s="104" t="s">
        <v>152</v>
      </c>
      <c r="I484" s="104" t="s">
        <v>151</v>
      </c>
      <c r="J484" s="104" t="s">
        <v>246</v>
      </c>
      <c r="K484" s="269">
        <f t="shared" si="104"/>
        <v>67</v>
      </c>
      <c r="L484" s="269">
        <f t="shared" si="104"/>
        <v>74</v>
      </c>
      <c r="M484" s="269">
        <f t="shared" si="104"/>
        <v>66</v>
      </c>
      <c r="N484" s="269">
        <f t="shared" si="103"/>
        <v>68</v>
      </c>
      <c r="O484" s="269">
        <f t="shared" si="103"/>
        <v>65</v>
      </c>
      <c r="P484" s="269">
        <f t="shared" si="103"/>
        <v>70</v>
      </c>
      <c r="Q484" s="269">
        <f t="shared" si="103"/>
        <v>69</v>
      </c>
      <c r="R484" s="269">
        <f t="shared" si="103"/>
        <v>75</v>
      </c>
      <c r="S484" s="269"/>
      <c r="T484" s="269">
        <f t="shared" si="95"/>
        <v>65</v>
      </c>
      <c r="U484" s="269">
        <f t="shared" si="96"/>
        <v>66</v>
      </c>
      <c r="V484" s="269">
        <f t="shared" si="97"/>
        <v>67</v>
      </c>
      <c r="W484" s="269">
        <f t="shared" si="98"/>
        <v>68</v>
      </c>
      <c r="X484" s="269">
        <f t="shared" si="99"/>
        <v>69</v>
      </c>
      <c r="Y484" s="269">
        <f t="shared" si="100"/>
        <v>70</v>
      </c>
      <c r="Z484" s="269">
        <f t="shared" si="101"/>
        <v>74</v>
      </c>
      <c r="AA484" s="269">
        <f t="shared" si="102"/>
        <v>75</v>
      </c>
    </row>
    <row r="485" spans="1:27">
      <c r="A485" s="104">
        <v>484</v>
      </c>
      <c r="B485" s="104" t="str">
        <f t="shared" si="94"/>
        <v>ABCDEFIL</v>
      </c>
      <c r="C485" s="104" t="s">
        <v>145</v>
      </c>
      <c r="D485" s="104" t="s">
        <v>151</v>
      </c>
      <c r="E485" s="104" t="s">
        <v>144</v>
      </c>
      <c r="F485" s="104" t="s">
        <v>150</v>
      </c>
      <c r="G485" s="104" t="s">
        <v>142</v>
      </c>
      <c r="H485" s="104" t="s">
        <v>152</v>
      </c>
      <c r="I485" s="104" t="s">
        <v>259</v>
      </c>
      <c r="J485" s="104" t="s">
        <v>258</v>
      </c>
      <c r="K485" s="269">
        <f t="shared" si="104"/>
        <v>67</v>
      </c>
      <c r="L485" s="269">
        <f t="shared" si="104"/>
        <v>69</v>
      </c>
      <c r="M485" s="269">
        <f t="shared" si="104"/>
        <v>66</v>
      </c>
      <c r="N485" s="269">
        <f t="shared" si="103"/>
        <v>68</v>
      </c>
      <c r="O485" s="269">
        <f t="shared" si="103"/>
        <v>65</v>
      </c>
      <c r="P485" s="269">
        <f t="shared" si="103"/>
        <v>70</v>
      </c>
      <c r="Q485" s="269">
        <f t="shared" si="103"/>
        <v>76</v>
      </c>
      <c r="R485" s="269">
        <f t="shared" si="103"/>
        <v>73</v>
      </c>
      <c r="S485" s="269"/>
      <c r="T485" s="269">
        <f t="shared" si="95"/>
        <v>65</v>
      </c>
      <c r="U485" s="269">
        <f t="shared" si="96"/>
        <v>66</v>
      </c>
      <c r="V485" s="269">
        <f t="shared" si="97"/>
        <v>67</v>
      </c>
      <c r="W485" s="269">
        <f t="shared" si="98"/>
        <v>68</v>
      </c>
      <c r="X485" s="269">
        <f t="shared" si="99"/>
        <v>69</v>
      </c>
      <c r="Y485" s="269">
        <f t="shared" si="100"/>
        <v>70</v>
      </c>
      <c r="Z485" s="269">
        <f t="shared" si="101"/>
        <v>73</v>
      </c>
      <c r="AA485" s="269">
        <f t="shared" si="102"/>
        <v>76</v>
      </c>
    </row>
    <row r="486" spans="1:27">
      <c r="A486" s="104">
        <v>485</v>
      </c>
      <c r="B486" s="104" t="str">
        <f t="shared" si="94"/>
        <v>ABCDEFIK</v>
      </c>
      <c r="C486" s="104" t="s">
        <v>145</v>
      </c>
      <c r="D486" s="104" t="s">
        <v>151</v>
      </c>
      <c r="E486" s="104" t="s">
        <v>144</v>
      </c>
      <c r="F486" s="104" t="s">
        <v>150</v>
      </c>
      <c r="G486" s="104" t="s">
        <v>142</v>
      </c>
      <c r="H486" s="104" t="s">
        <v>152</v>
      </c>
      <c r="I486" s="104" t="s">
        <v>258</v>
      </c>
      <c r="J486" s="104" t="s">
        <v>246</v>
      </c>
      <c r="K486" s="269">
        <f t="shared" si="104"/>
        <v>67</v>
      </c>
      <c r="L486" s="269">
        <f t="shared" si="104"/>
        <v>69</v>
      </c>
      <c r="M486" s="269">
        <f t="shared" si="104"/>
        <v>66</v>
      </c>
      <c r="N486" s="269">
        <f t="shared" si="103"/>
        <v>68</v>
      </c>
      <c r="O486" s="269">
        <f t="shared" si="103"/>
        <v>65</v>
      </c>
      <c r="P486" s="269">
        <f t="shared" si="103"/>
        <v>70</v>
      </c>
      <c r="Q486" s="269">
        <f t="shared" si="103"/>
        <v>73</v>
      </c>
      <c r="R486" s="269">
        <f t="shared" si="103"/>
        <v>75</v>
      </c>
      <c r="S486" s="269"/>
      <c r="T486" s="269">
        <f t="shared" si="95"/>
        <v>65</v>
      </c>
      <c r="U486" s="269">
        <f t="shared" si="96"/>
        <v>66</v>
      </c>
      <c r="V486" s="269">
        <f t="shared" si="97"/>
        <v>67</v>
      </c>
      <c r="W486" s="269">
        <f t="shared" si="98"/>
        <v>68</v>
      </c>
      <c r="X486" s="269">
        <f t="shared" si="99"/>
        <v>69</v>
      </c>
      <c r="Y486" s="269">
        <f t="shared" si="100"/>
        <v>70</v>
      </c>
      <c r="Z486" s="269">
        <f t="shared" si="101"/>
        <v>73</v>
      </c>
      <c r="AA486" s="269">
        <f t="shared" si="102"/>
        <v>75</v>
      </c>
    </row>
    <row r="487" spans="1:27">
      <c r="A487" s="104">
        <v>486</v>
      </c>
      <c r="B487" s="104" t="str">
        <f t="shared" si="94"/>
        <v>ABCDEFIJ</v>
      </c>
      <c r="C487" s="104" t="s">
        <v>145</v>
      </c>
      <c r="D487" s="104" t="s">
        <v>232</v>
      </c>
      <c r="E487" s="104" t="s">
        <v>144</v>
      </c>
      <c r="F487" s="104" t="s">
        <v>150</v>
      </c>
      <c r="G487" s="104" t="s">
        <v>142</v>
      </c>
      <c r="H487" s="104" t="s">
        <v>152</v>
      </c>
      <c r="I487" s="104" t="s">
        <v>151</v>
      </c>
      <c r="J487" s="104" t="s">
        <v>258</v>
      </c>
      <c r="K487" s="269">
        <f t="shared" si="104"/>
        <v>67</v>
      </c>
      <c r="L487" s="269">
        <f t="shared" si="104"/>
        <v>74</v>
      </c>
      <c r="M487" s="269">
        <f t="shared" si="104"/>
        <v>66</v>
      </c>
      <c r="N487" s="269">
        <f t="shared" si="103"/>
        <v>68</v>
      </c>
      <c r="O487" s="269">
        <f t="shared" si="103"/>
        <v>65</v>
      </c>
      <c r="P487" s="269">
        <f t="shared" si="103"/>
        <v>70</v>
      </c>
      <c r="Q487" s="269">
        <f t="shared" si="103"/>
        <v>69</v>
      </c>
      <c r="R487" s="269">
        <f t="shared" si="103"/>
        <v>73</v>
      </c>
      <c r="S487" s="269"/>
      <c r="T487" s="269">
        <f t="shared" si="95"/>
        <v>65</v>
      </c>
      <c r="U487" s="269">
        <f t="shared" si="96"/>
        <v>66</v>
      </c>
      <c r="V487" s="269">
        <f t="shared" si="97"/>
        <v>67</v>
      </c>
      <c r="W487" s="269">
        <f t="shared" si="98"/>
        <v>68</v>
      </c>
      <c r="X487" s="269">
        <f t="shared" si="99"/>
        <v>69</v>
      </c>
      <c r="Y487" s="269">
        <f t="shared" si="100"/>
        <v>70</v>
      </c>
      <c r="Z487" s="269">
        <f t="shared" si="101"/>
        <v>73</v>
      </c>
      <c r="AA487" s="269">
        <f t="shared" si="102"/>
        <v>74</v>
      </c>
    </row>
    <row r="488" spans="1:27">
      <c r="A488" s="104">
        <v>487</v>
      </c>
      <c r="B488" s="104" t="str">
        <f t="shared" si="94"/>
        <v>ABCDEFHL</v>
      </c>
      <c r="C488" s="104" t="s">
        <v>245</v>
      </c>
      <c r="D488" s="104" t="s">
        <v>152</v>
      </c>
      <c r="E488" s="104" t="s">
        <v>144</v>
      </c>
      <c r="F488" s="104" t="s">
        <v>145</v>
      </c>
      <c r="G488" s="104" t="s">
        <v>142</v>
      </c>
      <c r="H488" s="104" t="s">
        <v>150</v>
      </c>
      <c r="I488" s="104" t="s">
        <v>259</v>
      </c>
      <c r="J488" s="104" t="s">
        <v>151</v>
      </c>
      <c r="K488" s="269">
        <f t="shared" si="104"/>
        <v>72</v>
      </c>
      <c r="L488" s="269">
        <f t="shared" si="104"/>
        <v>70</v>
      </c>
      <c r="M488" s="269">
        <f t="shared" si="104"/>
        <v>66</v>
      </c>
      <c r="N488" s="269">
        <f t="shared" si="103"/>
        <v>67</v>
      </c>
      <c r="O488" s="269">
        <f t="shared" si="103"/>
        <v>65</v>
      </c>
      <c r="P488" s="269">
        <f t="shared" si="103"/>
        <v>68</v>
      </c>
      <c r="Q488" s="269">
        <f t="shared" si="103"/>
        <v>76</v>
      </c>
      <c r="R488" s="269">
        <f t="shared" si="103"/>
        <v>69</v>
      </c>
      <c r="S488" s="269"/>
      <c r="T488" s="269">
        <f t="shared" si="95"/>
        <v>65</v>
      </c>
      <c r="U488" s="269">
        <f t="shared" si="96"/>
        <v>66</v>
      </c>
      <c r="V488" s="269">
        <f t="shared" si="97"/>
        <v>67</v>
      </c>
      <c r="W488" s="269">
        <f t="shared" si="98"/>
        <v>68</v>
      </c>
      <c r="X488" s="269">
        <f t="shared" si="99"/>
        <v>69</v>
      </c>
      <c r="Y488" s="269">
        <f t="shared" si="100"/>
        <v>70</v>
      </c>
      <c r="Z488" s="269">
        <f t="shared" si="101"/>
        <v>72</v>
      </c>
      <c r="AA488" s="269">
        <f t="shared" si="102"/>
        <v>76</v>
      </c>
    </row>
    <row r="489" spans="1:27">
      <c r="A489" s="104">
        <v>488</v>
      </c>
      <c r="B489" s="104" t="str">
        <f t="shared" si="94"/>
        <v>ABCDEFHK</v>
      </c>
      <c r="C489" s="104" t="s">
        <v>245</v>
      </c>
      <c r="D489" s="104" t="s">
        <v>151</v>
      </c>
      <c r="E489" s="104" t="s">
        <v>144</v>
      </c>
      <c r="F489" s="104" t="s">
        <v>145</v>
      </c>
      <c r="G489" s="104" t="s">
        <v>142</v>
      </c>
      <c r="H489" s="104" t="s">
        <v>152</v>
      </c>
      <c r="I489" s="104" t="s">
        <v>150</v>
      </c>
      <c r="J489" s="104" t="s">
        <v>246</v>
      </c>
      <c r="K489" s="269">
        <f t="shared" si="104"/>
        <v>72</v>
      </c>
      <c r="L489" s="269">
        <f t="shared" si="104"/>
        <v>69</v>
      </c>
      <c r="M489" s="269">
        <f t="shared" si="104"/>
        <v>66</v>
      </c>
      <c r="N489" s="269">
        <f t="shared" si="103"/>
        <v>67</v>
      </c>
      <c r="O489" s="269">
        <f t="shared" si="103"/>
        <v>65</v>
      </c>
      <c r="P489" s="269">
        <f t="shared" si="103"/>
        <v>70</v>
      </c>
      <c r="Q489" s="269">
        <f t="shared" si="103"/>
        <v>68</v>
      </c>
      <c r="R489" s="269">
        <f t="shared" si="103"/>
        <v>75</v>
      </c>
      <c r="S489" s="269"/>
      <c r="T489" s="269">
        <f t="shared" si="95"/>
        <v>65</v>
      </c>
      <c r="U489" s="269">
        <f t="shared" si="96"/>
        <v>66</v>
      </c>
      <c r="V489" s="269">
        <f t="shared" si="97"/>
        <v>67</v>
      </c>
      <c r="W489" s="269">
        <f t="shared" si="98"/>
        <v>68</v>
      </c>
      <c r="X489" s="269">
        <f t="shared" si="99"/>
        <v>69</v>
      </c>
      <c r="Y489" s="269">
        <f t="shared" si="100"/>
        <v>70</v>
      </c>
      <c r="Z489" s="269">
        <f t="shared" si="101"/>
        <v>72</v>
      </c>
      <c r="AA489" s="269">
        <f t="shared" si="102"/>
        <v>75</v>
      </c>
    </row>
    <row r="490" spans="1:27">
      <c r="A490" s="104">
        <v>489</v>
      </c>
      <c r="B490" s="104" t="str">
        <f t="shared" si="94"/>
        <v>ABCDEFHJ</v>
      </c>
      <c r="C490" s="104" t="s">
        <v>245</v>
      </c>
      <c r="D490" s="104" t="s">
        <v>232</v>
      </c>
      <c r="E490" s="104" t="s">
        <v>144</v>
      </c>
      <c r="F490" s="104" t="s">
        <v>145</v>
      </c>
      <c r="G490" s="104" t="s">
        <v>142</v>
      </c>
      <c r="H490" s="104" t="s">
        <v>152</v>
      </c>
      <c r="I490" s="104" t="s">
        <v>150</v>
      </c>
      <c r="J490" s="104" t="s">
        <v>151</v>
      </c>
      <c r="K490" s="269">
        <f t="shared" si="104"/>
        <v>72</v>
      </c>
      <c r="L490" s="269">
        <f t="shared" si="104"/>
        <v>74</v>
      </c>
      <c r="M490" s="269">
        <f t="shared" si="104"/>
        <v>66</v>
      </c>
      <c r="N490" s="269">
        <f t="shared" si="103"/>
        <v>67</v>
      </c>
      <c r="O490" s="269">
        <f t="shared" si="103"/>
        <v>65</v>
      </c>
      <c r="P490" s="269">
        <f t="shared" si="103"/>
        <v>70</v>
      </c>
      <c r="Q490" s="269">
        <f t="shared" si="103"/>
        <v>68</v>
      </c>
      <c r="R490" s="269">
        <f t="shared" si="103"/>
        <v>69</v>
      </c>
      <c r="S490" s="269"/>
      <c r="T490" s="269">
        <f t="shared" si="95"/>
        <v>65</v>
      </c>
      <c r="U490" s="269">
        <f t="shared" si="96"/>
        <v>66</v>
      </c>
      <c r="V490" s="269">
        <f t="shared" si="97"/>
        <v>67</v>
      </c>
      <c r="W490" s="269">
        <f t="shared" si="98"/>
        <v>68</v>
      </c>
      <c r="X490" s="269">
        <f t="shared" si="99"/>
        <v>69</v>
      </c>
      <c r="Y490" s="269">
        <f t="shared" si="100"/>
        <v>70</v>
      </c>
      <c r="Z490" s="269">
        <f t="shared" si="101"/>
        <v>72</v>
      </c>
      <c r="AA490" s="269">
        <f t="shared" si="102"/>
        <v>74</v>
      </c>
    </row>
    <row r="491" spans="1:27">
      <c r="A491" s="104">
        <v>490</v>
      </c>
      <c r="B491" s="104" t="str">
        <f t="shared" si="94"/>
        <v>ABCDEFHI</v>
      </c>
      <c r="C491" s="104" t="s">
        <v>245</v>
      </c>
      <c r="D491" s="104" t="s">
        <v>151</v>
      </c>
      <c r="E491" s="104" t="s">
        <v>144</v>
      </c>
      <c r="F491" s="104" t="s">
        <v>145</v>
      </c>
      <c r="G491" s="104" t="s">
        <v>142</v>
      </c>
      <c r="H491" s="104" t="s">
        <v>152</v>
      </c>
      <c r="I491" s="104" t="s">
        <v>150</v>
      </c>
      <c r="J491" s="104" t="s">
        <v>258</v>
      </c>
      <c r="K491" s="269">
        <f t="shared" si="104"/>
        <v>72</v>
      </c>
      <c r="L491" s="269">
        <f t="shared" si="104"/>
        <v>69</v>
      </c>
      <c r="M491" s="269">
        <f t="shared" si="104"/>
        <v>66</v>
      </c>
      <c r="N491" s="269">
        <f t="shared" si="103"/>
        <v>67</v>
      </c>
      <c r="O491" s="269">
        <f t="shared" si="103"/>
        <v>65</v>
      </c>
      <c r="P491" s="269">
        <f t="shared" si="103"/>
        <v>70</v>
      </c>
      <c r="Q491" s="269">
        <f t="shared" si="103"/>
        <v>68</v>
      </c>
      <c r="R491" s="269">
        <f t="shared" si="103"/>
        <v>73</v>
      </c>
      <c r="S491" s="269"/>
      <c r="T491" s="269">
        <f t="shared" si="95"/>
        <v>65</v>
      </c>
      <c r="U491" s="269">
        <f t="shared" si="96"/>
        <v>66</v>
      </c>
      <c r="V491" s="269">
        <f t="shared" si="97"/>
        <v>67</v>
      </c>
      <c r="W491" s="269">
        <f t="shared" si="98"/>
        <v>68</v>
      </c>
      <c r="X491" s="269">
        <f t="shared" si="99"/>
        <v>69</v>
      </c>
      <c r="Y491" s="269">
        <f t="shared" si="100"/>
        <v>70</v>
      </c>
      <c r="Z491" s="269">
        <f t="shared" si="101"/>
        <v>72</v>
      </c>
      <c r="AA491" s="269">
        <f t="shared" si="102"/>
        <v>73</v>
      </c>
    </row>
    <row r="492" spans="1:27">
      <c r="A492" s="104">
        <v>491</v>
      </c>
      <c r="B492" s="104" t="str">
        <f t="shared" si="94"/>
        <v>ABCDEFGL</v>
      </c>
      <c r="C492" s="104" t="s">
        <v>145</v>
      </c>
      <c r="D492" s="104" t="s">
        <v>231</v>
      </c>
      <c r="E492" s="104" t="s">
        <v>144</v>
      </c>
      <c r="F492" s="104" t="s">
        <v>150</v>
      </c>
      <c r="G492" s="104" t="s">
        <v>142</v>
      </c>
      <c r="H492" s="104" t="s">
        <v>152</v>
      </c>
      <c r="I492" s="104" t="s">
        <v>259</v>
      </c>
      <c r="J492" s="104" t="s">
        <v>151</v>
      </c>
      <c r="K492" s="269">
        <f t="shared" si="104"/>
        <v>67</v>
      </c>
      <c r="L492" s="269">
        <f t="shared" si="104"/>
        <v>71</v>
      </c>
      <c r="M492" s="269">
        <f t="shared" si="104"/>
        <v>66</v>
      </c>
      <c r="N492" s="269">
        <f t="shared" si="103"/>
        <v>68</v>
      </c>
      <c r="O492" s="269">
        <f t="shared" si="103"/>
        <v>65</v>
      </c>
      <c r="P492" s="269">
        <f t="shared" si="103"/>
        <v>70</v>
      </c>
      <c r="Q492" s="269">
        <f t="shared" si="103"/>
        <v>76</v>
      </c>
      <c r="R492" s="269">
        <f t="shared" si="103"/>
        <v>69</v>
      </c>
      <c r="S492" s="269"/>
      <c r="T492" s="269">
        <f t="shared" si="95"/>
        <v>65</v>
      </c>
      <c r="U492" s="269">
        <f t="shared" si="96"/>
        <v>66</v>
      </c>
      <c r="V492" s="269">
        <f t="shared" si="97"/>
        <v>67</v>
      </c>
      <c r="W492" s="269">
        <f t="shared" si="98"/>
        <v>68</v>
      </c>
      <c r="X492" s="269">
        <f t="shared" si="99"/>
        <v>69</v>
      </c>
      <c r="Y492" s="269">
        <f t="shared" si="100"/>
        <v>70</v>
      </c>
      <c r="Z492" s="269">
        <f t="shared" si="101"/>
        <v>71</v>
      </c>
      <c r="AA492" s="269">
        <f t="shared" si="102"/>
        <v>76</v>
      </c>
    </row>
    <row r="493" spans="1:27">
      <c r="A493" s="104">
        <v>492</v>
      </c>
      <c r="B493" s="104" t="str">
        <f t="shared" si="94"/>
        <v>ABCDEFGK</v>
      </c>
      <c r="C493" s="104" t="s">
        <v>145</v>
      </c>
      <c r="D493" s="104" t="s">
        <v>231</v>
      </c>
      <c r="E493" s="104" t="s">
        <v>144</v>
      </c>
      <c r="F493" s="104" t="s">
        <v>150</v>
      </c>
      <c r="G493" s="104" t="s">
        <v>142</v>
      </c>
      <c r="H493" s="104" t="s">
        <v>152</v>
      </c>
      <c r="I493" s="104" t="s">
        <v>151</v>
      </c>
      <c r="J493" s="104" t="s">
        <v>246</v>
      </c>
      <c r="K493" s="269">
        <f t="shared" si="104"/>
        <v>67</v>
      </c>
      <c r="L493" s="269">
        <f t="shared" si="104"/>
        <v>71</v>
      </c>
      <c r="M493" s="269">
        <f t="shared" si="104"/>
        <v>66</v>
      </c>
      <c r="N493" s="269">
        <f t="shared" si="103"/>
        <v>68</v>
      </c>
      <c r="O493" s="269">
        <f t="shared" si="103"/>
        <v>65</v>
      </c>
      <c r="P493" s="269">
        <f t="shared" si="103"/>
        <v>70</v>
      </c>
      <c r="Q493" s="269">
        <f t="shared" si="103"/>
        <v>69</v>
      </c>
      <c r="R493" s="269">
        <f t="shared" si="103"/>
        <v>75</v>
      </c>
      <c r="S493" s="269"/>
      <c r="T493" s="269">
        <f t="shared" si="95"/>
        <v>65</v>
      </c>
      <c r="U493" s="269">
        <f t="shared" si="96"/>
        <v>66</v>
      </c>
      <c r="V493" s="269">
        <f t="shared" si="97"/>
        <v>67</v>
      </c>
      <c r="W493" s="269">
        <f t="shared" si="98"/>
        <v>68</v>
      </c>
      <c r="X493" s="269">
        <f t="shared" si="99"/>
        <v>69</v>
      </c>
      <c r="Y493" s="269">
        <f t="shared" si="100"/>
        <v>70</v>
      </c>
      <c r="Z493" s="269">
        <f t="shared" si="101"/>
        <v>71</v>
      </c>
      <c r="AA493" s="269">
        <f t="shared" si="102"/>
        <v>75</v>
      </c>
    </row>
    <row r="494" spans="1:27">
      <c r="A494" s="104">
        <v>493</v>
      </c>
      <c r="B494" s="104" t="str">
        <f t="shared" si="94"/>
        <v>ABCDEFGJ</v>
      </c>
      <c r="C494" s="104" t="s">
        <v>145</v>
      </c>
      <c r="D494" s="104" t="s">
        <v>231</v>
      </c>
      <c r="E494" s="104" t="s">
        <v>144</v>
      </c>
      <c r="F494" s="104" t="s">
        <v>150</v>
      </c>
      <c r="G494" s="104" t="s">
        <v>142</v>
      </c>
      <c r="H494" s="104" t="s">
        <v>152</v>
      </c>
      <c r="I494" s="104" t="s">
        <v>151</v>
      </c>
      <c r="J494" s="104" t="s">
        <v>232</v>
      </c>
      <c r="K494" s="269">
        <f t="shared" si="104"/>
        <v>67</v>
      </c>
      <c r="L494" s="269">
        <f t="shared" si="104"/>
        <v>71</v>
      </c>
      <c r="M494" s="269">
        <f t="shared" si="104"/>
        <v>66</v>
      </c>
      <c r="N494" s="269">
        <f t="shared" si="103"/>
        <v>68</v>
      </c>
      <c r="O494" s="269">
        <f t="shared" si="103"/>
        <v>65</v>
      </c>
      <c r="P494" s="269">
        <f t="shared" si="103"/>
        <v>70</v>
      </c>
      <c r="Q494" s="269">
        <f t="shared" si="103"/>
        <v>69</v>
      </c>
      <c r="R494" s="269">
        <f t="shared" si="103"/>
        <v>74</v>
      </c>
      <c r="S494" s="269"/>
      <c r="T494" s="269">
        <f t="shared" si="95"/>
        <v>65</v>
      </c>
      <c r="U494" s="269">
        <f t="shared" si="96"/>
        <v>66</v>
      </c>
      <c r="V494" s="269">
        <f t="shared" si="97"/>
        <v>67</v>
      </c>
      <c r="W494" s="269">
        <f t="shared" si="98"/>
        <v>68</v>
      </c>
      <c r="X494" s="269">
        <f t="shared" si="99"/>
        <v>69</v>
      </c>
      <c r="Y494" s="269">
        <f t="shared" si="100"/>
        <v>70</v>
      </c>
      <c r="Z494" s="269">
        <f t="shared" si="101"/>
        <v>71</v>
      </c>
      <c r="AA494" s="269">
        <f t="shared" si="102"/>
        <v>74</v>
      </c>
    </row>
    <row r="495" spans="1:27">
      <c r="A495" s="104">
        <v>494</v>
      </c>
      <c r="B495" s="104" t="str">
        <f t="shared" si="94"/>
        <v>ABCDEFGI</v>
      </c>
      <c r="C495" s="104" t="s">
        <v>145</v>
      </c>
      <c r="D495" s="104" t="s">
        <v>231</v>
      </c>
      <c r="E495" s="104" t="s">
        <v>144</v>
      </c>
      <c r="F495" s="104" t="s">
        <v>150</v>
      </c>
      <c r="G495" s="104" t="s">
        <v>142</v>
      </c>
      <c r="H495" s="104" t="s">
        <v>152</v>
      </c>
      <c r="I495" s="104" t="s">
        <v>151</v>
      </c>
      <c r="J495" s="104" t="s">
        <v>258</v>
      </c>
      <c r="K495" s="269">
        <f t="shared" si="104"/>
        <v>67</v>
      </c>
      <c r="L495" s="269">
        <f t="shared" si="104"/>
        <v>71</v>
      </c>
      <c r="M495" s="269">
        <f t="shared" si="104"/>
        <v>66</v>
      </c>
      <c r="N495" s="269">
        <f t="shared" si="103"/>
        <v>68</v>
      </c>
      <c r="O495" s="269">
        <f t="shared" si="103"/>
        <v>65</v>
      </c>
      <c r="P495" s="269">
        <f t="shared" si="103"/>
        <v>70</v>
      </c>
      <c r="Q495" s="269">
        <f t="shared" si="103"/>
        <v>69</v>
      </c>
      <c r="R495" s="269">
        <f t="shared" si="103"/>
        <v>73</v>
      </c>
      <c r="S495" s="269"/>
      <c r="T495" s="269">
        <f t="shared" si="95"/>
        <v>65</v>
      </c>
      <c r="U495" s="269">
        <f t="shared" si="96"/>
        <v>66</v>
      </c>
      <c r="V495" s="269">
        <f t="shared" si="97"/>
        <v>67</v>
      </c>
      <c r="W495" s="269">
        <f t="shared" si="98"/>
        <v>68</v>
      </c>
      <c r="X495" s="269">
        <f t="shared" si="99"/>
        <v>69</v>
      </c>
      <c r="Y495" s="269">
        <f t="shared" si="100"/>
        <v>70</v>
      </c>
      <c r="Z495" s="269">
        <f t="shared" si="101"/>
        <v>71</v>
      </c>
      <c r="AA495" s="269">
        <f t="shared" si="102"/>
        <v>73</v>
      </c>
    </row>
    <row r="496" spans="1:27">
      <c r="A496" s="104">
        <v>495</v>
      </c>
      <c r="B496" s="104" t="str">
        <f>CONCATENATE(CHAR(T496),CHAR(U496),CHAR(V496),CHAR(W496),CHAR(X496),CHAR(Y496),CHAR(Z496),CHAR(AA496))</f>
        <v>ABCDEFGH</v>
      </c>
      <c r="C496" s="104" t="s">
        <v>245</v>
      </c>
      <c r="D496" s="104" t="s">
        <v>231</v>
      </c>
      <c r="E496" s="104" t="s">
        <v>144</v>
      </c>
      <c r="F496" s="104" t="s">
        <v>145</v>
      </c>
      <c r="G496" s="104" t="s">
        <v>142</v>
      </c>
      <c r="H496" s="104" t="s">
        <v>152</v>
      </c>
      <c r="I496" s="104" t="s">
        <v>150</v>
      </c>
      <c r="J496" s="104" t="s">
        <v>151</v>
      </c>
      <c r="K496" s="269">
        <f t="shared" si="104"/>
        <v>72</v>
      </c>
      <c r="L496" s="269">
        <f t="shared" si="104"/>
        <v>71</v>
      </c>
      <c r="M496" s="269">
        <f t="shared" si="104"/>
        <v>66</v>
      </c>
      <c r="N496" s="269">
        <f t="shared" si="103"/>
        <v>67</v>
      </c>
      <c r="O496" s="269">
        <f t="shared" si="103"/>
        <v>65</v>
      </c>
      <c r="P496" s="269">
        <f t="shared" si="103"/>
        <v>70</v>
      </c>
      <c r="Q496" s="269">
        <f t="shared" si="103"/>
        <v>68</v>
      </c>
      <c r="R496" s="269">
        <f t="shared" si="103"/>
        <v>69</v>
      </c>
      <c r="S496" s="269"/>
      <c r="T496" s="269">
        <f t="shared" si="95"/>
        <v>65</v>
      </c>
      <c r="U496" s="269">
        <f t="shared" si="96"/>
        <v>66</v>
      </c>
      <c r="V496" s="269">
        <f t="shared" si="97"/>
        <v>67</v>
      </c>
      <c r="W496" s="269">
        <f t="shared" si="98"/>
        <v>68</v>
      </c>
      <c r="X496" s="269">
        <f t="shared" si="99"/>
        <v>69</v>
      </c>
      <c r="Y496" s="269">
        <f t="shared" si="100"/>
        <v>70</v>
      </c>
      <c r="Z496" s="269">
        <f t="shared" si="101"/>
        <v>71</v>
      </c>
      <c r="AA496" s="269">
        <f t="shared" si="102"/>
        <v>72</v>
      </c>
    </row>
  </sheetData>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O114"/>
  <sheetViews>
    <sheetView workbookViewId="0"/>
  </sheetViews>
  <sheetFormatPr baseColWidth="10" defaultColWidth="23.28515625" defaultRowHeight="12.75"/>
  <cols>
    <col min="1" max="1" width="10.85546875" bestFit="1" customWidth="1"/>
    <col min="2" max="3" width="17.140625" customWidth="1"/>
    <col min="4" max="5" width="15.7109375" bestFit="1" customWidth="1"/>
    <col min="6" max="6" width="15.7109375" customWidth="1"/>
    <col min="7" max="7" width="8" bestFit="1" customWidth="1"/>
    <col min="8" max="8" width="8.7109375" bestFit="1" customWidth="1"/>
    <col min="9" max="9" width="16.7109375" bestFit="1" customWidth="1"/>
    <col min="10" max="10" width="29.7109375" customWidth="1"/>
    <col min="11" max="11" width="16.140625" customWidth="1"/>
    <col min="12" max="12" width="11.85546875" customWidth="1"/>
    <col min="13" max="13" width="15.42578125" customWidth="1"/>
    <col min="14" max="14" width="15.5703125" customWidth="1"/>
  </cols>
  <sheetData>
    <row r="1" spans="1:15" ht="15">
      <c r="A1" t="s">
        <v>293</v>
      </c>
      <c r="B1" t="s">
        <v>294</v>
      </c>
      <c r="C1" t="s">
        <v>295</v>
      </c>
      <c r="D1" t="s">
        <v>265</v>
      </c>
      <c r="E1" t="s">
        <v>268</v>
      </c>
      <c r="F1" t="s">
        <v>296</v>
      </c>
      <c r="G1" t="s">
        <v>297</v>
      </c>
      <c r="H1" t="s">
        <v>298</v>
      </c>
      <c r="I1" t="s">
        <v>299</v>
      </c>
      <c r="J1" t="s">
        <v>300</v>
      </c>
      <c r="M1" s="264" t="s">
        <v>301</v>
      </c>
      <c r="N1" s="264" t="s">
        <v>302</v>
      </c>
      <c r="O1" s="264" t="s">
        <v>303</v>
      </c>
    </row>
    <row r="2" spans="1:15" ht="15">
      <c r="F2" s="265" t="s">
        <v>304</v>
      </c>
      <c r="K2" t="s">
        <v>147</v>
      </c>
      <c r="M2" s="266" t="s">
        <v>305</v>
      </c>
      <c r="N2" s="267">
        <v>-6</v>
      </c>
      <c r="O2" s="267" t="s">
        <v>306</v>
      </c>
    </row>
    <row r="3" spans="1:15" ht="15">
      <c r="A3">
        <v>1</v>
      </c>
      <c r="B3" s="268">
        <f>C3+VLOOKUP(I3,$M$2:$N$17,2,FALSE)/24</f>
        <v>46184.583333333336</v>
      </c>
      <c r="C3" s="268">
        <v>46184.875</v>
      </c>
      <c r="D3" t="s">
        <v>201</v>
      </c>
      <c r="E3" t="s">
        <v>203</v>
      </c>
      <c r="G3" t="s">
        <v>307</v>
      </c>
      <c r="H3" t="s">
        <v>308</v>
      </c>
      <c r="I3" t="s">
        <v>309</v>
      </c>
      <c r="J3" t="str">
        <f>CONCATENATE(G3,"-",H3)</f>
        <v>A1-A2</v>
      </c>
      <c r="K3" t="str">
        <f>D3</f>
        <v>Mexiko</v>
      </c>
      <c r="M3" s="266" t="s">
        <v>310</v>
      </c>
      <c r="N3" s="267">
        <v>-6</v>
      </c>
      <c r="O3" s="267" t="s">
        <v>306</v>
      </c>
    </row>
    <row r="4" spans="1:15" ht="15">
      <c r="A4">
        <v>2</v>
      </c>
      <c r="B4" s="268">
        <f t="shared" ref="B4:B67" si="0">C4+VLOOKUP(I4,$M$2:$N$17,2,FALSE)/24</f>
        <v>46184.875</v>
      </c>
      <c r="C4" s="268">
        <v>46185.166666666664</v>
      </c>
      <c r="D4" t="s">
        <v>205</v>
      </c>
      <c r="E4" t="s">
        <v>189</v>
      </c>
      <c r="G4" t="s">
        <v>311</v>
      </c>
      <c r="H4" t="s">
        <v>312</v>
      </c>
      <c r="I4" t="s">
        <v>313</v>
      </c>
      <c r="J4" t="str">
        <f t="shared" ref="J4:J67" si="1">CONCATENATE(G4,"-",H4)</f>
        <v>A3-A4</v>
      </c>
      <c r="K4" t="str">
        <f>E3</f>
        <v>Südafrika</v>
      </c>
      <c r="M4" s="266" t="s">
        <v>314</v>
      </c>
      <c r="N4" s="267">
        <v>-6</v>
      </c>
      <c r="O4" s="267" t="s">
        <v>306</v>
      </c>
    </row>
    <row r="5" spans="1:15" ht="15">
      <c r="A5">
        <v>4</v>
      </c>
      <c r="B5" s="268">
        <f t="shared" si="0"/>
        <v>46185.75</v>
      </c>
      <c r="C5" s="268">
        <v>46186.125</v>
      </c>
      <c r="D5" t="s">
        <v>202</v>
      </c>
      <c r="E5" t="s">
        <v>204</v>
      </c>
      <c r="G5" t="s">
        <v>315</v>
      </c>
      <c r="H5" t="s">
        <v>316</v>
      </c>
      <c r="I5" t="s">
        <v>317</v>
      </c>
      <c r="J5" t="str">
        <f t="shared" si="1"/>
        <v>D1-D2</v>
      </c>
      <c r="K5" t="str">
        <f>D4</f>
        <v>Südkorea</v>
      </c>
      <c r="M5" s="266" t="s">
        <v>318</v>
      </c>
      <c r="N5" s="267">
        <v>-6</v>
      </c>
      <c r="O5" s="267" t="s">
        <v>306</v>
      </c>
    </row>
    <row r="6" spans="1:15" ht="15">
      <c r="A6">
        <v>3</v>
      </c>
      <c r="B6" s="268">
        <f t="shared" si="0"/>
        <v>46185.625</v>
      </c>
      <c r="C6" s="268">
        <v>46185.875</v>
      </c>
      <c r="D6" t="s">
        <v>207</v>
      </c>
      <c r="E6" t="s">
        <v>319</v>
      </c>
      <c r="G6" t="s">
        <v>320</v>
      </c>
      <c r="H6" t="s">
        <v>321</v>
      </c>
      <c r="I6" t="s">
        <v>314</v>
      </c>
      <c r="J6" t="str">
        <f t="shared" si="1"/>
        <v>B1-B2</v>
      </c>
      <c r="K6" t="str">
        <f>E4</f>
        <v>Tschechien</v>
      </c>
      <c r="M6" s="266" t="s">
        <v>322</v>
      </c>
      <c r="N6" s="267">
        <v>-6</v>
      </c>
      <c r="O6" s="267" t="s">
        <v>306</v>
      </c>
    </row>
    <row r="7" spans="1:15" ht="15">
      <c r="A7">
        <v>5</v>
      </c>
      <c r="B7" s="268">
        <f t="shared" si="0"/>
        <v>46186.875</v>
      </c>
      <c r="C7" s="268">
        <v>46187.125</v>
      </c>
      <c r="D7" t="s">
        <v>216</v>
      </c>
      <c r="E7" t="s">
        <v>184</v>
      </c>
      <c r="G7" t="s">
        <v>323</v>
      </c>
      <c r="H7" t="s">
        <v>324</v>
      </c>
      <c r="I7" t="s">
        <v>318</v>
      </c>
      <c r="J7" t="str">
        <f t="shared" si="1"/>
        <v>C3-C4</v>
      </c>
      <c r="M7" s="266" t="s">
        <v>325</v>
      </c>
      <c r="N7" s="267">
        <v>-6</v>
      </c>
      <c r="O7" s="267" t="s">
        <v>306</v>
      </c>
    </row>
    <row r="8" spans="1:15" ht="15">
      <c r="A8">
        <v>9</v>
      </c>
      <c r="B8" s="268">
        <f t="shared" si="0"/>
        <v>46187.791666666664</v>
      </c>
      <c r="C8" s="268">
        <v>46188.041666666664</v>
      </c>
      <c r="D8" t="s">
        <v>211</v>
      </c>
      <c r="E8" t="s">
        <v>212</v>
      </c>
      <c r="G8" t="s">
        <v>326</v>
      </c>
      <c r="H8" t="s">
        <v>327</v>
      </c>
      <c r="I8" t="s">
        <v>322</v>
      </c>
      <c r="J8" t="str">
        <f t="shared" si="1"/>
        <v>E3-E4</v>
      </c>
      <c r="K8" t="s">
        <v>155</v>
      </c>
      <c r="M8" s="266" t="s">
        <v>328</v>
      </c>
      <c r="N8" s="267">
        <v>-7</v>
      </c>
      <c r="O8" s="267" t="s">
        <v>329</v>
      </c>
    </row>
    <row r="9" spans="1:15" ht="15">
      <c r="A9">
        <v>6</v>
      </c>
      <c r="B9" s="268">
        <f t="shared" si="0"/>
        <v>46186.875</v>
      </c>
      <c r="C9" s="268">
        <v>46187.25</v>
      </c>
      <c r="D9" t="s">
        <v>206</v>
      </c>
      <c r="E9" t="s">
        <v>185</v>
      </c>
      <c r="G9" t="s">
        <v>330</v>
      </c>
      <c r="H9" t="s">
        <v>331</v>
      </c>
      <c r="I9" t="s">
        <v>332</v>
      </c>
      <c r="J9" t="str">
        <f t="shared" si="1"/>
        <v>D3-D4</v>
      </c>
      <c r="K9" t="str">
        <f>D6</f>
        <v>Kanada</v>
      </c>
      <c r="M9" s="266" t="s">
        <v>333</v>
      </c>
      <c r="N9" s="267">
        <v>-7</v>
      </c>
      <c r="O9" s="267" t="s">
        <v>329</v>
      </c>
    </row>
    <row r="10" spans="1:15" ht="15">
      <c r="A10">
        <v>7</v>
      </c>
      <c r="B10" s="268">
        <f t="shared" si="0"/>
        <v>46186.75</v>
      </c>
      <c r="C10" s="268">
        <v>46187</v>
      </c>
      <c r="D10" t="s">
        <v>213</v>
      </c>
      <c r="E10" t="s">
        <v>214</v>
      </c>
      <c r="G10" t="s">
        <v>334</v>
      </c>
      <c r="H10" t="s">
        <v>335</v>
      </c>
      <c r="I10" t="s">
        <v>305</v>
      </c>
      <c r="J10" t="str">
        <f t="shared" si="1"/>
        <v>C1-C2</v>
      </c>
      <c r="K10" t="str">
        <f>E6</f>
        <v>Bosnien/Herzeg.</v>
      </c>
      <c r="M10" s="266" t="s">
        <v>336</v>
      </c>
      <c r="N10" s="267">
        <v>-7</v>
      </c>
      <c r="O10" s="267" t="s">
        <v>329</v>
      </c>
    </row>
    <row r="11" spans="1:15" ht="15">
      <c r="A11">
        <v>8</v>
      </c>
      <c r="B11" s="268">
        <f t="shared" si="0"/>
        <v>46186.5</v>
      </c>
      <c r="C11" s="268">
        <v>46186.875</v>
      </c>
      <c r="D11" t="s">
        <v>210</v>
      </c>
      <c r="E11" t="s">
        <v>68</v>
      </c>
      <c r="G11" t="s">
        <v>337</v>
      </c>
      <c r="H11" t="s">
        <v>338</v>
      </c>
      <c r="I11" t="s">
        <v>339</v>
      </c>
      <c r="J11" t="str">
        <f t="shared" si="1"/>
        <v>B3-B4</v>
      </c>
      <c r="K11" t="str">
        <f>D11</f>
        <v>Katar</v>
      </c>
      <c r="M11" s="266" t="s">
        <v>340</v>
      </c>
      <c r="N11" s="267">
        <v>-7</v>
      </c>
      <c r="O11" s="267" t="s">
        <v>329</v>
      </c>
    </row>
    <row r="12" spans="1:15" ht="15">
      <c r="A12">
        <v>12</v>
      </c>
      <c r="B12" s="268">
        <f t="shared" si="0"/>
        <v>46187.875</v>
      </c>
      <c r="C12" s="268">
        <v>46188.166666666664</v>
      </c>
      <c r="D12" t="s">
        <v>217</v>
      </c>
      <c r="E12" t="s">
        <v>218</v>
      </c>
      <c r="G12" t="s">
        <v>341</v>
      </c>
      <c r="H12" t="s">
        <v>342</v>
      </c>
      <c r="I12" t="s">
        <v>340</v>
      </c>
      <c r="J12" t="str">
        <f t="shared" si="1"/>
        <v>F3-F4</v>
      </c>
      <c r="K12" t="str">
        <f>E11</f>
        <v>Schweiz</v>
      </c>
      <c r="M12" s="266" t="s">
        <v>309</v>
      </c>
      <c r="N12" s="267">
        <v>-7</v>
      </c>
      <c r="O12" s="267" t="s">
        <v>329</v>
      </c>
    </row>
    <row r="13" spans="1:15" ht="15">
      <c r="A13">
        <v>10</v>
      </c>
      <c r="B13" s="268">
        <f t="shared" si="0"/>
        <v>46187.5</v>
      </c>
      <c r="C13" s="268">
        <v>46187.791666666664</v>
      </c>
      <c r="D13" t="s">
        <v>67</v>
      </c>
      <c r="E13" t="s">
        <v>209</v>
      </c>
      <c r="G13" t="s">
        <v>343</v>
      </c>
      <c r="H13" t="s">
        <v>344</v>
      </c>
      <c r="I13" t="s">
        <v>333</v>
      </c>
      <c r="J13" t="str">
        <f t="shared" si="1"/>
        <v>E1-E2</v>
      </c>
      <c r="M13" s="266" t="s">
        <v>313</v>
      </c>
      <c r="N13" s="267">
        <v>-7</v>
      </c>
      <c r="O13" s="267" t="s">
        <v>329</v>
      </c>
    </row>
    <row r="14" spans="1:15" ht="15">
      <c r="A14">
        <v>11</v>
      </c>
      <c r="B14" s="268">
        <f t="shared" si="0"/>
        <v>46187.625</v>
      </c>
      <c r="C14" s="268">
        <v>46187.916666666664</v>
      </c>
      <c r="D14" t="s">
        <v>71</v>
      </c>
      <c r="E14" t="s">
        <v>215</v>
      </c>
      <c r="G14" t="s">
        <v>57</v>
      </c>
      <c r="H14" t="s">
        <v>59</v>
      </c>
      <c r="I14" t="s">
        <v>328</v>
      </c>
      <c r="J14" t="str">
        <f t="shared" si="1"/>
        <v>F1-F2</v>
      </c>
      <c r="K14" t="s">
        <v>148</v>
      </c>
      <c r="M14" s="266" t="s">
        <v>317</v>
      </c>
      <c r="N14" s="267">
        <v>-9</v>
      </c>
      <c r="O14" s="267" t="s">
        <v>345</v>
      </c>
    </row>
    <row r="15" spans="1:15" ht="15">
      <c r="A15">
        <v>14</v>
      </c>
      <c r="B15" s="268">
        <f t="shared" si="0"/>
        <v>46188.5</v>
      </c>
      <c r="C15" s="268">
        <v>46188.75</v>
      </c>
      <c r="D15" t="s">
        <v>66</v>
      </c>
      <c r="E15" t="s">
        <v>235</v>
      </c>
      <c r="G15" t="s">
        <v>346</v>
      </c>
      <c r="H15" t="s">
        <v>347</v>
      </c>
      <c r="I15" t="s">
        <v>325</v>
      </c>
      <c r="J15" t="str">
        <f t="shared" si="1"/>
        <v>H1-H2</v>
      </c>
      <c r="K15" t="str">
        <f>D10</f>
        <v>Brasilien</v>
      </c>
      <c r="M15" s="266" t="s">
        <v>339</v>
      </c>
      <c r="N15" s="267">
        <v>-9</v>
      </c>
      <c r="O15" s="267" t="s">
        <v>345</v>
      </c>
    </row>
    <row r="16" spans="1:15" ht="15">
      <c r="A16">
        <v>15</v>
      </c>
      <c r="B16" s="268">
        <f t="shared" si="0"/>
        <v>46188.75</v>
      </c>
      <c r="C16" s="268">
        <v>46189.125</v>
      </c>
      <c r="D16" t="s">
        <v>224</v>
      </c>
      <c r="E16" t="s">
        <v>225</v>
      </c>
      <c r="G16" t="s">
        <v>348</v>
      </c>
      <c r="H16" t="s">
        <v>349</v>
      </c>
      <c r="I16" t="s">
        <v>317</v>
      </c>
      <c r="J16" t="str">
        <f t="shared" si="1"/>
        <v>G3-G4</v>
      </c>
      <c r="K16" t="str">
        <f>E10</f>
        <v>Marokko</v>
      </c>
      <c r="M16" s="266" t="s">
        <v>350</v>
      </c>
      <c r="N16" s="267">
        <v>-9</v>
      </c>
      <c r="O16" s="267" t="s">
        <v>345</v>
      </c>
    </row>
    <row r="17" spans="1:15" ht="15">
      <c r="A17">
        <v>13</v>
      </c>
      <c r="B17" s="268">
        <f t="shared" si="0"/>
        <v>46188.75</v>
      </c>
      <c r="C17" s="268">
        <v>46189</v>
      </c>
      <c r="D17" t="s">
        <v>237</v>
      </c>
      <c r="E17" t="s">
        <v>239</v>
      </c>
      <c r="G17" t="s">
        <v>351</v>
      </c>
      <c r="H17" t="s">
        <v>352</v>
      </c>
      <c r="I17" t="s">
        <v>310</v>
      </c>
      <c r="J17" t="str">
        <f t="shared" si="1"/>
        <v>H3-H4</v>
      </c>
      <c r="K17" t="str">
        <f>D7</f>
        <v>Haiti</v>
      </c>
      <c r="M17" s="266" t="s">
        <v>332</v>
      </c>
      <c r="N17" s="267">
        <v>-9</v>
      </c>
      <c r="O17" s="267" t="s">
        <v>345</v>
      </c>
    </row>
    <row r="18" spans="1:15">
      <c r="A18">
        <v>16</v>
      </c>
      <c r="B18" s="268">
        <f t="shared" si="0"/>
        <v>46188.5</v>
      </c>
      <c r="C18" s="268">
        <v>46188.875</v>
      </c>
      <c r="D18" t="s">
        <v>186</v>
      </c>
      <c r="E18" t="s">
        <v>222</v>
      </c>
      <c r="G18" t="s">
        <v>353</v>
      </c>
      <c r="H18" t="s">
        <v>354</v>
      </c>
      <c r="I18" t="s">
        <v>350</v>
      </c>
      <c r="J18" t="str">
        <f t="shared" si="1"/>
        <v>G1-G2</v>
      </c>
      <c r="K18" t="str">
        <f>E7</f>
        <v>Schottland</v>
      </c>
    </row>
    <row r="19" spans="1:15">
      <c r="A19">
        <v>17</v>
      </c>
      <c r="B19" s="268">
        <f t="shared" si="0"/>
        <v>46189.625</v>
      </c>
      <c r="C19" s="268">
        <v>46189.875</v>
      </c>
      <c r="D19" t="s">
        <v>69</v>
      </c>
      <c r="E19" t="s">
        <v>249</v>
      </c>
      <c r="G19" t="s">
        <v>355</v>
      </c>
      <c r="H19" t="s">
        <v>356</v>
      </c>
      <c r="I19" t="s">
        <v>305</v>
      </c>
      <c r="J19" t="str">
        <f t="shared" si="1"/>
        <v>I1-I2</v>
      </c>
    </row>
    <row r="20" spans="1:15">
      <c r="A20">
        <v>18</v>
      </c>
      <c r="B20" s="268">
        <f t="shared" si="0"/>
        <v>46189.75</v>
      </c>
      <c r="C20" s="268">
        <v>46190</v>
      </c>
      <c r="D20" t="s">
        <v>250</v>
      </c>
      <c r="E20" t="s">
        <v>252</v>
      </c>
      <c r="G20" t="s">
        <v>357</v>
      </c>
      <c r="H20" t="s">
        <v>358</v>
      </c>
      <c r="I20" t="s">
        <v>318</v>
      </c>
      <c r="J20" t="str">
        <f t="shared" si="1"/>
        <v>I3-I4</v>
      </c>
      <c r="K20" t="s">
        <v>153</v>
      </c>
    </row>
    <row r="21" spans="1:15">
      <c r="A21">
        <v>21</v>
      </c>
      <c r="B21" s="268">
        <f t="shared" si="0"/>
        <v>46190.791666666664</v>
      </c>
      <c r="C21" s="268">
        <v>46191.041666666664</v>
      </c>
      <c r="D21" t="s">
        <v>251</v>
      </c>
      <c r="E21" t="s">
        <v>253</v>
      </c>
      <c r="G21" t="s">
        <v>359</v>
      </c>
      <c r="H21" t="s">
        <v>18</v>
      </c>
      <c r="I21" t="s">
        <v>314</v>
      </c>
      <c r="J21" t="str">
        <f t="shared" si="1"/>
        <v>L3-L4</v>
      </c>
      <c r="K21" t="str">
        <f>D5</f>
        <v>USA</v>
      </c>
    </row>
    <row r="22" spans="1:15">
      <c r="A22">
        <v>20</v>
      </c>
      <c r="B22" s="268">
        <f t="shared" si="0"/>
        <v>46189.875</v>
      </c>
      <c r="C22" s="268">
        <v>46190.25</v>
      </c>
      <c r="D22" t="s">
        <v>187</v>
      </c>
      <c r="E22" t="s">
        <v>226</v>
      </c>
      <c r="G22" t="s">
        <v>360</v>
      </c>
      <c r="H22" t="s">
        <v>361</v>
      </c>
      <c r="I22" t="s">
        <v>339</v>
      </c>
      <c r="J22" t="str">
        <f t="shared" si="1"/>
        <v>J3-J4</v>
      </c>
      <c r="K22" t="str">
        <f>E5</f>
        <v>Paraguay</v>
      </c>
    </row>
    <row r="23" spans="1:15">
      <c r="A23">
        <v>19</v>
      </c>
      <c r="B23" s="268">
        <f t="shared" si="0"/>
        <v>46189.833333333336</v>
      </c>
      <c r="C23" s="268">
        <v>46190.125</v>
      </c>
      <c r="D23" t="s">
        <v>221</v>
      </c>
      <c r="E23" t="s">
        <v>223</v>
      </c>
      <c r="G23" t="s">
        <v>362</v>
      </c>
      <c r="H23" t="s">
        <v>363</v>
      </c>
      <c r="I23" t="s">
        <v>336</v>
      </c>
      <c r="J23" t="str">
        <f t="shared" si="1"/>
        <v>J1-J2</v>
      </c>
      <c r="K23" t="str">
        <f>D9</f>
        <v>Australien</v>
      </c>
    </row>
    <row r="24" spans="1:15">
      <c r="A24">
        <v>23</v>
      </c>
      <c r="B24" s="268">
        <f t="shared" si="0"/>
        <v>46190.5</v>
      </c>
      <c r="C24" s="268">
        <v>46190.791666666664</v>
      </c>
      <c r="D24" t="s">
        <v>190</v>
      </c>
      <c r="E24" t="s">
        <v>236</v>
      </c>
      <c r="G24" t="s">
        <v>364</v>
      </c>
      <c r="H24" t="s">
        <v>365</v>
      </c>
      <c r="I24" t="s">
        <v>333</v>
      </c>
      <c r="J24" t="str">
        <f t="shared" si="1"/>
        <v>K1-K2</v>
      </c>
      <c r="K24" t="str">
        <f>E9</f>
        <v>Türkei</v>
      </c>
    </row>
    <row r="25" spans="1:15">
      <c r="A25">
        <v>24</v>
      </c>
      <c r="B25" s="268">
        <f t="shared" si="0"/>
        <v>46190.875</v>
      </c>
      <c r="C25" s="268">
        <v>46191.166666666664</v>
      </c>
      <c r="D25" t="s">
        <v>238</v>
      </c>
      <c r="E25" t="s">
        <v>240</v>
      </c>
      <c r="G25" t="s">
        <v>366</v>
      </c>
      <c r="H25" t="s">
        <v>367</v>
      </c>
      <c r="I25" t="s">
        <v>309</v>
      </c>
      <c r="J25" t="str">
        <f t="shared" si="1"/>
        <v>K3-K4</v>
      </c>
    </row>
    <row r="26" spans="1:15">
      <c r="A26">
        <v>22</v>
      </c>
      <c r="B26" s="268">
        <f t="shared" si="0"/>
        <v>46190.625</v>
      </c>
      <c r="C26" s="268">
        <v>46190.916666666664</v>
      </c>
      <c r="D26" t="s">
        <v>70</v>
      </c>
      <c r="E26" t="s">
        <v>188</v>
      </c>
      <c r="G26" t="s">
        <v>13</v>
      </c>
      <c r="H26" t="s">
        <v>368</v>
      </c>
      <c r="I26" t="s">
        <v>328</v>
      </c>
      <c r="J26" t="str">
        <f t="shared" si="1"/>
        <v>L1-L2</v>
      </c>
      <c r="K26" t="s">
        <v>154</v>
      </c>
    </row>
    <row r="27" spans="1:15">
      <c r="B27" s="268"/>
      <c r="C27" s="268"/>
      <c r="F27" s="265" t="s">
        <v>369</v>
      </c>
      <c r="K27" t="str">
        <f>D13</f>
        <v>Deutschland</v>
      </c>
    </row>
    <row r="28" spans="1:15">
      <c r="A28">
        <v>27</v>
      </c>
      <c r="B28" s="268">
        <f t="shared" si="0"/>
        <v>46191.625</v>
      </c>
      <c r="C28" s="268">
        <v>46192</v>
      </c>
      <c r="D28" t="s">
        <v>207</v>
      </c>
      <c r="E28" t="s">
        <v>210</v>
      </c>
      <c r="G28" t="s">
        <v>320</v>
      </c>
      <c r="H28" t="s">
        <v>337</v>
      </c>
      <c r="I28" t="s">
        <v>332</v>
      </c>
      <c r="J28" t="str">
        <f t="shared" si="1"/>
        <v>B1-B3</v>
      </c>
      <c r="K28" t="str">
        <f>E13</f>
        <v>Curaçao</v>
      </c>
    </row>
    <row r="29" spans="1:15">
      <c r="A29">
        <v>25</v>
      </c>
      <c r="B29" s="268">
        <f t="shared" si="0"/>
        <v>46191.5</v>
      </c>
      <c r="C29" s="268">
        <v>46191.75</v>
      </c>
      <c r="D29" t="s">
        <v>189</v>
      </c>
      <c r="E29" t="s">
        <v>203</v>
      </c>
      <c r="G29" t="s">
        <v>312</v>
      </c>
      <c r="H29" t="s">
        <v>308</v>
      </c>
      <c r="I29" t="s">
        <v>325</v>
      </c>
      <c r="J29" t="str">
        <f t="shared" si="1"/>
        <v>A4-A2</v>
      </c>
      <c r="K29" t="str">
        <f>D8</f>
        <v>Elfenbeinküste</v>
      </c>
    </row>
    <row r="30" spans="1:15">
      <c r="A30">
        <v>26</v>
      </c>
      <c r="B30" s="268">
        <f t="shared" si="0"/>
        <v>46191.5</v>
      </c>
      <c r="C30" s="268">
        <v>46191.875</v>
      </c>
      <c r="D30" t="s">
        <v>68</v>
      </c>
      <c r="E30" t="s">
        <v>319</v>
      </c>
      <c r="G30" t="s">
        <v>338</v>
      </c>
      <c r="H30" t="s">
        <v>321</v>
      </c>
      <c r="I30" t="s">
        <v>317</v>
      </c>
      <c r="J30" t="str">
        <f t="shared" si="1"/>
        <v>B4-B2</v>
      </c>
      <c r="K30" t="str">
        <f>E8</f>
        <v>Ecuador</v>
      </c>
    </row>
    <row r="31" spans="1:15">
      <c r="A31">
        <v>30</v>
      </c>
      <c r="B31" s="268">
        <f t="shared" si="0"/>
        <v>46192.75</v>
      </c>
      <c r="C31" s="268">
        <v>46193</v>
      </c>
      <c r="D31" t="s">
        <v>184</v>
      </c>
      <c r="E31" t="s">
        <v>214</v>
      </c>
      <c r="G31" t="s">
        <v>324</v>
      </c>
      <c r="H31" t="s">
        <v>335</v>
      </c>
      <c r="I31" t="s">
        <v>318</v>
      </c>
      <c r="J31" t="str">
        <f t="shared" si="1"/>
        <v>C4-C2</v>
      </c>
    </row>
    <row r="32" spans="1:15">
      <c r="A32">
        <v>28</v>
      </c>
      <c r="B32" s="268">
        <f t="shared" si="0"/>
        <v>46191.833333333336</v>
      </c>
      <c r="C32" s="268">
        <v>46192.125</v>
      </c>
      <c r="D32" t="s">
        <v>201</v>
      </c>
      <c r="E32" t="s">
        <v>205</v>
      </c>
      <c r="G32" t="s">
        <v>307</v>
      </c>
      <c r="H32" t="s">
        <v>311</v>
      </c>
      <c r="I32" t="s">
        <v>313</v>
      </c>
      <c r="J32" t="str">
        <f t="shared" si="1"/>
        <v>A1-A3</v>
      </c>
      <c r="K32" t="s">
        <v>156</v>
      </c>
    </row>
    <row r="33" spans="1:11">
      <c r="A33">
        <v>29</v>
      </c>
      <c r="B33" s="268">
        <f t="shared" si="0"/>
        <v>46192.875</v>
      </c>
      <c r="C33" s="268">
        <v>46193.125</v>
      </c>
      <c r="D33" t="s">
        <v>213</v>
      </c>
      <c r="E33" t="s">
        <v>216</v>
      </c>
      <c r="G33" t="s">
        <v>334</v>
      </c>
      <c r="H33" t="s">
        <v>323</v>
      </c>
      <c r="I33" t="s">
        <v>322</v>
      </c>
      <c r="J33" t="str">
        <f t="shared" si="1"/>
        <v>C1-C3</v>
      </c>
      <c r="K33" t="str">
        <f>D14</f>
        <v>Niederlande</v>
      </c>
    </row>
    <row r="34" spans="1:11">
      <c r="A34">
        <v>32</v>
      </c>
      <c r="B34" s="268">
        <f t="shared" si="0"/>
        <v>46192.5</v>
      </c>
      <c r="C34" s="268">
        <v>46192.875</v>
      </c>
      <c r="D34" t="s">
        <v>202</v>
      </c>
      <c r="E34" t="s">
        <v>206</v>
      </c>
      <c r="G34" t="s">
        <v>315</v>
      </c>
      <c r="H34" t="s">
        <v>330</v>
      </c>
      <c r="I34" t="s">
        <v>350</v>
      </c>
      <c r="J34" t="str">
        <f t="shared" si="1"/>
        <v>D1-D3</v>
      </c>
      <c r="K34" t="str">
        <f>E14</f>
        <v>Japan</v>
      </c>
    </row>
    <row r="35" spans="1:11">
      <c r="A35">
        <v>33</v>
      </c>
      <c r="B35" s="268">
        <f t="shared" si="0"/>
        <v>46193.666666666664</v>
      </c>
      <c r="C35" s="268">
        <v>46193.916666666664</v>
      </c>
      <c r="D35" t="s">
        <v>67</v>
      </c>
      <c r="E35" t="s">
        <v>211</v>
      </c>
      <c r="G35" t="s">
        <v>343</v>
      </c>
      <c r="H35" t="s">
        <v>326</v>
      </c>
      <c r="I35" t="s">
        <v>314</v>
      </c>
      <c r="J35" t="str">
        <f t="shared" si="1"/>
        <v>E1-E3</v>
      </c>
      <c r="K35" t="str">
        <f>D12</f>
        <v>Schweden</v>
      </c>
    </row>
    <row r="36" spans="1:11">
      <c r="A36">
        <v>34</v>
      </c>
      <c r="B36" s="268">
        <f t="shared" si="0"/>
        <v>46193.791666666672</v>
      </c>
      <c r="C36" s="268">
        <v>46194.083333333336</v>
      </c>
      <c r="D36" t="s">
        <v>212</v>
      </c>
      <c r="E36" t="s">
        <v>209</v>
      </c>
      <c r="G36" t="s">
        <v>327</v>
      </c>
      <c r="H36" t="s">
        <v>344</v>
      </c>
      <c r="I36" t="s">
        <v>336</v>
      </c>
      <c r="J36" t="str">
        <f t="shared" si="1"/>
        <v>E4-E2</v>
      </c>
      <c r="K36" t="str">
        <f>E12</f>
        <v>Tunesien</v>
      </c>
    </row>
    <row r="37" spans="1:11">
      <c r="A37">
        <v>31</v>
      </c>
      <c r="B37" s="268">
        <f t="shared" si="0"/>
        <v>46192.875</v>
      </c>
      <c r="C37" s="268">
        <v>46193.25</v>
      </c>
      <c r="D37" t="s">
        <v>185</v>
      </c>
      <c r="E37" t="s">
        <v>204</v>
      </c>
      <c r="G37" t="s">
        <v>331</v>
      </c>
      <c r="H37" t="s">
        <v>316</v>
      </c>
      <c r="I37" t="s">
        <v>339</v>
      </c>
      <c r="J37" t="str">
        <f t="shared" si="1"/>
        <v>D4-D2</v>
      </c>
    </row>
    <row r="38" spans="1:11">
      <c r="A38">
        <v>37</v>
      </c>
      <c r="B38" s="268">
        <f t="shared" si="0"/>
        <v>46194.75</v>
      </c>
      <c r="C38" s="268">
        <v>46195</v>
      </c>
      <c r="D38" t="s">
        <v>239</v>
      </c>
      <c r="E38" t="s">
        <v>235</v>
      </c>
      <c r="G38" t="s">
        <v>352</v>
      </c>
      <c r="H38" t="s">
        <v>347</v>
      </c>
      <c r="I38" t="s">
        <v>310</v>
      </c>
      <c r="J38" t="str">
        <f t="shared" si="1"/>
        <v>H4-H2</v>
      </c>
      <c r="K38" t="s">
        <v>8</v>
      </c>
    </row>
    <row r="39" spans="1:11">
      <c r="A39">
        <v>38</v>
      </c>
      <c r="B39" s="268">
        <f t="shared" si="0"/>
        <v>46194.5</v>
      </c>
      <c r="C39" s="268">
        <v>46194.75</v>
      </c>
      <c r="D39" t="s">
        <v>66</v>
      </c>
      <c r="E39" t="s">
        <v>237</v>
      </c>
      <c r="G39" t="s">
        <v>346</v>
      </c>
      <c r="H39" t="s">
        <v>351</v>
      </c>
      <c r="I39" t="s">
        <v>325</v>
      </c>
      <c r="J39" t="str">
        <f t="shared" si="1"/>
        <v>H1-H3</v>
      </c>
      <c r="K39" t="str">
        <f>D18</f>
        <v>Belgien</v>
      </c>
    </row>
    <row r="40" spans="1:11">
      <c r="A40">
        <v>35</v>
      </c>
      <c r="B40" s="268">
        <f t="shared" si="0"/>
        <v>46193.5</v>
      </c>
      <c r="C40" s="268">
        <v>46193.791666666664</v>
      </c>
      <c r="D40" t="s">
        <v>71</v>
      </c>
      <c r="E40" t="s">
        <v>217</v>
      </c>
      <c r="G40" t="s">
        <v>57</v>
      </c>
      <c r="H40" t="s">
        <v>341</v>
      </c>
      <c r="I40" t="s">
        <v>333</v>
      </c>
      <c r="J40" t="str">
        <f t="shared" si="1"/>
        <v>F1-F3</v>
      </c>
      <c r="K40" t="str">
        <f>E18</f>
        <v>Ägypten</v>
      </c>
    </row>
    <row r="41" spans="1:11">
      <c r="A41">
        <v>36</v>
      </c>
      <c r="B41" s="268">
        <f t="shared" si="0"/>
        <v>46193.958333333336</v>
      </c>
      <c r="C41" s="268">
        <v>46194.25</v>
      </c>
      <c r="D41" t="s">
        <v>218</v>
      </c>
      <c r="E41" t="s">
        <v>215</v>
      </c>
      <c r="G41" t="s">
        <v>342</v>
      </c>
      <c r="H41" t="s">
        <v>59</v>
      </c>
      <c r="I41" t="s">
        <v>340</v>
      </c>
      <c r="J41" t="str">
        <f t="shared" si="1"/>
        <v>F4-F2</v>
      </c>
      <c r="K41" t="str">
        <f>D16</f>
        <v>IR Iran</v>
      </c>
    </row>
    <row r="42" spans="1:11">
      <c r="A42">
        <v>41</v>
      </c>
      <c r="B42" s="268">
        <f t="shared" si="0"/>
        <v>46195.833333333336</v>
      </c>
      <c r="C42" s="268">
        <v>46196.083333333336</v>
      </c>
      <c r="D42" t="s">
        <v>252</v>
      </c>
      <c r="E42" t="s">
        <v>249</v>
      </c>
      <c r="G42" t="s">
        <v>358</v>
      </c>
      <c r="H42" t="s">
        <v>356</v>
      </c>
      <c r="I42" t="s">
        <v>305</v>
      </c>
      <c r="J42" t="str">
        <f t="shared" si="1"/>
        <v>I4-I2</v>
      </c>
      <c r="K42" t="str">
        <f>E16</f>
        <v>Neuseeland</v>
      </c>
    </row>
    <row r="43" spans="1:11">
      <c r="A43">
        <v>42</v>
      </c>
      <c r="B43" s="268">
        <f t="shared" si="0"/>
        <v>46195.708333333336</v>
      </c>
      <c r="C43" s="268">
        <v>46195.958333333336</v>
      </c>
      <c r="D43" t="s">
        <v>69</v>
      </c>
      <c r="E43" t="s">
        <v>250</v>
      </c>
      <c r="G43" t="s">
        <v>355</v>
      </c>
      <c r="H43" t="s">
        <v>357</v>
      </c>
      <c r="I43" t="s">
        <v>322</v>
      </c>
      <c r="J43" t="str">
        <f t="shared" si="1"/>
        <v>I1-I3</v>
      </c>
    </row>
    <row r="44" spans="1:11">
      <c r="A44">
        <v>39</v>
      </c>
      <c r="B44" s="268">
        <f t="shared" si="0"/>
        <v>46194.5</v>
      </c>
      <c r="C44" s="268">
        <v>46194.875</v>
      </c>
      <c r="D44" t="s">
        <v>186</v>
      </c>
      <c r="E44" t="s">
        <v>224</v>
      </c>
      <c r="G44" t="s">
        <v>353</v>
      </c>
      <c r="H44" t="s">
        <v>348</v>
      </c>
      <c r="I44" t="s">
        <v>317</v>
      </c>
      <c r="J44" t="str">
        <f t="shared" si="1"/>
        <v>G1-G3</v>
      </c>
      <c r="K44" t="s">
        <v>370</v>
      </c>
    </row>
    <row r="45" spans="1:11">
      <c r="A45">
        <v>40</v>
      </c>
      <c r="B45" s="268">
        <f t="shared" si="0"/>
        <v>46194.75</v>
      </c>
      <c r="C45" s="268">
        <v>46195.125</v>
      </c>
      <c r="D45" t="s">
        <v>225</v>
      </c>
      <c r="E45" t="s">
        <v>222</v>
      </c>
      <c r="G45" t="s">
        <v>349</v>
      </c>
      <c r="H45" t="s">
        <v>354</v>
      </c>
      <c r="I45" t="s">
        <v>332</v>
      </c>
      <c r="J45" t="str">
        <f t="shared" si="1"/>
        <v>G4-G2</v>
      </c>
      <c r="K45" t="str">
        <f>D15</f>
        <v>Spanien</v>
      </c>
    </row>
    <row r="46" spans="1:11">
      <c r="A46">
        <v>45</v>
      </c>
      <c r="B46" s="268">
        <f t="shared" si="0"/>
        <v>46196.666666666664</v>
      </c>
      <c r="C46" s="268">
        <v>46196.916666666664</v>
      </c>
      <c r="D46" t="s">
        <v>70</v>
      </c>
      <c r="E46" t="s">
        <v>251</v>
      </c>
      <c r="G46" t="s">
        <v>13</v>
      </c>
      <c r="H46" t="s">
        <v>359</v>
      </c>
      <c r="I46" t="s">
        <v>318</v>
      </c>
      <c r="J46" t="str">
        <f t="shared" si="1"/>
        <v>L1-L3</v>
      </c>
      <c r="K46" t="str">
        <f>E15</f>
        <v>Kap Verde</v>
      </c>
    </row>
    <row r="47" spans="1:11">
      <c r="A47">
        <v>46</v>
      </c>
      <c r="B47" s="268">
        <f t="shared" si="0"/>
        <v>46196.791666666664</v>
      </c>
      <c r="C47" s="268">
        <v>46197.041666666664</v>
      </c>
      <c r="D47" t="s">
        <v>253</v>
      </c>
      <c r="E47" t="s">
        <v>188</v>
      </c>
      <c r="G47" t="s">
        <v>18</v>
      </c>
      <c r="H47" t="s">
        <v>368</v>
      </c>
      <c r="I47" t="s">
        <v>314</v>
      </c>
      <c r="J47" t="str">
        <f t="shared" si="1"/>
        <v>L4-L2</v>
      </c>
      <c r="K47" t="str">
        <f>D17</f>
        <v>Saudiarabien</v>
      </c>
    </row>
    <row r="48" spans="1:11">
      <c r="A48">
        <v>43</v>
      </c>
      <c r="B48" s="268">
        <f t="shared" si="0"/>
        <v>46195.5</v>
      </c>
      <c r="C48" s="268">
        <v>46195.791666666664</v>
      </c>
      <c r="D48" t="s">
        <v>221</v>
      </c>
      <c r="E48" t="s">
        <v>187</v>
      </c>
      <c r="G48" t="s">
        <v>362</v>
      </c>
      <c r="H48" t="s">
        <v>360</v>
      </c>
      <c r="I48" t="s">
        <v>328</v>
      </c>
      <c r="J48" t="str">
        <f t="shared" si="1"/>
        <v>J1-J3</v>
      </c>
      <c r="K48" t="str">
        <f>E17</f>
        <v>Uruguay</v>
      </c>
    </row>
    <row r="49" spans="1:11">
      <c r="A49">
        <v>44</v>
      </c>
      <c r="B49" s="268">
        <f t="shared" si="0"/>
        <v>46195.833333333336</v>
      </c>
      <c r="C49" s="268">
        <v>46196.208333333336</v>
      </c>
      <c r="D49" t="s">
        <v>226</v>
      </c>
      <c r="E49" t="s">
        <v>223</v>
      </c>
      <c r="G49" t="s">
        <v>361</v>
      </c>
      <c r="H49" t="s">
        <v>363</v>
      </c>
      <c r="I49" t="s">
        <v>339</v>
      </c>
      <c r="J49" t="str">
        <f t="shared" si="1"/>
        <v>J4-J2</v>
      </c>
    </row>
    <row r="50" spans="1:11">
      <c r="A50">
        <v>47</v>
      </c>
      <c r="B50" s="268">
        <f t="shared" si="0"/>
        <v>46196.5</v>
      </c>
      <c r="C50" s="268">
        <v>46196.791666666664</v>
      </c>
      <c r="D50" t="s">
        <v>190</v>
      </c>
      <c r="E50" t="s">
        <v>238</v>
      </c>
      <c r="G50" t="s">
        <v>364</v>
      </c>
      <c r="H50" t="s">
        <v>366</v>
      </c>
      <c r="I50" t="s">
        <v>333</v>
      </c>
      <c r="J50" t="str">
        <f t="shared" si="1"/>
        <v>K1-K3</v>
      </c>
      <c r="K50" t="s">
        <v>371</v>
      </c>
    </row>
    <row r="51" spans="1:11">
      <c r="A51">
        <v>48</v>
      </c>
      <c r="B51" s="268">
        <f t="shared" si="0"/>
        <v>46196.875</v>
      </c>
      <c r="C51" s="268">
        <v>46197.166666666664</v>
      </c>
      <c r="D51" t="s">
        <v>240</v>
      </c>
      <c r="E51" t="s">
        <v>236</v>
      </c>
      <c r="G51" t="s">
        <v>367</v>
      </c>
      <c r="H51" t="s">
        <v>365</v>
      </c>
      <c r="I51" t="s">
        <v>313</v>
      </c>
      <c r="J51" t="str">
        <f t="shared" si="1"/>
        <v>K4-K2</v>
      </c>
      <c r="K51" t="str">
        <f>D19</f>
        <v>Frankreich</v>
      </c>
    </row>
    <row r="52" spans="1:11">
      <c r="B52" s="268"/>
      <c r="C52" s="268"/>
      <c r="F52" s="265" t="s">
        <v>372</v>
      </c>
      <c r="K52" t="str">
        <f>E19</f>
        <v>Senegal</v>
      </c>
    </row>
    <row r="53" spans="1:11">
      <c r="A53">
        <v>49</v>
      </c>
      <c r="B53" s="268">
        <f t="shared" si="0"/>
        <v>46197.75</v>
      </c>
      <c r="C53" s="268">
        <v>46198</v>
      </c>
      <c r="D53" t="s">
        <v>184</v>
      </c>
      <c r="E53" t="s">
        <v>213</v>
      </c>
      <c r="G53" t="s">
        <v>324</v>
      </c>
      <c r="H53" t="s">
        <v>334</v>
      </c>
      <c r="I53" t="s">
        <v>310</v>
      </c>
      <c r="J53" t="str">
        <f t="shared" si="1"/>
        <v>C4-C1</v>
      </c>
      <c r="K53" t="str">
        <f>D20</f>
        <v>Irak</v>
      </c>
    </row>
    <row r="54" spans="1:11">
      <c r="A54">
        <v>50</v>
      </c>
      <c r="B54" s="268">
        <f t="shared" si="0"/>
        <v>46197.75</v>
      </c>
      <c r="C54" s="268">
        <v>46198</v>
      </c>
      <c r="D54" t="s">
        <v>214</v>
      </c>
      <c r="E54" t="s">
        <v>216</v>
      </c>
      <c r="G54" t="s">
        <v>335</v>
      </c>
      <c r="H54" t="s">
        <v>323</v>
      </c>
      <c r="I54" t="s">
        <v>325</v>
      </c>
      <c r="J54" t="str">
        <f t="shared" si="1"/>
        <v>C2-C3</v>
      </c>
      <c r="K54" t="str">
        <f>E20</f>
        <v>Norwegen</v>
      </c>
    </row>
    <row r="55" spans="1:11">
      <c r="A55">
        <v>51</v>
      </c>
      <c r="B55" s="268">
        <f t="shared" si="0"/>
        <v>46197.5</v>
      </c>
      <c r="C55" s="268">
        <v>46197.875</v>
      </c>
      <c r="D55" t="s">
        <v>68</v>
      </c>
      <c r="E55" t="s">
        <v>207</v>
      </c>
      <c r="G55" t="s">
        <v>338</v>
      </c>
      <c r="H55" t="s">
        <v>320</v>
      </c>
      <c r="I55" t="s">
        <v>332</v>
      </c>
      <c r="J55" t="str">
        <f t="shared" si="1"/>
        <v>B4-B1</v>
      </c>
    </row>
    <row r="56" spans="1:11">
      <c r="A56">
        <v>52</v>
      </c>
      <c r="B56" s="268">
        <f t="shared" si="0"/>
        <v>46197.5</v>
      </c>
      <c r="C56" s="268">
        <v>46197.875</v>
      </c>
      <c r="D56" t="s">
        <v>319</v>
      </c>
      <c r="E56" t="s">
        <v>210</v>
      </c>
      <c r="G56" t="s">
        <v>321</v>
      </c>
      <c r="H56" t="s">
        <v>337</v>
      </c>
      <c r="I56" t="s">
        <v>350</v>
      </c>
      <c r="J56" t="str">
        <f t="shared" si="1"/>
        <v>B2-B3</v>
      </c>
      <c r="K56" t="s">
        <v>373</v>
      </c>
    </row>
    <row r="57" spans="1:11">
      <c r="A57">
        <v>54</v>
      </c>
      <c r="B57" s="268">
        <f t="shared" si="0"/>
        <v>46197.833333333336</v>
      </c>
      <c r="C57" s="268">
        <v>46198.125</v>
      </c>
      <c r="D57" t="s">
        <v>203</v>
      </c>
      <c r="E57" t="s">
        <v>205</v>
      </c>
      <c r="G57" t="s">
        <v>308</v>
      </c>
      <c r="H57" t="s">
        <v>311</v>
      </c>
      <c r="I57" t="s">
        <v>340</v>
      </c>
      <c r="J57" t="str">
        <f t="shared" si="1"/>
        <v>A2-A3</v>
      </c>
      <c r="K57" t="str">
        <f>D23</f>
        <v>Argentinien</v>
      </c>
    </row>
    <row r="58" spans="1:11">
      <c r="A58">
        <v>53</v>
      </c>
      <c r="B58" s="268">
        <f t="shared" si="0"/>
        <v>46197.833333333336</v>
      </c>
      <c r="C58" s="268">
        <v>46198.125</v>
      </c>
      <c r="D58" t="s">
        <v>189</v>
      </c>
      <c r="E58" t="s">
        <v>201</v>
      </c>
      <c r="G58" t="s">
        <v>312</v>
      </c>
      <c r="H58" t="s">
        <v>307</v>
      </c>
      <c r="I58" t="s">
        <v>309</v>
      </c>
      <c r="J58" t="str">
        <f t="shared" si="1"/>
        <v>A4-A1</v>
      </c>
      <c r="K58" t="str">
        <f>E23</f>
        <v>Algerien</v>
      </c>
    </row>
    <row r="59" spans="1:11">
      <c r="A59">
        <v>56</v>
      </c>
      <c r="B59" s="268">
        <f t="shared" si="0"/>
        <v>46198.666666666664</v>
      </c>
      <c r="C59" s="268">
        <v>46198.916666666664</v>
      </c>
      <c r="D59" t="s">
        <v>212</v>
      </c>
      <c r="E59" t="s">
        <v>67</v>
      </c>
      <c r="G59" t="s">
        <v>327</v>
      </c>
      <c r="H59" t="s">
        <v>343</v>
      </c>
      <c r="I59" t="s">
        <v>305</v>
      </c>
      <c r="J59" t="str">
        <f t="shared" si="1"/>
        <v>E4-E1</v>
      </c>
      <c r="K59" t="str">
        <f>D22</f>
        <v>Österreich</v>
      </c>
    </row>
    <row r="60" spans="1:11">
      <c r="A60">
        <v>55</v>
      </c>
      <c r="B60" s="268">
        <f t="shared" si="0"/>
        <v>46198.666666666664</v>
      </c>
      <c r="C60" s="268">
        <v>46198.916666666664</v>
      </c>
      <c r="D60" t="s">
        <v>209</v>
      </c>
      <c r="E60" t="s">
        <v>211</v>
      </c>
      <c r="G60" t="s">
        <v>344</v>
      </c>
      <c r="H60" t="s">
        <v>326</v>
      </c>
      <c r="I60" t="s">
        <v>322</v>
      </c>
      <c r="J60" t="str">
        <f t="shared" si="1"/>
        <v>E2-E3</v>
      </c>
      <c r="K60" t="str">
        <f>E22</f>
        <v>Jordanien</v>
      </c>
    </row>
    <row r="61" spans="1:11">
      <c r="A61">
        <v>57</v>
      </c>
      <c r="B61" s="268">
        <f t="shared" si="0"/>
        <v>46198.75</v>
      </c>
      <c r="C61" s="268">
        <v>46199.041666666664</v>
      </c>
      <c r="D61" t="s">
        <v>215</v>
      </c>
      <c r="E61" t="s">
        <v>217</v>
      </c>
      <c r="G61" t="s">
        <v>59</v>
      </c>
      <c r="H61" t="s">
        <v>341</v>
      </c>
      <c r="I61" t="s">
        <v>328</v>
      </c>
      <c r="J61" t="str">
        <f t="shared" si="1"/>
        <v>F2-F3</v>
      </c>
    </row>
    <row r="62" spans="1:11">
      <c r="A62">
        <v>58</v>
      </c>
      <c r="B62" s="268">
        <f t="shared" si="0"/>
        <v>46198.75</v>
      </c>
      <c r="C62" s="268">
        <v>46199.041666666664</v>
      </c>
      <c r="D62" t="s">
        <v>218</v>
      </c>
      <c r="E62" t="s">
        <v>71</v>
      </c>
      <c r="G62" t="s">
        <v>342</v>
      </c>
      <c r="H62" t="s">
        <v>57</v>
      </c>
      <c r="I62" t="s">
        <v>336</v>
      </c>
      <c r="J62" t="str">
        <f t="shared" si="1"/>
        <v>F4-F1</v>
      </c>
      <c r="K62" t="s">
        <v>374</v>
      </c>
    </row>
    <row r="63" spans="1:11">
      <c r="A63">
        <v>59</v>
      </c>
      <c r="B63" s="268">
        <f t="shared" si="0"/>
        <v>46198.791666666664</v>
      </c>
      <c r="C63" s="268">
        <v>46199.166666666664</v>
      </c>
      <c r="D63" t="s">
        <v>185</v>
      </c>
      <c r="E63" t="s">
        <v>202</v>
      </c>
      <c r="G63" t="s">
        <v>331</v>
      </c>
      <c r="H63" t="s">
        <v>315</v>
      </c>
      <c r="I63" t="s">
        <v>317</v>
      </c>
      <c r="J63" t="str">
        <f t="shared" si="1"/>
        <v>D4-D1</v>
      </c>
      <c r="K63" t="str">
        <f>D24</f>
        <v>Portugal</v>
      </c>
    </row>
    <row r="64" spans="1:11">
      <c r="A64">
        <v>60</v>
      </c>
      <c r="B64" s="268">
        <f t="shared" si="0"/>
        <v>46198.791666666664</v>
      </c>
      <c r="C64" s="268">
        <v>46199.166666666664</v>
      </c>
      <c r="D64" t="s">
        <v>204</v>
      </c>
      <c r="E64" t="s">
        <v>206</v>
      </c>
      <c r="G64" t="s">
        <v>316</v>
      </c>
      <c r="H64" t="s">
        <v>330</v>
      </c>
      <c r="I64" t="s">
        <v>339</v>
      </c>
      <c r="J64" t="str">
        <f t="shared" si="1"/>
        <v>D2-D3</v>
      </c>
      <c r="K64" t="str">
        <f>E24</f>
        <v>DR Kongo</v>
      </c>
    </row>
    <row r="65" spans="1:11">
      <c r="A65">
        <v>61</v>
      </c>
      <c r="B65" s="268">
        <f t="shared" si="0"/>
        <v>46199.625</v>
      </c>
      <c r="C65" s="268">
        <v>46199.875</v>
      </c>
      <c r="D65" t="s">
        <v>252</v>
      </c>
      <c r="E65" t="s">
        <v>69</v>
      </c>
      <c r="G65" t="s">
        <v>358</v>
      </c>
      <c r="H65" t="s">
        <v>355</v>
      </c>
      <c r="I65" t="s">
        <v>318</v>
      </c>
      <c r="J65" t="str">
        <f t="shared" si="1"/>
        <v>I4-I1</v>
      </c>
      <c r="K65" t="str">
        <f>D25</f>
        <v>Usbekistan</v>
      </c>
    </row>
    <row r="66" spans="1:11">
      <c r="A66">
        <v>62</v>
      </c>
      <c r="B66" s="268">
        <f t="shared" si="0"/>
        <v>46199.625</v>
      </c>
      <c r="C66" s="268">
        <v>46199.875</v>
      </c>
      <c r="D66" t="s">
        <v>249</v>
      </c>
      <c r="E66" t="s">
        <v>250</v>
      </c>
      <c r="G66" t="s">
        <v>356</v>
      </c>
      <c r="H66" t="s">
        <v>357</v>
      </c>
      <c r="I66" t="s">
        <v>314</v>
      </c>
      <c r="J66" t="str">
        <f t="shared" si="1"/>
        <v>I2-I3</v>
      </c>
      <c r="K66" t="str">
        <f>E25</f>
        <v>Kolumbien</v>
      </c>
    </row>
    <row r="67" spans="1:11">
      <c r="A67">
        <v>63</v>
      </c>
      <c r="B67" s="268">
        <f t="shared" si="0"/>
        <v>46199.833333333336</v>
      </c>
      <c r="C67" s="268">
        <v>46200.208333333336</v>
      </c>
      <c r="D67" t="s">
        <v>222</v>
      </c>
      <c r="E67" t="s">
        <v>224</v>
      </c>
      <c r="G67" t="s">
        <v>354</v>
      </c>
      <c r="H67" t="s">
        <v>348</v>
      </c>
      <c r="I67" t="s">
        <v>350</v>
      </c>
      <c r="J67" t="str">
        <f t="shared" si="1"/>
        <v>G2-G3</v>
      </c>
    </row>
    <row r="68" spans="1:11">
      <c r="A68">
        <v>64</v>
      </c>
      <c r="B68" s="268">
        <f t="shared" ref="B68:B114" si="2">C68+VLOOKUP(I68,$M$2:$N$17,2,FALSE)/24</f>
        <v>46199.833333333336</v>
      </c>
      <c r="C68" s="268">
        <v>46200.208333333336</v>
      </c>
      <c r="D68" t="s">
        <v>225</v>
      </c>
      <c r="E68" t="s">
        <v>186</v>
      </c>
      <c r="G68" t="s">
        <v>349</v>
      </c>
      <c r="H68" t="s">
        <v>353</v>
      </c>
      <c r="I68" t="s">
        <v>332</v>
      </c>
      <c r="J68" t="str">
        <f t="shared" ref="J68:J76" si="3">CONCATENATE(G68,"-",H68)</f>
        <v>G4-G1</v>
      </c>
      <c r="K68" t="s">
        <v>375</v>
      </c>
    </row>
    <row r="69" spans="1:11">
      <c r="A69">
        <v>65</v>
      </c>
      <c r="B69" s="268">
        <f t="shared" si="2"/>
        <v>46199.791666666672</v>
      </c>
      <c r="C69" s="268">
        <v>46200.083333333336</v>
      </c>
      <c r="D69" t="s">
        <v>235</v>
      </c>
      <c r="E69" t="s">
        <v>237</v>
      </c>
      <c r="G69" t="s">
        <v>347</v>
      </c>
      <c r="H69" t="s">
        <v>351</v>
      </c>
      <c r="I69" t="s">
        <v>333</v>
      </c>
      <c r="J69" t="str">
        <f t="shared" si="3"/>
        <v>H2-H3</v>
      </c>
      <c r="K69" t="str">
        <f>D26</f>
        <v>England</v>
      </c>
    </row>
    <row r="70" spans="1:11">
      <c r="A70">
        <v>66</v>
      </c>
      <c r="B70" s="268">
        <f t="shared" si="2"/>
        <v>46199.791666666672</v>
      </c>
      <c r="C70" s="268">
        <v>46200.083333333336</v>
      </c>
      <c r="D70" t="s">
        <v>239</v>
      </c>
      <c r="E70" t="s">
        <v>66</v>
      </c>
      <c r="G70" t="s">
        <v>352</v>
      </c>
      <c r="H70" t="s">
        <v>346</v>
      </c>
      <c r="I70" t="s">
        <v>313</v>
      </c>
      <c r="J70" t="str">
        <f t="shared" si="3"/>
        <v>H4-H1</v>
      </c>
      <c r="K70" t="str">
        <f>E26</f>
        <v>Kroatien</v>
      </c>
    </row>
    <row r="71" spans="1:11">
      <c r="A71">
        <v>67</v>
      </c>
      <c r="B71" s="268">
        <f t="shared" si="2"/>
        <v>46200.708333333336</v>
      </c>
      <c r="C71" s="268">
        <v>46200.958333333336</v>
      </c>
      <c r="D71" t="s">
        <v>253</v>
      </c>
      <c r="E71" t="s">
        <v>70</v>
      </c>
      <c r="G71" t="s">
        <v>18</v>
      </c>
      <c r="H71" t="s">
        <v>13</v>
      </c>
      <c r="I71" t="s">
        <v>305</v>
      </c>
      <c r="J71" t="str">
        <f t="shared" si="3"/>
        <v>L4-L1</v>
      </c>
      <c r="K71" t="str">
        <f>D21</f>
        <v>Ghana</v>
      </c>
    </row>
    <row r="72" spans="1:11">
      <c r="A72">
        <v>68</v>
      </c>
      <c r="B72" s="268">
        <f t="shared" si="2"/>
        <v>46200.708333333336</v>
      </c>
      <c r="C72" s="268">
        <v>46200.958333333336</v>
      </c>
      <c r="D72" t="s">
        <v>188</v>
      </c>
      <c r="E72" t="s">
        <v>251</v>
      </c>
      <c r="G72" t="s">
        <v>368</v>
      </c>
      <c r="H72" t="s">
        <v>359</v>
      </c>
      <c r="I72" t="s">
        <v>322</v>
      </c>
      <c r="J72" t="str">
        <f t="shared" si="3"/>
        <v>L2-L3</v>
      </c>
      <c r="K72" t="str">
        <f>E21</f>
        <v>Panama</v>
      </c>
    </row>
    <row r="73" spans="1:11">
      <c r="A73">
        <v>69</v>
      </c>
      <c r="B73" s="268">
        <f t="shared" si="2"/>
        <v>46200.875</v>
      </c>
      <c r="C73" s="268">
        <v>46201.166666666664</v>
      </c>
      <c r="D73" t="s">
        <v>223</v>
      </c>
      <c r="E73" t="s">
        <v>187</v>
      </c>
      <c r="G73" t="s">
        <v>363</v>
      </c>
      <c r="H73" t="s">
        <v>360</v>
      </c>
      <c r="I73" t="s">
        <v>336</v>
      </c>
      <c r="J73" t="str">
        <f t="shared" si="3"/>
        <v>J2-J3</v>
      </c>
    </row>
    <row r="74" spans="1:11">
      <c r="A74">
        <v>70</v>
      </c>
      <c r="B74" s="268">
        <f t="shared" si="2"/>
        <v>46200.875</v>
      </c>
      <c r="C74" s="268">
        <v>46201.166666666664</v>
      </c>
      <c r="D74" t="s">
        <v>226</v>
      </c>
      <c r="E74" t="s">
        <v>221</v>
      </c>
      <c r="G74" t="s">
        <v>361</v>
      </c>
      <c r="H74" t="s">
        <v>362</v>
      </c>
      <c r="I74" t="s">
        <v>328</v>
      </c>
      <c r="J74" t="str">
        <f t="shared" si="3"/>
        <v>J4-J1</v>
      </c>
    </row>
    <row r="75" spans="1:11">
      <c r="A75">
        <v>71</v>
      </c>
      <c r="B75" s="268">
        <f t="shared" si="2"/>
        <v>46200.8125</v>
      </c>
      <c r="C75" s="268">
        <v>46201.0625</v>
      </c>
      <c r="D75" t="s">
        <v>240</v>
      </c>
      <c r="E75" t="s">
        <v>190</v>
      </c>
      <c r="G75" t="s">
        <v>367</v>
      </c>
      <c r="H75" t="s">
        <v>364</v>
      </c>
      <c r="I75" t="s">
        <v>310</v>
      </c>
      <c r="J75" t="str">
        <f t="shared" si="3"/>
        <v>K4-K1</v>
      </c>
    </row>
    <row r="76" spans="1:11">
      <c r="A76">
        <v>72</v>
      </c>
      <c r="B76" s="268">
        <f t="shared" si="2"/>
        <v>46200.8125</v>
      </c>
      <c r="C76" s="268">
        <v>46201.0625</v>
      </c>
      <c r="D76" t="s">
        <v>236</v>
      </c>
      <c r="E76" t="s">
        <v>238</v>
      </c>
      <c r="G76" t="s">
        <v>365</v>
      </c>
      <c r="H76" t="s">
        <v>366</v>
      </c>
      <c r="I76" t="s">
        <v>325</v>
      </c>
      <c r="J76" t="str">
        <f t="shared" si="3"/>
        <v>K2-K3</v>
      </c>
    </row>
    <row r="77" spans="1:11">
      <c r="B77" s="268"/>
      <c r="C77" s="268"/>
      <c r="F77" s="265" t="s">
        <v>260</v>
      </c>
    </row>
    <row r="78" spans="1:11">
      <c r="A78">
        <v>73</v>
      </c>
      <c r="B78" s="268">
        <f t="shared" si="2"/>
        <v>46201.5</v>
      </c>
      <c r="C78" s="268">
        <v>46201.875</v>
      </c>
      <c r="D78" t="s">
        <v>376</v>
      </c>
      <c r="E78" t="s">
        <v>376</v>
      </c>
      <c r="F78" t="s">
        <v>377</v>
      </c>
      <c r="G78" t="s">
        <v>29</v>
      </c>
      <c r="H78" t="s">
        <v>35</v>
      </c>
      <c r="I78" t="s">
        <v>317</v>
      </c>
      <c r="J78" t="str">
        <f>CONCATENATE(F78,":",G78,"-",H78)</f>
        <v>SF01:2A-2B</v>
      </c>
    </row>
    <row r="79" spans="1:11">
      <c r="A79">
        <v>74</v>
      </c>
      <c r="B79" s="268">
        <f t="shared" si="2"/>
        <v>46202.6875</v>
      </c>
      <c r="C79" s="268">
        <v>46202.9375</v>
      </c>
      <c r="D79" t="s">
        <v>376</v>
      </c>
      <c r="E79" t="s">
        <v>376</v>
      </c>
      <c r="F79" t="s">
        <v>378</v>
      </c>
      <c r="G79" t="s">
        <v>28</v>
      </c>
      <c r="H79" t="s">
        <v>379</v>
      </c>
      <c r="I79" t="s">
        <v>318</v>
      </c>
      <c r="J79" t="str">
        <f t="shared" ref="J79:J93" si="4">CONCATENATE(F79,":",G79,"-",H79)</f>
        <v>SF03:1E-3-ABCDF</v>
      </c>
    </row>
    <row r="80" spans="1:11">
      <c r="A80">
        <v>75</v>
      </c>
      <c r="B80" s="268">
        <f t="shared" si="2"/>
        <v>46202.833333333336</v>
      </c>
      <c r="C80" s="268">
        <v>46203.125</v>
      </c>
      <c r="D80" t="s">
        <v>376</v>
      </c>
      <c r="E80" t="s">
        <v>376</v>
      </c>
      <c r="F80" t="s">
        <v>380</v>
      </c>
      <c r="G80" t="s">
        <v>34</v>
      </c>
      <c r="H80" t="s">
        <v>39</v>
      </c>
      <c r="I80" t="s">
        <v>340</v>
      </c>
      <c r="J80" t="str">
        <f t="shared" si="4"/>
        <v>SF04:1F-2C</v>
      </c>
    </row>
    <row r="81" spans="1:12">
      <c r="A81">
        <v>76</v>
      </c>
      <c r="B81" s="268">
        <f t="shared" si="2"/>
        <v>46202.5</v>
      </c>
      <c r="C81" s="268">
        <v>46202.791666666664</v>
      </c>
      <c r="D81" t="s">
        <v>376</v>
      </c>
      <c r="E81" t="s">
        <v>376</v>
      </c>
      <c r="F81" t="s">
        <v>381</v>
      </c>
      <c r="G81" t="s">
        <v>38</v>
      </c>
      <c r="H81" t="s">
        <v>36</v>
      </c>
      <c r="I81" t="s">
        <v>333</v>
      </c>
      <c r="J81" t="str">
        <f t="shared" si="4"/>
        <v>SF02:1C-2F</v>
      </c>
    </row>
    <row r="82" spans="1:12">
      <c r="A82">
        <v>77</v>
      </c>
      <c r="B82" s="268">
        <f t="shared" si="2"/>
        <v>46203.708333333336</v>
      </c>
      <c r="C82" s="268">
        <v>46203.958333333336</v>
      </c>
      <c r="D82" t="s">
        <v>376</v>
      </c>
      <c r="E82" t="s">
        <v>376</v>
      </c>
      <c r="F82" t="s">
        <v>382</v>
      </c>
      <c r="G82" t="s">
        <v>254</v>
      </c>
      <c r="H82" t="s">
        <v>383</v>
      </c>
      <c r="I82" t="s">
        <v>305</v>
      </c>
      <c r="J82" t="str">
        <f t="shared" si="4"/>
        <v>SF06:1I-3-CDFGH</v>
      </c>
    </row>
    <row r="83" spans="1:12">
      <c r="A83">
        <v>78</v>
      </c>
      <c r="B83" s="268">
        <f t="shared" si="2"/>
        <v>46203.5</v>
      </c>
      <c r="C83" s="268">
        <v>46203.791666666664</v>
      </c>
      <c r="D83" t="s">
        <v>376</v>
      </c>
      <c r="E83" t="s">
        <v>376</v>
      </c>
      <c r="F83" t="s">
        <v>384</v>
      </c>
      <c r="G83" t="s">
        <v>30</v>
      </c>
      <c r="H83" t="s">
        <v>256</v>
      </c>
      <c r="I83" t="s">
        <v>328</v>
      </c>
      <c r="J83" t="str">
        <f t="shared" si="4"/>
        <v>SF05:2E-2I</v>
      </c>
    </row>
    <row r="84" spans="1:12">
      <c r="A84">
        <v>79</v>
      </c>
      <c r="B84" s="268">
        <f t="shared" si="2"/>
        <v>46203.833333333336</v>
      </c>
      <c r="C84" s="268">
        <v>46204.125</v>
      </c>
      <c r="D84" t="s">
        <v>376</v>
      </c>
      <c r="E84" t="s">
        <v>376</v>
      </c>
      <c r="F84" t="s">
        <v>385</v>
      </c>
      <c r="G84" t="s">
        <v>27</v>
      </c>
      <c r="H84" t="s">
        <v>386</v>
      </c>
      <c r="I84" t="s">
        <v>309</v>
      </c>
      <c r="J84" t="str">
        <f t="shared" si="4"/>
        <v>SF07:1A-3-CEFHI</v>
      </c>
    </row>
    <row r="85" spans="1:12">
      <c r="A85">
        <v>80</v>
      </c>
      <c r="B85" s="268">
        <f t="shared" si="2"/>
        <v>46204.5</v>
      </c>
      <c r="C85" s="268">
        <v>46204.75</v>
      </c>
      <c r="D85" t="s">
        <v>376</v>
      </c>
      <c r="E85" t="s">
        <v>376</v>
      </c>
      <c r="F85" t="s">
        <v>387</v>
      </c>
      <c r="G85" t="s">
        <v>255</v>
      </c>
      <c r="H85" t="s">
        <v>388</v>
      </c>
      <c r="I85" t="s">
        <v>325</v>
      </c>
      <c r="J85" t="str">
        <f t="shared" si="4"/>
        <v>SF08:1L-3-EHIJK</v>
      </c>
    </row>
    <row r="86" spans="1:12">
      <c r="A86">
        <v>81</v>
      </c>
      <c r="B86" s="268">
        <f t="shared" si="2"/>
        <v>46204.708333333336</v>
      </c>
      <c r="C86" s="268">
        <v>46205.083333333336</v>
      </c>
      <c r="D86" t="s">
        <v>376</v>
      </c>
      <c r="E86" t="s">
        <v>376</v>
      </c>
      <c r="F86" t="s">
        <v>389</v>
      </c>
      <c r="G86" t="s">
        <v>41</v>
      </c>
      <c r="H86" t="s">
        <v>390</v>
      </c>
      <c r="I86" t="s">
        <v>339</v>
      </c>
      <c r="J86" t="str">
        <f t="shared" si="4"/>
        <v>SF10:1D-3-BEFIJ</v>
      </c>
    </row>
    <row r="87" spans="1:12">
      <c r="A87">
        <v>82</v>
      </c>
      <c r="B87" s="268">
        <f t="shared" si="2"/>
        <v>46204.541666666664</v>
      </c>
      <c r="C87" s="268">
        <v>46204.916666666664</v>
      </c>
      <c r="D87" t="s">
        <v>376</v>
      </c>
      <c r="E87" t="s">
        <v>376</v>
      </c>
      <c r="F87" t="s">
        <v>391</v>
      </c>
      <c r="G87" t="s">
        <v>227</v>
      </c>
      <c r="H87" t="s">
        <v>392</v>
      </c>
      <c r="I87" t="s">
        <v>350</v>
      </c>
      <c r="J87" t="str">
        <f t="shared" si="4"/>
        <v>SF09:1G-3-AEHIJ</v>
      </c>
    </row>
    <row r="88" spans="1:12">
      <c r="A88">
        <v>83</v>
      </c>
      <c r="B88" s="268">
        <f t="shared" si="2"/>
        <v>46205.791666666664</v>
      </c>
      <c r="C88" s="268">
        <v>46206.041666666664</v>
      </c>
      <c r="D88" t="s">
        <v>376</v>
      </c>
      <c r="E88" t="s">
        <v>376</v>
      </c>
      <c r="F88" t="s">
        <v>393</v>
      </c>
      <c r="G88" t="s">
        <v>244</v>
      </c>
      <c r="H88" t="s">
        <v>257</v>
      </c>
      <c r="I88" t="s">
        <v>314</v>
      </c>
      <c r="J88" t="str">
        <f t="shared" si="4"/>
        <v>SF12:2K-2L</v>
      </c>
    </row>
    <row r="89" spans="1:12">
      <c r="A89">
        <v>84</v>
      </c>
      <c r="B89" s="268">
        <f t="shared" si="2"/>
        <v>46205.5</v>
      </c>
      <c r="C89" s="268">
        <v>46205.875</v>
      </c>
      <c r="D89" t="s">
        <v>376</v>
      </c>
      <c r="E89" t="s">
        <v>376</v>
      </c>
      <c r="F89" t="s">
        <v>394</v>
      </c>
      <c r="G89" t="s">
        <v>241</v>
      </c>
      <c r="H89" t="s">
        <v>230</v>
      </c>
      <c r="I89" t="s">
        <v>317</v>
      </c>
      <c r="J89" t="str">
        <f t="shared" si="4"/>
        <v>SF11:1H-2J</v>
      </c>
    </row>
    <row r="90" spans="1:12">
      <c r="A90">
        <v>85</v>
      </c>
      <c r="B90" s="268">
        <f t="shared" si="2"/>
        <v>46205.833333333336</v>
      </c>
      <c r="C90" s="268">
        <v>46206.208333333336</v>
      </c>
      <c r="D90" t="s">
        <v>376</v>
      </c>
      <c r="E90" t="s">
        <v>376</v>
      </c>
      <c r="F90" t="s">
        <v>395</v>
      </c>
      <c r="G90" t="s">
        <v>33</v>
      </c>
      <c r="H90" t="s">
        <v>396</v>
      </c>
      <c r="I90" t="s">
        <v>332</v>
      </c>
      <c r="J90" t="str">
        <f t="shared" si="4"/>
        <v>SF13:1B-3-EFGIJ</v>
      </c>
    </row>
    <row r="91" spans="1:12">
      <c r="A91">
        <v>86</v>
      </c>
      <c r="B91" s="268">
        <f t="shared" si="2"/>
        <v>46206.75</v>
      </c>
      <c r="C91" s="268">
        <v>46207</v>
      </c>
      <c r="D91" t="s">
        <v>376</v>
      </c>
      <c r="E91" t="s">
        <v>376</v>
      </c>
      <c r="F91" t="s">
        <v>397</v>
      </c>
      <c r="G91" t="s">
        <v>228</v>
      </c>
      <c r="H91" t="s">
        <v>243</v>
      </c>
      <c r="I91" t="s">
        <v>310</v>
      </c>
      <c r="J91" t="str">
        <f t="shared" si="4"/>
        <v>SF15:1J-2H</v>
      </c>
    </row>
    <row r="92" spans="1:12">
      <c r="A92">
        <v>87</v>
      </c>
      <c r="B92" s="268">
        <f t="shared" si="2"/>
        <v>46206.854166666672</v>
      </c>
      <c r="C92" s="268">
        <v>46207.145833333336</v>
      </c>
      <c r="D92" t="s">
        <v>376</v>
      </c>
      <c r="E92" t="s">
        <v>376</v>
      </c>
      <c r="F92" t="s">
        <v>398</v>
      </c>
      <c r="G92" t="s">
        <v>242</v>
      </c>
      <c r="H92" t="s">
        <v>399</v>
      </c>
      <c r="I92" t="s">
        <v>336</v>
      </c>
      <c r="J92" t="str">
        <f t="shared" si="4"/>
        <v>SF16:1K-3-DEIJL</v>
      </c>
    </row>
    <row r="93" spans="1:12">
      <c r="A93">
        <v>88</v>
      </c>
      <c r="B93" s="268">
        <f t="shared" si="2"/>
        <v>46206.541666666672</v>
      </c>
      <c r="C93" s="268">
        <v>46206.833333333336</v>
      </c>
      <c r="D93" t="s">
        <v>376</v>
      </c>
      <c r="E93" t="s">
        <v>376</v>
      </c>
      <c r="F93" t="s">
        <v>400</v>
      </c>
      <c r="G93" t="s">
        <v>42</v>
      </c>
      <c r="H93" t="s">
        <v>229</v>
      </c>
      <c r="I93" t="s">
        <v>328</v>
      </c>
      <c r="J93" t="str">
        <f t="shared" si="4"/>
        <v>SF14:2D-2G</v>
      </c>
    </row>
    <row r="94" spans="1:12">
      <c r="B94" s="268"/>
      <c r="C94" s="268"/>
      <c r="F94" s="265" t="s">
        <v>43</v>
      </c>
    </row>
    <row r="95" spans="1:12">
      <c r="A95">
        <v>89</v>
      </c>
      <c r="B95" s="268">
        <f t="shared" si="2"/>
        <v>46207.708333333336</v>
      </c>
      <c r="C95" s="268">
        <v>46207.958333333336</v>
      </c>
      <c r="D95" t="s">
        <v>376</v>
      </c>
      <c r="E95" t="s">
        <v>376</v>
      </c>
      <c r="F95" t="s">
        <v>401</v>
      </c>
      <c r="G95" t="s">
        <v>402</v>
      </c>
      <c r="H95" t="s">
        <v>403</v>
      </c>
      <c r="I95" t="s">
        <v>322</v>
      </c>
      <c r="J95" t="str">
        <f>CONCATENATE(F95,":",K95,":",L95,":",G95,"-",H95)</f>
        <v>AF01:SF03:SF06:W74-W77</v>
      </c>
      <c r="K95" t="str">
        <f t="shared" ref="K95:L102" si="5">VLOOKUP(VALUE(MID(G95,2,2)),$A$1:$H$200,6,FALSE)</f>
        <v>SF03</v>
      </c>
      <c r="L95" t="str">
        <f t="shared" si="5"/>
        <v>SF06</v>
      </c>
    </row>
    <row r="96" spans="1:12">
      <c r="A96">
        <v>90</v>
      </c>
      <c r="B96" s="268">
        <f t="shared" si="2"/>
        <v>46207.5</v>
      </c>
      <c r="C96" s="268">
        <v>46207.791666666664</v>
      </c>
      <c r="D96" t="s">
        <v>376</v>
      </c>
      <c r="E96" t="s">
        <v>376</v>
      </c>
      <c r="F96" t="s">
        <v>404</v>
      </c>
      <c r="G96" t="s">
        <v>405</v>
      </c>
      <c r="H96" t="s">
        <v>406</v>
      </c>
      <c r="I96" t="s">
        <v>333</v>
      </c>
      <c r="J96" t="str">
        <f t="shared" ref="J96:J102" si="6">CONCATENATE(F96,":",K96,":",L96,":",G96,"-",H96)</f>
        <v>AF02:SF01:SF04:W73-W75</v>
      </c>
      <c r="K96" t="str">
        <f t="shared" si="5"/>
        <v>SF01</v>
      </c>
      <c r="L96" t="str">
        <f t="shared" si="5"/>
        <v>SF04</v>
      </c>
    </row>
    <row r="97" spans="1:12">
      <c r="A97">
        <v>91</v>
      </c>
      <c r="B97" s="268">
        <f t="shared" si="2"/>
        <v>46208.666666666664</v>
      </c>
      <c r="C97" s="268">
        <v>46208.916666666664</v>
      </c>
      <c r="D97" t="s">
        <v>376</v>
      </c>
      <c r="E97" t="s">
        <v>376</v>
      </c>
      <c r="F97" t="s">
        <v>407</v>
      </c>
      <c r="G97" t="s">
        <v>408</v>
      </c>
      <c r="H97" t="s">
        <v>409</v>
      </c>
      <c r="I97" t="s">
        <v>305</v>
      </c>
      <c r="J97" t="str">
        <f t="shared" si="6"/>
        <v>AF03:SF02:SF05:W76-W78</v>
      </c>
      <c r="K97" t="str">
        <f t="shared" si="5"/>
        <v>SF02</v>
      </c>
      <c r="L97" t="str">
        <f t="shared" si="5"/>
        <v>SF05</v>
      </c>
    </row>
    <row r="98" spans="1:12">
      <c r="A98">
        <v>92</v>
      </c>
      <c r="B98" s="268">
        <f t="shared" si="2"/>
        <v>46208.791666666672</v>
      </c>
      <c r="C98" s="268">
        <v>46209.083333333336</v>
      </c>
      <c r="D98" t="s">
        <v>376</v>
      </c>
      <c r="E98" t="s">
        <v>376</v>
      </c>
      <c r="F98" t="s">
        <v>410</v>
      </c>
      <c r="G98" t="s">
        <v>411</v>
      </c>
      <c r="H98" t="s">
        <v>412</v>
      </c>
      <c r="I98" t="s">
        <v>309</v>
      </c>
      <c r="J98" t="str">
        <f t="shared" si="6"/>
        <v>AF04:SF07:SF08:W79-W80</v>
      </c>
      <c r="K98" t="str">
        <f t="shared" si="5"/>
        <v>SF07</v>
      </c>
      <c r="L98" t="str">
        <f t="shared" si="5"/>
        <v>SF08</v>
      </c>
    </row>
    <row r="99" spans="1:12">
      <c r="A99">
        <v>93</v>
      </c>
      <c r="B99" s="268">
        <f t="shared" si="2"/>
        <v>46209.583333333336</v>
      </c>
      <c r="C99" s="268">
        <v>46209.875</v>
      </c>
      <c r="D99" t="s">
        <v>376</v>
      </c>
      <c r="E99" t="s">
        <v>376</v>
      </c>
      <c r="F99" t="s">
        <v>413</v>
      </c>
      <c r="G99" t="s">
        <v>414</v>
      </c>
      <c r="H99" t="s">
        <v>415</v>
      </c>
      <c r="I99" t="s">
        <v>328</v>
      </c>
      <c r="J99" t="str">
        <f t="shared" si="6"/>
        <v>AF05:SF12:SF11:W83-W84</v>
      </c>
      <c r="K99" t="str">
        <f t="shared" si="5"/>
        <v>SF12</v>
      </c>
      <c r="L99" t="str">
        <f t="shared" si="5"/>
        <v>SF11</v>
      </c>
    </row>
    <row r="100" spans="1:12">
      <c r="A100">
        <v>94</v>
      </c>
      <c r="B100" s="268">
        <f t="shared" si="2"/>
        <v>46209.708333333336</v>
      </c>
      <c r="C100" s="268">
        <v>46210.083333333336</v>
      </c>
      <c r="D100" t="s">
        <v>376</v>
      </c>
      <c r="E100" t="s">
        <v>376</v>
      </c>
      <c r="F100" t="s">
        <v>416</v>
      </c>
      <c r="G100" t="s">
        <v>417</v>
      </c>
      <c r="H100" t="s">
        <v>418</v>
      </c>
      <c r="I100" t="s">
        <v>350</v>
      </c>
      <c r="J100" t="str">
        <f t="shared" si="6"/>
        <v>AF06:SF10:SF09:W81-W82</v>
      </c>
      <c r="K100" t="str">
        <f t="shared" si="5"/>
        <v>SF10</v>
      </c>
      <c r="L100" t="str">
        <f t="shared" si="5"/>
        <v>SF09</v>
      </c>
    </row>
    <row r="101" spans="1:12">
      <c r="A101">
        <v>95</v>
      </c>
      <c r="B101" s="268">
        <f t="shared" si="2"/>
        <v>46210.5</v>
      </c>
      <c r="C101" s="268">
        <v>46210.75</v>
      </c>
      <c r="D101" t="s">
        <v>376</v>
      </c>
      <c r="E101" t="s">
        <v>376</v>
      </c>
      <c r="F101" t="s">
        <v>419</v>
      </c>
      <c r="G101" t="s">
        <v>420</v>
      </c>
      <c r="H101" t="s">
        <v>421</v>
      </c>
      <c r="I101" t="s">
        <v>325</v>
      </c>
      <c r="J101" t="str">
        <f t="shared" si="6"/>
        <v>AF07:SF15:SF14:W86-W88</v>
      </c>
      <c r="K101" t="str">
        <f t="shared" si="5"/>
        <v>SF15</v>
      </c>
      <c r="L101" t="str">
        <f t="shared" si="5"/>
        <v>SF14</v>
      </c>
    </row>
    <row r="102" spans="1:12">
      <c r="A102">
        <v>96</v>
      </c>
      <c r="B102" s="268">
        <f t="shared" si="2"/>
        <v>46210.541666666664</v>
      </c>
      <c r="C102" s="268">
        <v>46210.916666666664</v>
      </c>
      <c r="D102" t="s">
        <v>376</v>
      </c>
      <c r="E102" t="s">
        <v>376</v>
      </c>
      <c r="F102" t="s">
        <v>422</v>
      </c>
      <c r="G102" t="s">
        <v>423</v>
      </c>
      <c r="H102" t="s">
        <v>424</v>
      </c>
      <c r="I102" t="s">
        <v>332</v>
      </c>
      <c r="J102" t="str">
        <f t="shared" si="6"/>
        <v>AF08:SF13:SF16:W85-W87</v>
      </c>
      <c r="K102" t="str">
        <f t="shared" si="5"/>
        <v>SF13</v>
      </c>
      <c r="L102" t="str">
        <f t="shared" si="5"/>
        <v>SF16</v>
      </c>
    </row>
    <row r="103" spans="1:12">
      <c r="B103" s="268"/>
      <c r="C103" s="268"/>
      <c r="F103" s="265" t="s">
        <v>44</v>
      </c>
    </row>
    <row r="104" spans="1:12">
      <c r="A104">
        <v>97</v>
      </c>
      <c r="B104" s="268">
        <f t="shared" si="2"/>
        <v>46212.666666666664</v>
      </c>
      <c r="C104" s="268">
        <v>46212.916666666664</v>
      </c>
      <c r="D104" t="s">
        <v>376</v>
      </c>
      <c r="E104" t="s">
        <v>376</v>
      </c>
      <c r="F104" t="s">
        <v>425</v>
      </c>
      <c r="G104" t="s">
        <v>426</v>
      </c>
      <c r="H104" t="s">
        <v>427</v>
      </c>
      <c r="I104" t="s">
        <v>318</v>
      </c>
      <c r="J104" t="str">
        <f>CONCATENATE(F104,":",K104,":",L104,":",G104,"-",H104)</f>
        <v>VF01:AF01:AF02:W89-W90</v>
      </c>
      <c r="K104" t="str">
        <f t="shared" ref="K104:L107" si="7">VLOOKUP(VALUE(MID(G104,2,2)),$A$1:$H$200,6,FALSE)</f>
        <v>AF01</v>
      </c>
      <c r="L104" t="str">
        <f t="shared" si="7"/>
        <v>AF02</v>
      </c>
    </row>
    <row r="105" spans="1:12">
      <c r="A105">
        <v>98</v>
      </c>
      <c r="B105" s="268">
        <f t="shared" si="2"/>
        <v>46213.5</v>
      </c>
      <c r="C105" s="268">
        <v>46213.875</v>
      </c>
      <c r="D105" t="s">
        <v>376</v>
      </c>
      <c r="E105" t="s">
        <v>376</v>
      </c>
      <c r="F105" t="s">
        <v>428</v>
      </c>
      <c r="G105" t="s">
        <v>429</v>
      </c>
      <c r="H105" t="s">
        <v>430</v>
      </c>
      <c r="I105" t="s">
        <v>317</v>
      </c>
      <c r="J105" t="str">
        <f>CONCATENATE(F105,":",K105,":",L105,":",G105,"-",H105)</f>
        <v>VF02:AF05:AF06:W93-W94</v>
      </c>
      <c r="K105" t="str">
        <f t="shared" si="7"/>
        <v>AF05</v>
      </c>
      <c r="L105" t="str">
        <f t="shared" si="7"/>
        <v>AF06</v>
      </c>
    </row>
    <row r="106" spans="1:12">
      <c r="A106">
        <v>99</v>
      </c>
      <c r="B106" s="268">
        <f t="shared" si="2"/>
        <v>46214.708333333336</v>
      </c>
      <c r="C106" s="268">
        <v>46214.958333333336</v>
      </c>
      <c r="D106" t="s">
        <v>376</v>
      </c>
      <c r="E106" t="s">
        <v>376</v>
      </c>
      <c r="F106" t="s">
        <v>431</v>
      </c>
      <c r="G106" t="s">
        <v>432</v>
      </c>
      <c r="H106" t="s">
        <v>433</v>
      </c>
      <c r="I106" t="s">
        <v>310</v>
      </c>
      <c r="J106" t="str">
        <f>CONCATENATE(F106,":",K106,":",L106,":",G106,"-",H106)</f>
        <v>VF03:AF03:AF04:W91-W92</v>
      </c>
      <c r="K106" t="str">
        <f t="shared" si="7"/>
        <v>AF03</v>
      </c>
      <c r="L106" t="str">
        <f t="shared" si="7"/>
        <v>AF04</v>
      </c>
    </row>
    <row r="107" spans="1:12">
      <c r="A107">
        <v>100</v>
      </c>
      <c r="B107" s="268">
        <f t="shared" si="2"/>
        <v>46214.833333333336</v>
      </c>
      <c r="C107" s="268">
        <v>46215.125</v>
      </c>
      <c r="D107" t="s">
        <v>376</v>
      </c>
      <c r="E107" t="s">
        <v>376</v>
      </c>
      <c r="F107" t="s">
        <v>434</v>
      </c>
      <c r="G107" t="s">
        <v>435</v>
      </c>
      <c r="H107" t="s">
        <v>436</v>
      </c>
      <c r="I107" t="s">
        <v>336</v>
      </c>
      <c r="J107" t="str">
        <f>CONCATENATE(F107,":",K107,":",L107,":",G107,"-",H107)</f>
        <v>VF04:AF07:AF08:W95-W96</v>
      </c>
      <c r="K107" t="str">
        <f t="shared" si="7"/>
        <v>AF07</v>
      </c>
      <c r="L107" t="str">
        <f t="shared" si="7"/>
        <v>AF08</v>
      </c>
    </row>
    <row r="108" spans="1:12">
      <c r="B108" s="268"/>
      <c r="C108" s="268"/>
      <c r="F108" s="265" t="s">
        <v>55</v>
      </c>
    </row>
    <row r="109" spans="1:12">
      <c r="A109">
        <v>101</v>
      </c>
      <c r="B109" s="268">
        <f t="shared" si="2"/>
        <v>46217.583333333336</v>
      </c>
      <c r="C109" s="268">
        <v>46217.875</v>
      </c>
      <c r="D109" t="s">
        <v>376</v>
      </c>
      <c r="E109" t="s">
        <v>376</v>
      </c>
      <c r="F109" t="s">
        <v>437</v>
      </c>
      <c r="G109" t="s">
        <v>438</v>
      </c>
      <c r="H109" t="s">
        <v>439</v>
      </c>
      <c r="I109" t="s">
        <v>328</v>
      </c>
      <c r="J109" t="str">
        <f t="shared" ref="J109:J114" si="8">CONCATENATE(F109,":",K109,":",L109,":",G109,"-",H109)</f>
        <v>HF01:VF01:VF02:W97-W98</v>
      </c>
      <c r="K109" t="str">
        <f>VLOOKUP(VALUE(MID(G109,2,2)),$A$1:$H$200,6,FALSE)</f>
        <v>VF01</v>
      </c>
      <c r="L109" t="str">
        <f>VLOOKUP(VALUE(MID(H109,2,2)),$A$1:$H$200,6,FALSE)</f>
        <v>VF02</v>
      </c>
    </row>
    <row r="110" spans="1:12">
      <c r="A110">
        <v>102</v>
      </c>
      <c r="B110" s="268">
        <f t="shared" si="2"/>
        <v>46218.625</v>
      </c>
      <c r="C110" s="268">
        <v>46218.875</v>
      </c>
      <c r="D110" t="s">
        <v>376</v>
      </c>
      <c r="E110" t="s">
        <v>376</v>
      </c>
      <c r="F110" t="s">
        <v>440</v>
      </c>
      <c r="G110" t="s">
        <v>441</v>
      </c>
      <c r="H110" t="s">
        <v>442</v>
      </c>
      <c r="I110" t="s">
        <v>325</v>
      </c>
      <c r="J110" t="str">
        <f t="shared" si="8"/>
        <v>HF02:VF03:VF04:W99-W100</v>
      </c>
      <c r="K110" t="str">
        <f>VLOOKUP(VALUE(MID(G110,2,2)),$A$1:$H$200,6,FALSE)</f>
        <v>VF03</v>
      </c>
      <c r="L110" t="str">
        <f>VLOOKUP(VALUE(MID(H110,2,3)),$A$1:$H$200,6,FALSE)</f>
        <v>VF04</v>
      </c>
    </row>
    <row r="111" spans="1:12">
      <c r="B111" s="268"/>
      <c r="C111" s="268"/>
      <c r="F111" s="265" t="s">
        <v>443</v>
      </c>
    </row>
    <row r="112" spans="1:12">
      <c r="A112">
        <v>103</v>
      </c>
      <c r="B112" s="268">
        <f t="shared" si="2"/>
        <v>46221.708333333336</v>
      </c>
      <c r="C112" s="268">
        <v>46221.958333333336</v>
      </c>
      <c r="D112" t="s">
        <v>376</v>
      </c>
      <c r="E112" t="s">
        <v>376</v>
      </c>
      <c r="F112" t="s">
        <v>444</v>
      </c>
      <c r="G112" t="s">
        <v>445</v>
      </c>
      <c r="H112" t="s">
        <v>446</v>
      </c>
      <c r="I112" t="s">
        <v>310</v>
      </c>
      <c r="J112" t="str">
        <f t="shared" si="8"/>
        <v>PL03:HF01:HF02:V101-V102</v>
      </c>
      <c r="K112" t="str">
        <f>VLOOKUP(VALUE(MID(G112,2,3)),$A$1:$H$200,6,FALSE)</f>
        <v>HF01</v>
      </c>
      <c r="L112" t="str">
        <f>VLOOKUP(VALUE(MID(H112,2,3)),$A$1:$H$200,6,FALSE)</f>
        <v>HF02</v>
      </c>
    </row>
    <row r="113" spans="1:12">
      <c r="B113" s="268"/>
      <c r="C113" s="268"/>
      <c r="F113" s="265" t="s">
        <v>62</v>
      </c>
    </row>
    <row r="114" spans="1:12">
      <c r="A114">
        <v>104</v>
      </c>
      <c r="B114" s="268">
        <f t="shared" si="2"/>
        <v>46222.625</v>
      </c>
      <c r="C114" s="268">
        <v>46222.875</v>
      </c>
      <c r="D114" t="s">
        <v>376</v>
      </c>
      <c r="E114" t="s">
        <v>376</v>
      </c>
      <c r="F114" t="s">
        <v>447</v>
      </c>
      <c r="G114" t="s">
        <v>448</v>
      </c>
      <c r="H114" t="s">
        <v>449</v>
      </c>
      <c r="I114" t="s">
        <v>305</v>
      </c>
      <c r="J114" t="str">
        <f t="shared" si="8"/>
        <v>FINALE:HF01:HF02:W101-W102</v>
      </c>
      <c r="K114" t="str">
        <f>VLOOKUP(VALUE(MID(G114,2,3)),$A$1:$H$200,6,FALSE)</f>
        <v>HF01</v>
      </c>
      <c r="L114" t="str">
        <f>VLOOKUP(VALUE(MID(H114,2,3)),$A$1:$H$200,6,FALSE)</f>
        <v>HF02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BD76"/>
  <sheetViews>
    <sheetView workbookViewId="0">
      <pane xSplit="10" ySplit="1" topLeftCell="W2" activePane="bottomRight" state="frozen"/>
      <selection pane="topRight" activeCell="K1" sqref="K1"/>
      <selection pane="bottomLeft" activeCell="A2" sqref="A2"/>
      <selection pane="bottomRight" activeCell="A34" sqref="A34"/>
    </sheetView>
  </sheetViews>
  <sheetFormatPr baseColWidth="10" defaultColWidth="9.42578125" defaultRowHeight="15"/>
  <cols>
    <col min="1" max="1" width="5.7109375" style="10" customWidth="1"/>
    <col min="2" max="2" width="25.7109375" style="59" customWidth="1"/>
    <col min="3" max="3" width="8.42578125" style="55" customWidth="1"/>
    <col min="4" max="4" width="10.28515625" style="93" customWidth="1"/>
    <col min="5" max="5" width="8.85546875" style="2" customWidth="1"/>
    <col min="6" max="6" width="10.28515625" style="94" customWidth="1"/>
    <col min="7" max="7" width="8" style="2" customWidth="1"/>
    <col min="8" max="8" width="9.7109375" style="96" customWidth="1"/>
    <col min="9" max="9" width="9.85546875" style="96" customWidth="1"/>
    <col min="10" max="10" width="10.7109375" style="97" customWidth="1"/>
    <col min="11" max="11" width="15" style="97" customWidth="1"/>
    <col min="12" max="16" width="15" style="96" customWidth="1"/>
    <col min="17" max="17" width="2.7109375" style="160" customWidth="1"/>
    <col min="18" max="21" width="5.7109375" style="2" customWidth="1"/>
    <col min="22" max="22" width="5.28515625" style="136" customWidth="1"/>
    <col min="23" max="23" width="18" style="58" customWidth="1"/>
    <col min="24" max="24" width="6.85546875" style="58" customWidth="1"/>
    <col min="25" max="25" width="8.140625" style="93" customWidth="1"/>
    <col min="26" max="26" width="7.85546875" style="58" customWidth="1"/>
    <col min="27" max="27" width="8.140625" style="93" customWidth="1"/>
    <col min="28" max="28" width="7.5703125" style="58" customWidth="1"/>
    <col min="29" max="29" width="6.85546875" style="93" customWidth="1"/>
    <col min="30" max="30" width="7.28515625" style="93" customWidth="1"/>
    <col min="31" max="31" width="8.140625" style="93" customWidth="1"/>
    <col min="32" max="32" width="11.85546875" style="93" customWidth="1"/>
    <col min="33" max="37" width="11.28515625" style="93" customWidth="1"/>
    <col min="38" max="38" width="2.7109375" style="103" customWidth="1"/>
    <col min="39" max="39" width="8.28515625" style="2" customWidth="1"/>
    <col min="40" max="40" width="5.28515625" style="2" customWidth="1"/>
    <col min="41" max="41" width="8.85546875" style="88" customWidth="1"/>
    <col min="42" max="42" width="7.140625" style="2" customWidth="1"/>
    <col min="43" max="43" width="8.28515625" style="88" customWidth="1"/>
    <col min="44" max="44" width="9" style="88" customWidth="1"/>
    <col min="45" max="45" width="8.42578125" style="90" customWidth="1"/>
    <col min="46" max="46" width="9.28515625" style="90" customWidth="1"/>
    <col min="47" max="47" width="8.42578125" style="91" customWidth="1"/>
    <col min="48" max="48" width="9" style="90" customWidth="1"/>
    <col min="49" max="49" width="8.85546875" style="90" customWidth="1"/>
    <col min="50" max="54" width="9.42578125" style="2" customWidth="1"/>
    <col min="55" max="16384" width="9.42578125" style="2"/>
  </cols>
  <sheetData>
    <row r="1" spans="1:54" s="83" customFormat="1" ht="36" customHeight="1">
      <c r="A1" s="139" t="s">
        <v>87</v>
      </c>
      <c r="B1" s="109" t="s">
        <v>88</v>
      </c>
      <c r="C1" s="117" t="s">
        <v>19</v>
      </c>
      <c r="D1" s="118" t="s">
        <v>89</v>
      </c>
      <c r="E1" s="119" t="s">
        <v>90</v>
      </c>
      <c r="F1" s="120" t="s">
        <v>116</v>
      </c>
      <c r="G1" s="121" t="s">
        <v>92</v>
      </c>
      <c r="H1" s="122" t="s">
        <v>93</v>
      </c>
      <c r="I1" s="120" t="s">
        <v>94</v>
      </c>
      <c r="J1" s="123" t="s">
        <v>91</v>
      </c>
      <c r="K1" s="124" t="s">
        <v>95</v>
      </c>
      <c r="L1" s="125" t="s">
        <v>96</v>
      </c>
      <c r="M1" s="162" t="s">
        <v>121</v>
      </c>
      <c r="N1" s="162"/>
      <c r="O1" s="162" t="s">
        <v>120</v>
      </c>
      <c r="P1" s="125"/>
      <c r="Q1" s="126"/>
      <c r="R1" s="140" t="s">
        <v>4</v>
      </c>
      <c r="S1" s="140" t="s">
        <v>118</v>
      </c>
      <c r="T1" s="140" t="s">
        <v>8</v>
      </c>
      <c r="U1" s="141" t="s">
        <v>119</v>
      </c>
      <c r="V1" s="142" t="s">
        <v>87</v>
      </c>
      <c r="W1" s="143" t="s">
        <v>88</v>
      </c>
      <c r="X1" s="144" t="s">
        <v>19</v>
      </c>
      <c r="Y1" s="145" t="s">
        <v>89</v>
      </c>
      <c r="Z1" s="144" t="s">
        <v>90</v>
      </c>
      <c r="AA1" s="145" t="s">
        <v>116</v>
      </c>
      <c r="AB1" s="146" t="s">
        <v>92</v>
      </c>
      <c r="AC1" s="147" t="s">
        <v>93</v>
      </c>
      <c r="AD1" s="145" t="s">
        <v>94</v>
      </c>
      <c r="AE1" s="147" t="s">
        <v>91</v>
      </c>
      <c r="AF1" s="147" t="s">
        <v>95</v>
      </c>
      <c r="AG1" s="147" t="s">
        <v>96</v>
      </c>
      <c r="AH1" s="147" t="s">
        <v>121</v>
      </c>
      <c r="AI1" s="147"/>
      <c r="AJ1" s="147" t="s">
        <v>120</v>
      </c>
      <c r="AK1" s="147"/>
      <c r="AL1" s="148"/>
      <c r="AM1" s="83" t="s">
        <v>97</v>
      </c>
      <c r="AN1" s="83" t="s">
        <v>98</v>
      </c>
      <c r="AO1" s="84" t="s">
        <v>99</v>
      </c>
      <c r="AP1" s="83" t="s">
        <v>100</v>
      </c>
      <c r="AQ1" s="84" t="s">
        <v>101</v>
      </c>
      <c r="AR1" s="84" t="s">
        <v>102</v>
      </c>
      <c r="AS1" s="85" t="s">
        <v>103</v>
      </c>
      <c r="AT1" s="85" t="s">
        <v>104</v>
      </c>
      <c r="AU1" s="86" t="s">
        <v>105</v>
      </c>
      <c r="AV1" s="85" t="s">
        <v>106</v>
      </c>
      <c r="AW1" s="85" t="s">
        <v>107</v>
      </c>
      <c r="AY1" s="278">
        <f>SUM(AY2:AY7)</f>
        <v>1</v>
      </c>
      <c r="AZ1" s="2"/>
      <c r="BA1" s="2"/>
      <c r="BB1" s="2"/>
    </row>
    <row r="2" spans="1:54" ht="15.75">
      <c r="A2" s="149">
        <f t="shared" ref="A2:A33" ca="1" si="0">VLOOKUP(R2,$S$2:$AK$33,4,FALSE)</f>
        <v>1</v>
      </c>
      <c r="B2" s="56" t="str">
        <f t="shared" ref="B2:B33" ca="1" si="1">VLOOKUP(R2,$S$2:$AK$33,5,FALSE)</f>
        <v>Fest</v>
      </c>
      <c r="C2" s="111">
        <f t="shared" ref="C2:C33" ca="1" si="2">VLOOKUP(R2,$S$2:$AK$33,6,FALSE)</f>
        <v>305</v>
      </c>
      <c r="D2" s="101" t="str">
        <f t="shared" ref="D2:D33" ca="1" si="3">IF(VLOOKUP(R2,$S$2:$AK$33,7,FALSE)="","",VLOOKUP(R2,$S$2:$AK$33,7,FALSE))</f>
        <v/>
      </c>
      <c r="E2" s="87" t="str">
        <f t="shared" ref="E2:E33" ca="1" si="4">IF(VLOOKUP(R2,$S$2:$AK$33,8,FALSE)="","",VLOOKUP(R2,$S$2:$AK$33,8,FALSE))</f>
        <v/>
      </c>
      <c r="F2" s="112" t="str">
        <f t="shared" ref="F2:F33" ca="1" si="5">IF(VLOOKUP(R2,$S$2:$AK$33,9,FALSE)="","",VLOOKUP(R2,$S$2:$AK$33,9,FALSE))</f>
        <v/>
      </c>
      <c r="G2" s="113" t="str">
        <f t="shared" ref="G2:G33" ca="1" si="6">IF(VLOOKUP(R2,$S$2:$AK$33,10,FALSE)="","",VLOOKUP(R2,$S$2:$AK$33,10,FALSE))</f>
        <v/>
      </c>
      <c r="H2" s="101" t="str">
        <f t="shared" ref="H2:H33" ca="1" si="7">IF(VLOOKUP(R2,$S$2:$AK$33,11,FALSE)="","",VLOOKUP(R2,$S$2:$AK$33,11,FALSE))</f>
        <v/>
      </c>
      <c r="I2" s="101" t="str">
        <f t="shared" ref="I2:I33" ca="1" si="8">IF(VLOOKUP(R2,$S$2:$AK$33,12,FALSE)="","",VLOOKUP(R2,$S$2:$AK$33,12,FALSE))</f>
        <v/>
      </c>
      <c r="J2" s="114" t="str">
        <f t="shared" ref="J2:J33" ca="1" si="9">IF(VLOOKUP(R2,$S$2:$AK$33,13,FALSE)="","",VLOOKUP(R2,$S$2:$AK$33,13,FALSE))</f>
        <v/>
      </c>
      <c r="K2" s="115" t="str">
        <f t="shared" ref="K2:K33" ca="1" si="10">IF(VLOOKUP(R2,$S$2:$AK$33,14,FALSE)="","",VLOOKUP(R2,$S$2:$AK$33,14,FALSE))</f>
        <v>Ecuador</v>
      </c>
      <c r="L2" s="116" t="str">
        <f t="shared" ref="L2:L33" ca="1" si="11">IF(VLOOKUP(R2,$S$2:$AK$33,15,FALSE)="","",VLOOKUP(R2,$S$2:$AK$33,15,FALSE))</f>
        <v>Schottland</v>
      </c>
      <c r="M2" s="53" t="str">
        <f t="shared" ref="M2:M33" ca="1" si="12">IF(VLOOKUP(R2,$S$2:$AK$33,16,FALSE)="","",VLOOKUP(R2,$S$2:$AK$33,16,FALSE))</f>
        <v>Ecuador</v>
      </c>
      <c r="N2" s="53" t="str">
        <f t="shared" ref="N2:N33" ca="1" si="13">IF(VLOOKUP(R2,$S$2:$AK$33,17,FALSE)="","",VLOOKUP(R2,$S$2:$AK$33,17,FALSE))</f>
        <v>Portugal</v>
      </c>
      <c r="O2" s="53" t="str">
        <f t="shared" ref="O2:O33" ca="1" si="14">IF(VLOOKUP(R2,$S$2:$AK$33,18,FALSE)="","",VLOOKUP(R2,$S$2:$AK$33,18,FALSE))</f>
        <v>Schottland</v>
      </c>
      <c r="P2" s="53" t="str">
        <f t="shared" ref="P2:P33" ca="1" si="15">IF(VLOOKUP(R2,$S$2:$AK$33,19,FALSE)="","",VLOOKUP(R2,$S$2:$AK$33,19,FALSE))</f>
        <v>Jordanien</v>
      </c>
      <c r="Q2" s="126"/>
      <c r="R2" s="150">
        <v>1</v>
      </c>
      <c r="S2" s="150">
        <f t="shared" ref="S2:S27" ca="1" si="16">RANK(T2,T$2:T$33)</f>
        <v>32</v>
      </c>
      <c r="T2" s="150">
        <f ca="1">(100-V2)*100+U2</f>
        <v>6840</v>
      </c>
      <c r="U2" s="9">
        <v>40</v>
      </c>
      <c r="V2" s="151">
        <f t="shared" ref="V2:V33" ca="1" si="17">RANK(X2,X$2:X$33)</f>
        <v>32</v>
      </c>
      <c r="W2" s="277" t="s">
        <v>108</v>
      </c>
      <c r="X2" s="54">
        <f ca="1">IF(AL2="",Bernd!$AX$98,INT(RAND()*1000))</f>
        <v>255</v>
      </c>
      <c r="Y2" s="101">
        <v>10</v>
      </c>
      <c r="Z2" s="54">
        <f t="shared" ref="Z2:Z32" ca="1" si="18">IF(AB2&lt;&gt;"",RANK(AB2,AB$2:AB$32),"")</f>
        <v>29</v>
      </c>
      <c r="AA2" s="101" t="str">
        <f t="shared" ref="AA2:AA32" ca="1" si="19">IF(ISERROR(VLOOKUP(Z2,AN$2:AW$33,10,FALSE)),"",VLOOKUP(Z2,AN$2:AW$33,10,FALSE))</f>
        <v/>
      </c>
      <c r="AB2" s="54">
        <f ca="1">IF(Y2="","",X2)</f>
        <v>255</v>
      </c>
      <c r="AC2" s="101" t="str">
        <f t="shared" ref="AC2:AC3" ca="1" si="20">IF(AA2="","",IF(ISERROR(VLOOKUP(Y2,$AC$39:$AD$40,2,FALSE)),"",(1-VLOOKUP(Y2,$AC$39:$AD$40,2,FALSE))*AA2))</f>
        <v/>
      </c>
      <c r="AD2" s="101" t="str">
        <f t="shared" ref="AD2:AD32" ca="1" si="21">IF(AA2="","",$AC$35/$AU$33)</f>
        <v/>
      </c>
      <c r="AE2" s="101" t="str">
        <f ca="1">IF(AA2="","",AA2-AC2+AD2)</f>
        <v/>
      </c>
      <c r="AF2" s="54" t="str">
        <f>IF(Bernd!H$94&gt;Bernd!J$94,Bernd!D$94,Bernd!F$94)</f>
        <v>Spanien</v>
      </c>
      <c r="AG2" s="54" t="str">
        <f>IF(Bernd!H$94&gt;Bernd!J$94,Bernd!F$94,Bernd!D$94)</f>
        <v>Argentinien</v>
      </c>
      <c r="AH2" s="54" t="str">
        <f>Bernd!BD$89</f>
        <v>Deutschland</v>
      </c>
      <c r="AI2" s="54" t="str">
        <f>Bernd!BF$89</f>
        <v>Spanien</v>
      </c>
      <c r="AJ2" s="54" t="str">
        <f>Bernd!BD$90</f>
        <v>Frankreich</v>
      </c>
      <c r="AK2" s="54" t="str">
        <f>Bernd!BF$90</f>
        <v>Argentinien</v>
      </c>
      <c r="AL2" s="148"/>
      <c r="AM2" s="88">
        <v>1</v>
      </c>
      <c r="AN2" s="10">
        <v>1</v>
      </c>
      <c r="AO2" s="89">
        <v>0.25</v>
      </c>
      <c r="AP2" s="2">
        <f t="shared" ref="AP2:AP32" ca="1" si="22">COUNTIF(Z$2:Z$32,AN2)</f>
        <v>28</v>
      </c>
      <c r="AQ2" s="88">
        <f t="shared" ref="AQ2:AQ8" ca="1" si="23">IF(AP2*AO2&lt;=AM2,AO2,AM2/AP2)</f>
        <v>3.5714285714285712E-2</v>
      </c>
      <c r="AR2" s="88">
        <f t="shared" ref="AR2:AR8" ca="1" si="24">AP2*AQ2</f>
        <v>1</v>
      </c>
      <c r="AS2" s="90">
        <f t="shared" ref="AS2:AS32" ca="1" si="25">AQ2*Y$35</f>
        <v>10.357142857142856</v>
      </c>
      <c r="AT2" s="90">
        <f t="shared" ref="AT2:AT7" ca="1" si="26">AS2*AP2</f>
        <v>289.99999999999994</v>
      </c>
      <c r="AU2" s="91">
        <f t="shared" ref="AU2:AU7" ca="1" si="27">IF(AS2&gt;0,AP2,0)</f>
        <v>28</v>
      </c>
      <c r="AV2" s="90">
        <f t="shared" ref="AV2:AV32" ca="1" si="28">(Y$35-AT$33)/AU$33</f>
        <v>2.0301221021717147E-15</v>
      </c>
      <c r="AW2" s="90">
        <f t="shared" ref="AW2:AW7" ca="1" si="29">IF(AU2&gt;0,AS2+AV2,"")</f>
        <v>10.357142857142858</v>
      </c>
      <c r="AY2" s="89">
        <v>0.3</v>
      </c>
    </row>
    <row r="3" spans="1:54" ht="15.75">
      <c r="A3" s="149">
        <f t="shared" ca="1" si="0"/>
        <v>2</v>
      </c>
      <c r="B3" s="56" t="str">
        <f t="shared" ca="1" si="1"/>
        <v>Mitspieler 1</v>
      </c>
      <c r="C3" s="111">
        <f t="shared" ca="1" si="2"/>
        <v>299</v>
      </c>
      <c r="D3" s="101">
        <f t="shared" ca="1" si="3"/>
        <v>10</v>
      </c>
      <c r="E3" s="87">
        <f t="shared" ca="1" si="4"/>
        <v>1</v>
      </c>
      <c r="F3" s="112">
        <f t="shared" ca="1" si="5"/>
        <v>10.357142857142858</v>
      </c>
      <c r="G3" s="113">
        <f t="shared" ca="1" si="6"/>
        <v>299</v>
      </c>
      <c r="H3" s="101">
        <f t="shared" ca="1" si="7"/>
        <v>0</v>
      </c>
      <c r="I3" s="101">
        <f t="shared" ca="1" si="8"/>
        <v>0</v>
      </c>
      <c r="J3" s="114">
        <f t="shared" ca="1" si="9"/>
        <v>10.357142857142858</v>
      </c>
      <c r="K3" s="115" t="str">
        <f t="shared" ca="1" si="10"/>
        <v>Argentinien</v>
      </c>
      <c r="L3" s="116" t="str">
        <f t="shared" ca="1" si="11"/>
        <v>Frankreich</v>
      </c>
      <c r="M3" s="53" t="str">
        <f t="shared" ca="1" si="12"/>
        <v>Frankreich</v>
      </c>
      <c r="N3" s="53" t="str">
        <f t="shared" ca="1" si="13"/>
        <v>Spanien</v>
      </c>
      <c r="O3" s="53" t="str">
        <f t="shared" ca="1" si="14"/>
        <v>Mexiko</v>
      </c>
      <c r="P3" s="53" t="str">
        <f t="shared" ca="1" si="15"/>
        <v>Argentinien</v>
      </c>
      <c r="Q3" s="126"/>
      <c r="R3" s="150">
        <f>R2+1</f>
        <v>2</v>
      </c>
      <c r="S3" s="150">
        <f t="shared" ca="1" si="16"/>
        <v>2</v>
      </c>
      <c r="T3" s="150">
        <f ca="1">(100-V3)*100+U3</f>
        <v>9839</v>
      </c>
      <c r="U3" s="9">
        <f>U2-1</f>
        <v>39</v>
      </c>
      <c r="V3" s="151">
        <f t="shared" ca="1" si="17"/>
        <v>2</v>
      </c>
      <c r="W3" s="276" t="s">
        <v>461</v>
      </c>
      <c r="X3" s="54">
        <f ca="1">IF(AL3="",Mitspieler!$AX$98,INT(RAND()*1000))</f>
        <v>299</v>
      </c>
      <c r="Y3" s="101">
        <v>10</v>
      </c>
      <c r="Z3" s="54">
        <f t="shared" ca="1" si="18"/>
        <v>1</v>
      </c>
      <c r="AA3" s="101">
        <f t="shared" ca="1" si="19"/>
        <v>10.357142857142858</v>
      </c>
      <c r="AB3" s="54">
        <f t="shared" ref="AB3" ca="1" si="30">IF(Y3="","",X3)</f>
        <v>299</v>
      </c>
      <c r="AC3" s="101">
        <f t="shared" ca="1" si="20"/>
        <v>0</v>
      </c>
      <c r="AD3" s="101">
        <f t="shared" ca="1" si="21"/>
        <v>0</v>
      </c>
      <c r="AE3" s="101">
        <f t="shared" ref="AE3" ca="1" si="31">IF(AA3="","",AA3-AC3+AD3)</f>
        <v>10.357142857142858</v>
      </c>
      <c r="AF3" s="54" t="str">
        <f>IF(Mitspieler!H$94&gt;Mitspieler!J$94,Mitspieler!D$94,Mitspieler!F$94)</f>
        <v>Argentinien</v>
      </c>
      <c r="AG3" s="54" t="str">
        <f>IF(Mitspieler!H$94&gt;Mitspieler!J$94,Mitspieler!F$94,Mitspieler!D$94)</f>
        <v>Frankreich</v>
      </c>
      <c r="AH3" s="54" t="str">
        <f>Mitspieler!BD$89</f>
        <v>Frankreich</v>
      </c>
      <c r="AI3" s="54" t="str">
        <f>Mitspieler!BF$89</f>
        <v>Spanien</v>
      </c>
      <c r="AJ3" s="54" t="str">
        <f>Mitspieler!BD$90</f>
        <v>Mexiko</v>
      </c>
      <c r="AK3" s="54" t="str">
        <f>Mitspieler!BF$90</f>
        <v>Argentinien</v>
      </c>
      <c r="AL3" s="148"/>
      <c r="AM3" s="92">
        <f t="shared" ref="AM3:AM8" ca="1" si="32">AM2-AR2</f>
        <v>0</v>
      </c>
      <c r="AN3" s="10">
        <f t="shared" ref="AN3:AN8" si="33">AN2+1</f>
        <v>2</v>
      </c>
      <c r="AO3" s="89">
        <v>0.2</v>
      </c>
      <c r="AP3" s="2">
        <f t="shared" ca="1" si="22"/>
        <v>0</v>
      </c>
      <c r="AQ3" s="88">
        <f t="shared" ca="1" si="23"/>
        <v>0.2</v>
      </c>
      <c r="AR3" s="88">
        <f t="shared" ca="1" si="24"/>
        <v>0</v>
      </c>
      <c r="AS3" s="90">
        <f t="shared" ca="1" si="25"/>
        <v>58</v>
      </c>
      <c r="AT3" s="90">
        <f t="shared" ca="1" si="26"/>
        <v>0</v>
      </c>
      <c r="AU3" s="91">
        <f t="shared" ca="1" si="27"/>
        <v>0</v>
      </c>
      <c r="AV3" s="90">
        <f t="shared" ca="1" si="28"/>
        <v>2.0301221021717147E-15</v>
      </c>
      <c r="AW3" s="90" t="str">
        <f t="shared" ca="1" si="29"/>
        <v/>
      </c>
      <c r="AY3" s="89">
        <v>0.24</v>
      </c>
    </row>
    <row r="4" spans="1:54" ht="15.75">
      <c r="A4" s="149">
        <f t="shared" ca="1" si="0"/>
        <v>2</v>
      </c>
      <c r="B4" s="56" t="str">
        <f t="shared" ca="1" si="1"/>
        <v>Mitspieler 2</v>
      </c>
      <c r="C4" s="111">
        <f t="shared" ca="1" si="2"/>
        <v>299</v>
      </c>
      <c r="D4" s="101">
        <f t="shared" ca="1" si="3"/>
        <v>10</v>
      </c>
      <c r="E4" s="87">
        <f t="shared" ca="1" si="4"/>
        <v>1</v>
      </c>
      <c r="F4" s="112">
        <f t="shared" ca="1" si="5"/>
        <v>10.357142857142858</v>
      </c>
      <c r="G4" s="113">
        <f t="shared" ca="1" si="6"/>
        <v>299</v>
      </c>
      <c r="H4" s="101">
        <f t="shared" ca="1" si="7"/>
        <v>0</v>
      </c>
      <c r="I4" s="101">
        <f t="shared" ca="1" si="8"/>
        <v>0</v>
      </c>
      <c r="J4" s="114">
        <f t="shared" ca="1" si="9"/>
        <v>10.357142857142858</v>
      </c>
      <c r="K4" s="115" t="str">
        <f t="shared" ca="1" si="10"/>
        <v>Argentinien</v>
      </c>
      <c r="L4" s="116" t="str">
        <f t="shared" ca="1" si="11"/>
        <v>Frankreich</v>
      </c>
      <c r="M4" s="53" t="str">
        <f t="shared" ca="1" si="12"/>
        <v>Frankreich</v>
      </c>
      <c r="N4" s="53" t="str">
        <f t="shared" ca="1" si="13"/>
        <v>Spanien</v>
      </c>
      <c r="O4" s="53" t="str">
        <f t="shared" ca="1" si="14"/>
        <v>Mexiko</v>
      </c>
      <c r="P4" s="53" t="str">
        <f t="shared" ca="1" si="15"/>
        <v>Argentinien</v>
      </c>
      <c r="Q4" s="126"/>
      <c r="R4" s="150">
        <f t="shared" ref="R4:R33" si="34">R3+1</f>
        <v>3</v>
      </c>
      <c r="S4" s="150">
        <f t="shared" ca="1" si="16"/>
        <v>3</v>
      </c>
      <c r="T4" s="150">
        <f t="shared" ref="T4:T33" ca="1" si="35">(100-V4)*100+U4</f>
        <v>9838</v>
      </c>
      <c r="U4" s="9">
        <f t="shared" ref="U4:U33" si="36">U3-1</f>
        <v>38</v>
      </c>
      <c r="V4" s="151">
        <f t="shared" ca="1" si="17"/>
        <v>2</v>
      </c>
      <c r="W4" s="276" t="s">
        <v>462</v>
      </c>
      <c r="X4" s="54">
        <f ca="1">IF(AL4="",Mitspieler!$AX$98,INT(RAND()*1000))</f>
        <v>299</v>
      </c>
      <c r="Y4" s="101">
        <v>10</v>
      </c>
      <c r="Z4" s="54">
        <f t="shared" ref="Z4:Z30" ca="1" si="37">IF(AB4&lt;&gt;"",RANK(AB4,AB$2:AB$32),"")</f>
        <v>1</v>
      </c>
      <c r="AA4" s="101">
        <f t="shared" ref="AA4:AA30" ca="1" si="38">IF(ISERROR(VLOOKUP(Z4,AN$2:AW$33,10,FALSE)),"",VLOOKUP(Z4,AN$2:AW$33,10,FALSE))</f>
        <v>10.357142857142858</v>
      </c>
      <c r="AB4" s="54">
        <f t="shared" ref="AB4:AB30" ca="1" si="39">IF(Y4="","",X4)</f>
        <v>299</v>
      </c>
      <c r="AC4" s="101">
        <f t="shared" ref="AC4:AC30" ca="1" si="40">IF(AA4="","",IF(ISERROR(VLOOKUP(Y4,$AC$39:$AD$40,2,FALSE)),"",(1-VLOOKUP(Y4,$AC$39:$AD$40,2,FALSE))*AA4))</f>
        <v>0</v>
      </c>
      <c r="AD4" s="101">
        <f t="shared" ref="AD4:AD30" ca="1" si="41">IF(AA4="","",$AC$35/$AU$33)</f>
        <v>0</v>
      </c>
      <c r="AE4" s="101">
        <f t="shared" ref="AE4:AE30" ca="1" si="42">IF(AA4="","",AA4-AC4+AD4)</f>
        <v>10.357142857142858</v>
      </c>
      <c r="AF4" s="54" t="str">
        <f>IF(Mitspieler!H$94&gt;Mitspieler!J$94,Mitspieler!D$94,Mitspieler!F$94)</f>
        <v>Argentinien</v>
      </c>
      <c r="AG4" s="54" t="str">
        <f>IF(Mitspieler!H$94&gt;Mitspieler!J$94,Mitspieler!F$94,Mitspieler!D$94)</f>
        <v>Frankreich</v>
      </c>
      <c r="AH4" s="54" t="str">
        <f>Mitspieler!BD$89</f>
        <v>Frankreich</v>
      </c>
      <c r="AI4" s="54" t="str">
        <f>Mitspieler!BF$89</f>
        <v>Spanien</v>
      </c>
      <c r="AJ4" s="54" t="str">
        <f>Mitspieler!BD$90</f>
        <v>Mexiko</v>
      </c>
      <c r="AK4" s="54" t="str">
        <f>Mitspieler!BF$90</f>
        <v>Argentinien</v>
      </c>
      <c r="AL4" s="148"/>
      <c r="AM4" s="92">
        <f t="shared" ca="1" si="32"/>
        <v>0</v>
      </c>
      <c r="AN4" s="10">
        <f t="shared" si="33"/>
        <v>3</v>
      </c>
      <c r="AO4" s="89">
        <v>0.15</v>
      </c>
      <c r="AP4" s="2">
        <f t="shared" ca="1" si="22"/>
        <v>0</v>
      </c>
      <c r="AQ4" s="88">
        <f t="shared" ca="1" si="23"/>
        <v>0.15</v>
      </c>
      <c r="AR4" s="88">
        <f t="shared" ca="1" si="24"/>
        <v>0</v>
      </c>
      <c r="AS4" s="90">
        <f t="shared" ca="1" si="25"/>
        <v>43.5</v>
      </c>
      <c r="AT4" s="90">
        <f t="shared" ca="1" si="26"/>
        <v>0</v>
      </c>
      <c r="AU4" s="91">
        <f t="shared" ca="1" si="27"/>
        <v>0</v>
      </c>
      <c r="AV4" s="90">
        <f t="shared" ca="1" si="28"/>
        <v>2.0301221021717147E-15</v>
      </c>
      <c r="AW4" s="90" t="str">
        <f t="shared" ca="1" si="29"/>
        <v/>
      </c>
      <c r="AY4" s="89">
        <v>0.18</v>
      </c>
    </row>
    <row r="5" spans="1:54" ht="15.75">
      <c r="A5" s="149">
        <f t="shared" ca="1" si="0"/>
        <v>2</v>
      </c>
      <c r="B5" s="56" t="str">
        <f t="shared" ca="1" si="1"/>
        <v>Mitspieler 3</v>
      </c>
      <c r="C5" s="111">
        <f t="shared" ca="1" si="2"/>
        <v>299</v>
      </c>
      <c r="D5" s="101">
        <f t="shared" ca="1" si="3"/>
        <v>10</v>
      </c>
      <c r="E5" s="87">
        <f t="shared" ca="1" si="4"/>
        <v>1</v>
      </c>
      <c r="F5" s="112">
        <f t="shared" ca="1" si="5"/>
        <v>10.357142857142858</v>
      </c>
      <c r="G5" s="113">
        <f t="shared" ca="1" si="6"/>
        <v>299</v>
      </c>
      <c r="H5" s="101">
        <f t="shared" ca="1" si="7"/>
        <v>0</v>
      </c>
      <c r="I5" s="101">
        <f t="shared" ca="1" si="8"/>
        <v>0</v>
      </c>
      <c r="J5" s="114">
        <f t="shared" ca="1" si="9"/>
        <v>10.357142857142858</v>
      </c>
      <c r="K5" s="115" t="str">
        <f t="shared" ca="1" si="10"/>
        <v>Argentinien</v>
      </c>
      <c r="L5" s="116" t="str">
        <f t="shared" ca="1" si="11"/>
        <v>Frankreich</v>
      </c>
      <c r="M5" s="53" t="str">
        <f t="shared" ca="1" si="12"/>
        <v>Frankreich</v>
      </c>
      <c r="N5" s="53" t="str">
        <f t="shared" ca="1" si="13"/>
        <v>Spanien</v>
      </c>
      <c r="O5" s="53" t="str">
        <f t="shared" ca="1" si="14"/>
        <v>Mexiko</v>
      </c>
      <c r="P5" s="53" t="str">
        <f t="shared" ca="1" si="15"/>
        <v>Argentinien</v>
      </c>
      <c r="Q5" s="126"/>
      <c r="R5" s="150">
        <f t="shared" si="34"/>
        <v>4</v>
      </c>
      <c r="S5" s="150">
        <f t="shared" ca="1" si="16"/>
        <v>4</v>
      </c>
      <c r="T5" s="150">
        <f t="shared" ca="1" si="35"/>
        <v>9837</v>
      </c>
      <c r="U5" s="9">
        <f t="shared" si="36"/>
        <v>37</v>
      </c>
      <c r="V5" s="151">
        <f t="shared" ca="1" si="17"/>
        <v>2</v>
      </c>
      <c r="W5" s="276" t="s">
        <v>463</v>
      </c>
      <c r="X5" s="54">
        <f ca="1">IF(AL5="",Mitspieler!$AX$98,INT(RAND()*1000))</f>
        <v>299</v>
      </c>
      <c r="Y5" s="101">
        <v>10</v>
      </c>
      <c r="Z5" s="54">
        <f t="shared" ca="1" si="37"/>
        <v>1</v>
      </c>
      <c r="AA5" s="101">
        <f t="shared" ca="1" si="38"/>
        <v>10.357142857142858</v>
      </c>
      <c r="AB5" s="54">
        <f t="shared" ca="1" si="39"/>
        <v>299</v>
      </c>
      <c r="AC5" s="101">
        <f t="shared" ca="1" si="40"/>
        <v>0</v>
      </c>
      <c r="AD5" s="101">
        <f t="shared" ca="1" si="41"/>
        <v>0</v>
      </c>
      <c r="AE5" s="101">
        <f t="shared" ca="1" si="42"/>
        <v>10.357142857142858</v>
      </c>
      <c r="AF5" s="54" t="str">
        <f>IF(Mitspieler!H$94&gt;Mitspieler!J$94,Mitspieler!D$94,Mitspieler!F$94)</f>
        <v>Argentinien</v>
      </c>
      <c r="AG5" s="54" t="str">
        <f>IF(Mitspieler!H$94&gt;Mitspieler!J$94,Mitspieler!F$94,Mitspieler!D$94)</f>
        <v>Frankreich</v>
      </c>
      <c r="AH5" s="54" t="str">
        <f>Mitspieler!BD$89</f>
        <v>Frankreich</v>
      </c>
      <c r="AI5" s="54" t="str">
        <f>Mitspieler!BF$89</f>
        <v>Spanien</v>
      </c>
      <c r="AJ5" s="54" t="str">
        <f>Mitspieler!BD$90</f>
        <v>Mexiko</v>
      </c>
      <c r="AK5" s="54" t="str">
        <f>Mitspieler!BF$90</f>
        <v>Argentinien</v>
      </c>
      <c r="AL5" s="148"/>
      <c r="AM5" s="92">
        <f t="shared" ca="1" si="32"/>
        <v>0</v>
      </c>
      <c r="AN5" s="10">
        <f t="shared" si="33"/>
        <v>4</v>
      </c>
      <c r="AO5" s="89">
        <v>0.11</v>
      </c>
      <c r="AP5" s="2">
        <f t="shared" ca="1" si="22"/>
        <v>0</v>
      </c>
      <c r="AQ5" s="88">
        <f t="shared" ca="1" si="23"/>
        <v>0.11</v>
      </c>
      <c r="AR5" s="88">
        <f t="shared" ca="1" si="24"/>
        <v>0</v>
      </c>
      <c r="AS5" s="90">
        <f t="shared" ca="1" si="25"/>
        <v>31.9</v>
      </c>
      <c r="AT5" s="90">
        <f t="shared" ca="1" si="26"/>
        <v>0</v>
      </c>
      <c r="AU5" s="91">
        <f t="shared" ca="1" si="27"/>
        <v>0</v>
      </c>
      <c r="AV5" s="90">
        <f t="shared" ca="1" si="28"/>
        <v>2.0301221021717147E-15</v>
      </c>
      <c r="AW5" s="90" t="str">
        <f t="shared" ca="1" si="29"/>
        <v/>
      </c>
      <c r="AY5" s="89">
        <v>0.13</v>
      </c>
    </row>
    <row r="6" spans="1:54" ht="15.75">
      <c r="A6" s="149">
        <f t="shared" ca="1" si="0"/>
        <v>2</v>
      </c>
      <c r="B6" s="56" t="str">
        <f t="shared" ca="1" si="1"/>
        <v>Mitspieler 4</v>
      </c>
      <c r="C6" s="111">
        <f t="shared" ca="1" si="2"/>
        <v>299</v>
      </c>
      <c r="D6" s="101">
        <f t="shared" ca="1" si="3"/>
        <v>10</v>
      </c>
      <c r="E6" s="87">
        <f t="shared" ca="1" si="4"/>
        <v>1</v>
      </c>
      <c r="F6" s="112">
        <f t="shared" ca="1" si="5"/>
        <v>10.357142857142858</v>
      </c>
      <c r="G6" s="113">
        <f t="shared" ca="1" si="6"/>
        <v>299</v>
      </c>
      <c r="H6" s="101">
        <f t="shared" ca="1" si="7"/>
        <v>0</v>
      </c>
      <c r="I6" s="101">
        <f t="shared" ca="1" si="8"/>
        <v>0</v>
      </c>
      <c r="J6" s="114">
        <f t="shared" ca="1" si="9"/>
        <v>10.357142857142858</v>
      </c>
      <c r="K6" s="115" t="str">
        <f t="shared" ca="1" si="10"/>
        <v>Argentinien</v>
      </c>
      <c r="L6" s="116" t="str">
        <f t="shared" ca="1" si="11"/>
        <v>Frankreich</v>
      </c>
      <c r="M6" s="53" t="str">
        <f t="shared" ca="1" si="12"/>
        <v>Frankreich</v>
      </c>
      <c r="N6" s="53" t="str">
        <f t="shared" ca="1" si="13"/>
        <v>Spanien</v>
      </c>
      <c r="O6" s="53" t="str">
        <f t="shared" ca="1" si="14"/>
        <v>Mexiko</v>
      </c>
      <c r="P6" s="53" t="str">
        <f t="shared" ca="1" si="15"/>
        <v>Argentinien</v>
      </c>
      <c r="Q6" s="126"/>
      <c r="R6" s="150">
        <f t="shared" si="34"/>
        <v>5</v>
      </c>
      <c r="S6" s="150">
        <f t="shared" ca="1" si="16"/>
        <v>5</v>
      </c>
      <c r="T6" s="150">
        <f t="shared" ca="1" si="35"/>
        <v>9836</v>
      </c>
      <c r="U6" s="9">
        <f t="shared" si="36"/>
        <v>36</v>
      </c>
      <c r="V6" s="151">
        <f t="shared" ca="1" si="17"/>
        <v>2</v>
      </c>
      <c r="W6" s="276" t="s">
        <v>464</v>
      </c>
      <c r="X6" s="54">
        <f ca="1">IF(AL6="",Mitspieler!$AX$98,INT(RAND()*1000))</f>
        <v>299</v>
      </c>
      <c r="Y6" s="101">
        <v>10</v>
      </c>
      <c r="Z6" s="54">
        <f t="shared" ca="1" si="37"/>
        <v>1</v>
      </c>
      <c r="AA6" s="101">
        <f t="shared" ca="1" si="38"/>
        <v>10.357142857142858</v>
      </c>
      <c r="AB6" s="54">
        <f t="shared" ca="1" si="39"/>
        <v>299</v>
      </c>
      <c r="AC6" s="101">
        <f t="shared" ca="1" si="40"/>
        <v>0</v>
      </c>
      <c r="AD6" s="101">
        <f t="shared" ca="1" si="41"/>
        <v>0</v>
      </c>
      <c r="AE6" s="101">
        <f t="shared" ca="1" si="42"/>
        <v>10.357142857142858</v>
      </c>
      <c r="AF6" s="54" t="str">
        <f>IF(Mitspieler!H$94&gt;Mitspieler!J$94,Mitspieler!D$94,Mitspieler!F$94)</f>
        <v>Argentinien</v>
      </c>
      <c r="AG6" s="54" t="str">
        <f>IF(Mitspieler!H$94&gt;Mitspieler!J$94,Mitspieler!F$94,Mitspieler!D$94)</f>
        <v>Frankreich</v>
      </c>
      <c r="AH6" s="54" t="str">
        <f>Mitspieler!BD$89</f>
        <v>Frankreich</v>
      </c>
      <c r="AI6" s="54" t="str">
        <f>Mitspieler!BF$89</f>
        <v>Spanien</v>
      </c>
      <c r="AJ6" s="54" t="str">
        <f>Mitspieler!BD$90</f>
        <v>Mexiko</v>
      </c>
      <c r="AK6" s="54" t="str">
        <f>Mitspieler!BF$90</f>
        <v>Argentinien</v>
      </c>
      <c r="AL6" s="148"/>
      <c r="AM6" s="92">
        <f t="shared" ca="1" si="32"/>
        <v>0</v>
      </c>
      <c r="AN6" s="10">
        <f t="shared" si="33"/>
        <v>5</v>
      </c>
      <c r="AO6" s="89">
        <v>9.5000000000000001E-2</v>
      </c>
      <c r="AP6" s="2">
        <f t="shared" ca="1" si="22"/>
        <v>0</v>
      </c>
      <c r="AQ6" s="88">
        <f t="shared" ca="1" si="23"/>
        <v>9.5000000000000001E-2</v>
      </c>
      <c r="AR6" s="88">
        <f t="shared" ca="1" si="24"/>
        <v>0</v>
      </c>
      <c r="AS6" s="90">
        <f t="shared" ca="1" si="25"/>
        <v>27.55</v>
      </c>
      <c r="AT6" s="90">
        <f t="shared" ca="1" si="26"/>
        <v>0</v>
      </c>
      <c r="AU6" s="91">
        <f t="shared" ca="1" si="27"/>
        <v>0</v>
      </c>
      <c r="AV6" s="90">
        <f t="shared" ca="1" si="28"/>
        <v>2.0301221021717147E-15</v>
      </c>
      <c r="AW6" s="90" t="str">
        <f t="shared" ca="1" si="29"/>
        <v/>
      </c>
      <c r="AY6" s="89">
        <v>0.09</v>
      </c>
    </row>
    <row r="7" spans="1:54" ht="15.75">
      <c r="A7" s="149">
        <f t="shared" ca="1" si="0"/>
        <v>2</v>
      </c>
      <c r="B7" s="56" t="str">
        <f t="shared" ca="1" si="1"/>
        <v>Mitspieler 5</v>
      </c>
      <c r="C7" s="111">
        <f t="shared" ca="1" si="2"/>
        <v>299</v>
      </c>
      <c r="D7" s="101">
        <f t="shared" ca="1" si="3"/>
        <v>10</v>
      </c>
      <c r="E7" s="87">
        <f t="shared" ca="1" si="4"/>
        <v>1</v>
      </c>
      <c r="F7" s="112">
        <f t="shared" ca="1" si="5"/>
        <v>10.357142857142858</v>
      </c>
      <c r="G7" s="113">
        <f t="shared" ca="1" si="6"/>
        <v>299</v>
      </c>
      <c r="H7" s="101">
        <f t="shared" ca="1" si="7"/>
        <v>0</v>
      </c>
      <c r="I7" s="101">
        <f t="shared" ca="1" si="8"/>
        <v>0</v>
      </c>
      <c r="J7" s="114">
        <f t="shared" ca="1" si="9"/>
        <v>10.357142857142858</v>
      </c>
      <c r="K7" s="115" t="str">
        <f t="shared" ca="1" si="10"/>
        <v>Argentinien</v>
      </c>
      <c r="L7" s="116" t="str">
        <f t="shared" ca="1" si="11"/>
        <v>Frankreich</v>
      </c>
      <c r="M7" s="53" t="str">
        <f t="shared" ca="1" si="12"/>
        <v>Frankreich</v>
      </c>
      <c r="N7" s="53" t="str">
        <f t="shared" ca="1" si="13"/>
        <v>Spanien</v>
      </c>
      <c r="O7" s="53" t="str">
        <f t="shared" ca="1" si="14"/>
        <v>Mexiko</v>
      </c>
      <c r="P7" s="53" t="str">
        <f t="shared" ca="1" si="15"/>
        <v>Argentinien</v>
      </c>
      <c r="Q7" s="126"/>
      <c r="R7" s="150">
        <f t="shared" si="34"/>
        <v>6</v>
      </c>
      <c r="S7" s="150">
        <f t="shared" ca="1" si="16"/>
        <v>6</v>
      </c>
      <c r="T7" s="150">
        <f t="shared" ca="1" si="35"/>
        <v>9835</v>
      </c>
      <c r="U7" s="9">
        <f t="shared" si="36"/>
        <v>35</v>
      </c>
      <c r="V7" s="151">
        <f t="shared" ca="1" si="17"/>
        <v>2</v>
      </c>
      <c r="W7" s="276" t="s">
        <v>465</v>
      </c>
      <c r="X7" s="54">
        <f ca="1">IF(AL7="",Mitspieler!$AX$98,INT(RAND()*1000))</f>
        <v>299</v>
      </c>
      <c r="Y7" s="101">
        <v>10</v>
      </c>
      <c r="Z7" s="54">
        <f t="shared" ca="1" si="37"/>
        <v>1</v>
      </c>
      <c r="AA7" s="101">
        <f t="shared" ca="1" si="38"/>
        <v>10.357142857142858</v>
      </c>
      <c r="AB7" s="54">
        <f t="shared" ca="1" si="39"/>
        <v>299</v>
      </c>
      <c r="AC7" s="101">
        <f t="shared" ca="1" si="40"/>
        <v>0</v>
      </c>
      <c r="AD7" s="101">
        <f t="shared" ca="1" si="41"/>
        <v>0</v>
      </c>
      <c r="AE7" s="101">
        <f t="shared" ca="1" si="42"/>
        <v>10.357142857142858</v>
      </c>
      <c r="AF7" s="54" t="str">
        <f>IF(Mitspieler!H$94&gt;Mitspieler!J$94,Mitspieler!D$94,Mitspieler!F$94)</f>
        <v>Argentinien</v>
      </c>
      <c r="AG7" s="54" t="str">
        <f>IF(Mitspieler!H$94&gt;Mitspieler!J$94,Mitspieler!F$94,Mitspieler!D$94)</f>
        <v>Frankreich</v>
      </c>
      <c r="AH7" s="54" t="str">
        <f>Mitspieler!BD$89</f>
        <v>Frankreich</v>
      </c>
      <c r="AI7" s="54" t="str">
        <f>Mitspieler!BF$89</f>
        <v>Spanien</v>
      </c>
      <c r="AJ7" s="54" t="str">
        <f>Mitspieler!BD$90</f>
        <v>Mexiko</v>
      </c>
      <c r="AK7" s="54" t="str">
        <f>Mitspieler!BF$90</f>
        <v>Argentinien</v>
      </c>
      <c r="AL7" s="148"/>
      <c r="AM7" s="92">
        <f t="shared" ca="1" si="32"/>
        <v>0</v>
      </c>
      <c r="AN7" s="10">
        <f t="shared" si="33"/>
        <v>6</v>
      </c>
      <c r="AO7" s="89">
        <v>0.08</v>
      </c>
      <c r="AP7" s="2">
        <f t="shared" ca="1" si="22"/>
        <v>0</v>
      </c>
      <c r="AQ7" s="88">
        <f t="shared" ca="1" si="23"/>
        <v>0.08</v>
      </c>
      <c r="AR7" s="88">
        <f t="shared" ca="1" si="24"/>
        <v>0</v>
      </c>
      <c r="AS7" s="90">
        <f t="shared" ca="1" si="25"/>
        <v>23.2</v>
      </c>
      <c r="AT7" s="90">
        <f t="shared" ca="1" si="26"/>
        <v>0</v>
      </c>
      <c r="AU7" s="91">
        <f t="shared" ca="1" si="27"/>
        <v>0</v>
      </c>
      <c r="AV7" s="90">
        <f t="shared" ca="1" si="28"/>
        <v>2.0301221021717147E-15</v>
      </c>
      <c r="AW7" s="90" t="str">
        <f t="shared" ca="1" si="29"/>
        <v/>
      </c>
      <c r="AY7" s="89">
        <v>0.06</v>
      </c>
    </row>
    <row r="8" spans="1:54" ht="15.75">
      <c r="A8" s="149">
        <f t="shared" ca="1" si="0"/>
        <v>2</v>
      </c>
      <c r="B8" s="56" t="str">
        <f t="shared" ca="1" si="1"/>
        <v>Mitspieler 6</v>
      </c>
      <c r="C8" s="111">
        <f t="shared" ca="1" si="2"/>
        <v>299</v>
      </c>
      <c r="D8" s="101">
        <f t="shared" ca="1" si="3"/>
        <v>10</v>
      </c>
      <c r="E8" s="87">
        <f t="shared" ca="1" si="4"/>
        <v>1</v>
      </c>
      <c r="F8" s="112">
        <f t="shared" ca="1" si="5"/>
        <v>10.357142857142858</v>
      </c>
      <c r="G8" s="113">
        <f t="shared" ca="1" si="6"/>
        <v>299</v>
      </c>
      <c r="H8" s="101">
        <f t="shared" ca="1" si="7"/>
        <v>0</v>
      </c>
      <c r="I8" s="101">
        <f t="shared" ca="1" si="8"/>
        <v>0</v>
      </c>
      <c r="J8" s="114">
        <f t="shared" ca="1" si="9"/>
        <v>10.357142857142858</v>
      </c>
      <c r="K8" s="115" t="str">
        <f t="shared" ca="1" si="10"/>
        <v>Argentinien</v>
      </c>
      <c r="L8" s="116" t="str">
        <f t="shared" ca="1" si="11"/>
        <v>Frankreich</v>
      </c>
      <c r="M8" s="53" t="str">
        <f t="shared" ca="1" si="12"/>
        <v>Frankreich</v>
      </c>
      <c r="N8" s="53" t="str">
        <f t="shared" ca="1" si="13"/>
        <v>Spanien</v>
      </c>
      <c r="O8" s="53" t="str">
        <f t="shared" ca="1" si="14"/>
        <v>Mexiko</v>
      </c>
      <c r="P8" s="53" t="str">
        <f t="shared" ca="1" si="15"/>
        <v>Argentinien</v>
      </c>
      <c r="Q8" s="126"/>
      <c r="R8" s="150">
        <f t="shared" si="34"/>
        <v>7</v>
      </c>
      <c r="S8" s="150">
        <f t="shared" ca="1" si="16"/>
        <v>7</v>
      </c>
      <c r="T8" s="150">
        <f t="shared" ca="1" si="35"/>
        <v>9834</v>
      </c>
      <c r="U8" s="9">
        <f t="shared" si="36"/>
        <v>34</v>
      </c>
      <c r="V8" s="151">
        <f t="shared" ca="1" si="17"/>
        <v>2</v>
      </c>
      <c r="W8" s="276" t="s">
        <v>466</v>
      </c>
      <c r="X8" s="54">
        <f ca="1">IF(AL8="",Mitspieler!$AX$98,INT(RAND()*1000))</f>
        <v>299</v>
      </c>
      <c r="Y8" s="101">
        <v>10</v>
      </c>
      <c r="Z8" s="54">
        <f t="shared" ca="1" si="37"/>
        <v>1</v>
      </c>
      <c r="AA8" s="101">
        <f t="shared" ca="1" si="38"/>
        <v>10.357142857142858</v>
      </c>
      <c r="AB8" s="54">
        <f t="shared" ca="1" si="39"/>
        <v>299</v>
      </c>
      <c r="AC8" s="101">
        <f t="shared" ca="1" si="40"/>
        <v>0</v>
      </c>
      <c r="AD8" s="101">
        <f t="shared" ca="1" si="41"/>
        <v>0</v>
      </c>
      <c r="AE8" s="101">
        <f t="shared" ca="1" si="42"/>
        <v>10.357142857142858</v>
      </c>
      <c r="AF8" s="54" t="str">
        <f>IF(Mitspieler!H$94&gt;Mitspieler!J$94,Mitspieler!D$94,Mitspieler!F$94)</f>
        <v>Argentinien</v>
      </c>
      <c r="AG8" s="54" t="str">
        <f>IF(Mitspieler!H$94&gt;Mitspieler!J$94,Mitspieler!F$94,Mitspieler!D$94)</f>
        <v>Frankreich</v>
      </c>
      <c r="AH8" s="54" t="str">
        <f>Mitspieler!BD$89</f>
        <v>Frankreich</v>
      </c>
      <c r="AI8" s="54" t="str">
        <f>Mitspieler!BF$89</f>
        <v>Spanien</v>
      </c>
      <c r="AJ8" s="54" t="str">
        <f>Mitspieler!BD$90</f>
        <v>Mexiko</v>
      </c>
      <c r="AK8" s="54" t="str">
        <f>Mitspieler!BF$90</f>
        <v>Argentinien</v>
      </c>
      <c r="AL8" s="148"/>
      <c r="AM8" s="92">
        <f t="shared" ca="1" si="32"/>
        <v>0</v>
      </c>
      <c r="AN8" s="16">
        <f t="shared" si="33"/>
        <v>7</v>
      </c>
      <c r="AO8" s="89">
        <v>6.5000000000000002E-2</v>
      </c>
      <c r="AP8" s="2">
        <f t="shared" ca="1" si="22"/>
        <v>0</v>
      </c>
      <c r="AQ8" s="88">
        <f t="shared" ca="1" si="23"/>
        <v>6.5000000000000002E-2</v>
      </c>
      <c r="AR8" s="88">
        <f t="shared" ca="1" si="24"/>
        <v>0</v>
      </c>
      <c r="AS8" s="90">
        <f t="shared" ca="1" si="25"/>
        <v>18.850000000000001</v>
      </c>
      <c r="AT8" s="90">
        <f ca="1">AS8*AP8</f>
        <v>0</v>
      </c>
      <c r="AU8" s="91">
        <f ca="1">IF(AS8&gt;0,AP8,0)</f>
        <v>0</v>
      </c>
      <c r="AV8" s="90">
        <f t="shared" ca="1" si="28"/>
        <v>2.0301221021717147E-15</v>
      </c>
      <c r="AW8" s="90" t="str">
        <f ca="1">IF(AU8&gt;0,AS8+AV8,"")</f>
        <v/>
      </c>
    </row>
    <row r="9" spans="1:54" ht="15.75">
      <c r="A9" s="149">
        <f t="shared" ca="1" si="0"/>
        <v>2</v>
      </c>
      <c r="B9" s="56" t="str">
        <f t="shared" ca="1" si="1"/>
        <v>Mitspieler 7</v>
      </c>
      <c r="C9" s="111">
        <f t="shared" ca="1" si="2"/>
        <v>299</v>
      </c>
      <c r="D9" s="101">
        <f t="shared" ca="1" si="3"/>
        <v>10</v>
      </c>
      <c r="E9" s="87">
        <f t="shared" ca="1" si="4"/>
        <v>1</v>
      </c>
      <c r="F9" s="112">
        <f t="shared" ca="1" si="5"/>
        <v>10.357142857142858</v>
      </c>
      <c r="G9" s="113">
        <f t="shared" ca="1" si="6"/>
        <v>299</v>
      </c>
      <c r="H9" s="101">
        <f t="shared" ca="1" si="7"/>
        <v>0</v>
      </c>
      <c r="I9" s="101">
        <f t="shared" ca="1" si="8"/>
        <v>0</v>
      </c>
      <c r="J9" s="114">
        <f t="shared" ca="1" si="9"/>
        <v>10.357142857142858</v>
      </c>
      <c r="K9" s="115" t="str">
        <f t="shared" ca="1" si="10"/>
        <v>Argentinien</v>
      </c>
      <c r="L9" s="116" t="str">
        <f t="shared" ca="1" si="11"/>
        <v>Frankreich</v>
      </c>
      <c r="M9" s="53" t="str">
        <f t="shared" ca="1" si="12"/>
        <v>Frankreich</v>
      </c>
      <c r="N9" s="53" t="str">
        <f t="shared" ca="1" si="13"/>
        <v>Spanien</v>
      </c>
      <c r="O9" s="53" t="str">
        <f t="shared" ca="1" si="14"/>
        <v>Mexiko</v>
      </c>
      <c r="P9" s="53" t="str">
        <f t="shared" ca="1" si="15"/>
        <v>Argentinien</v>
      </c>
      <c r="Q9" s="126"/>
      <c r="R9" s="150">
        <f t="shared" si="34"/>
        <v>8</v>
      </c>
      <c r="S9" s="150">
        <f t="shared" ca="1" si="16"/>
        <v>8</v>
      </c>
      <c r="T9" s="150">
        <f t="shared" ca="1" si="35"/>
        <v>9833</v>
      </c>
      <c r="U9" s="9">
        <f t="shared" si="36"/>
        <v>33</v>
      </c>
      <c r="V9" s="151">
        <f t="shared" ca="1" si="17"/>
        <v>2</v>
      </c>
      <c r="W9" s="276" t="s">
        <v>467</v>
      </c>
      <c r="X9" s="54">
        <f ca="1">IF(AL9="",Mitspieler!$AX$98,INT(RAND()*1000))</f>
        <v>299</v>
      </c>
      <c r="Y9" s="101">
        <v>10</v>
      </c>
      <c r="Z9" s="54">
        <f t="shared" ca="1" si="37"/>
        <v>1</v>
      </c>
      <c r="AA9" s="101">
        <f t="shared" ca="1" si="38"/>
        <v>10.357142857142858</v>
      </c>
      <c r="AB9" s="54">
        <f t="shared" ca="1" si="39"/>
        <v>299</v>
      </c>
      <c r="AC9" s="101">
        <f t="shared" ca="1" si="40"/>
        <v>0</v>
      </c>
      <c r="AD9" s="101">
        <f t="shared" ca="1" si="41"/>
        <v>0</v>
      </c>
      <c r="AE9" s="101">
        <f t="shared" ca="1" si="42"/>
        <v>10.357142857142858</v>
      </c>
      <c r="AF9" s="54" t="str">
        <f>IF(Mitspieler!H$94&gt;Mitspieler!J$94,Mitspieler!D$94,Mitspieler!F$94)</f>
        <v>Argentinien</v>
      </c>
      <c r="AG9" s="54" t="str">
        <f>IF(Mitspieler!H$94&gt;Mitspieler!J$94,Mitspieler!F$94,Mitspieler!D$94)</f>
        <v>Frankreich</v>
      </c>
      <c r="AH9" s="54" t="str">
        <f>Mitspieler!BD$89</f>
        <v>Frankreich</v>
      </c>
      <c r="AI9" s="54" t="str">
        <f>Mitspieler!BF$89</f>
        <v>Spanien</v>
      </c>
      <c r="AJ9" s="54" t="str">
        <f>Mitspieler!BD$90</f>
        <v>Mexiko</v>
      </c>
      <c r="AK9" s="54" t="str">
        <f>Mitspieler!BF$90</f>
        <v>Argentinien</v>
      </c>
      <c r="AL9" s="148"/>
      <c r="AM9" s="92">
        <f ca="1">AM8-AR8</f>
        <v>0</v>
      </c>
      <c r="AN9" s="16">
        <f>AN8+1</f>
        <v>8</v>
      </c>
      <c r="AO9" s="89">
        <v>0.05</v>
      </c>
      <c r="AP9" s="2">
        <f t="shared" ca="1" si="22"/>
        <v>0</v>
      </c>
      <c r="AQ9" s="88">
        <f ca="1">IF(AP9*AO9&lt;=AM9,AO9,AM9/AP9)</f>
        <v>0.05</v>
      </c>
      <c r="AR9" s="88">
        <f ca="1">AP9*AQ9</f>
        <v>0</v>
      </c>
      <c r="AS9" s="90">
        <f t="shared" ca="1" si="25"/>
        <v>14.5</v>
      </c>
      <c r="AT9" s="90">
        <f ca="1">AS9*AP9</f>
        <v>0</v>
      </c>
      <c r="AU9" s="91">
        <f ca="1">IF(AS9&gt;0,AP9,0)</f>
        <v>0</v>
      </c>
      <c r="AV9" s="90">
        <f t="shared" ca="1" si="28"/>
        <v>2.0301221021717147E-15</v>
      </c>
      <c r="AW9" s="90" t="str">
        <f ca="1">IF(AU9&gt;0,AS9+AV9,"")</f>
        <v/>
      </c>
    </row>
    <row r="10" spans="1:54" ht="15.75">
      <c r="A10" s="149">
        <f t="shared" ca="1" si="0"/>
        <v>2</v>
      </c>
      <c r="B10" s="56" t="str">
        <f t="shared" ca="1" si="1"/>
        <v>Mitspieler 8</v>
      </c>
      <c r="C10" s="111">
        <f t="shared" ca="1" si="2"/>
        <v>299</v>
      </c>
      <c r="D10" s="101">
        <f t="shared" ca="1" si="3"/>
        <v>10</v>
      </c>
      <c r="E10" s="87">
        <f t="shared" ca="1" si="4"/>
        <v>1</v>
      </c>
      <c r="F10" s="112">
        <f t="shared" ca="1" si="5"/>
        <v>10.357142857142858</v>
      </c>
      <c r="G10" s="113">
        <f t="shared" ca="1" si="6"/>
        <v>299</v>
      </c>
      <c r="H10" s="101">
        <f t="shared" ca="1" si="7"/>
        <v>0</v>
      </c>
      <c r="I10" s="101">
        <f t="shared" ca="1" si="8"/>
        <v>0</v>
      </c>
      <c r="J10" s="114">
        <f t="shared" ca="1" si="9"/>
        <v>10.357142857142858</v>
      </c>
      <c r="K10" s="115" t="str">
        <f t="shared" ca="1" si="10"/>
        <v>Argentinien</v>
      </c>
      <c r="L10" s="116" t="str">
        <f t="shared" ca="1" si="11"/>
        <v>Frankreich</v>
      </c>
      <c r="M10" s="53" t="str">
        <f t="shared" ca="1" si="12"/>
        <v>Frankreich</v>
      </c>
      <c r="N10" s="53" t="str">
        <f t="shared" ca="1" si="13"/>
        <v>Spanien</v>
      </c>
      <c r="O10" s="53" t="str">
        <f t="shared" ca="1" si="14"/>
        <v>Mexiko</v>
      </c>
      <c r="P10" s="53" t="str">
        <f t="shared" ca="1" si="15"/>
        <v>Argentinien</v>
      </c>
      <c r="Q10" s="126"/>
      <c r="R10" s="150">
        <f t="shared" si="34"/>
        <v>9</v>
      </c>
      <c r="S10" s="150">
        <f t="shared" ca="1" si="16"/>
        <v>9</v>
      </c>
      <c r="T10" s="150">
        <f t="shared" ca="1" si="35"/>
        <v>9832</v>
      </c>
      <c r="U10" s="9">
        <f t="shared" si="36"/>
        <v>32</v>
      </c>
      <c r="V10" s="151">
        <f t="shared" ca="1" si="17"/>
        <v>2</v>
      </c>
      <c r="W10" s="276" t="s">
        <v>468</v>
      </c>
      <c r="X10" s="54">
        <f ca="1">IF(AL10="",Mitspieler!$AX$98,INT(RAND()*1000))</f>
        <v>299</v>
      </c>
      <c r="Y10" s="101">
        <v>10</v>
      </c>
      <c r="Z10" s="54">
        <f t="shared" ca="1" si="37"/>
        <v>1</v>
      </c>
      <c r="AA10" s="101">
        <f t="shared" ca="1" si="38"/>
        <v>10.357142857142858</v>
      </c>
      <c r="AB10" s="54">
        <f t="shared" ca="1" si="39"/>
        <v>299</v>
      </c>
      <c r="AC10" s="101">
        <f t="shared" ca="1" si="40"/>
        <v>0</v>
      </c>
      <c r="AD10" s="101">
        <f t="shared" ca="1" si="41"/>
        <v>0</v>
      </c>
      <c r="AE10" s="101">
        <f t="shared" ca="1" si="42"/>
        <v>10.357142857142858</v>
      </c>
      <c r="AF10" s="54" t="str">
        <f>IF(Mitspieler!H$94&gt;Mitspieler!J$94,Mitspieler!D$94,Mitspieler!F$94)</f>
        <v>Argentinien</v>
      </c>
      <c r="AG10" s="54" t="str">
        <f>IF(Mitspieler!H$94&gt;Mitspieler!J$94,Mitspieler!F$94,Mitspieler!D$94)</f>
        <v>Frankreich</v>
      </c>
      <c r="AH10" s="54" t="str">
        <f>Mitspieler!BD$89</f>
        <v>Frankreich</v>
      </c>
      <c r="AI10" s="54" t="str">
        <f>Mitspieler!BF$89</f>
        <v>Spanien</v>
      </c>
      <c r="AJ10" s="54" t="str">
        <f>Mitspieler!BD$90</f>
        <v>Mexiko</v>
      </c>
      <c r="AK10" s="54" t="str">
        <f>Mitspieler!BF$90</f>
        <v>Argentinien</v>
      </c>
      <c r="AL10" s="148"/>
      <c r="AM10" s="92">
        <f t="shared" ref="AM10:AM29" ca="1" si="43">AM9-AR9</f>
        <v>0</v>
      </c>
      <c r="AN10" s="16">
        <f t="shared" ref="AN10:AN32" si="44">AN9+1</f>
        <v>9</v>
      </c>
      <c r="AO10" s="2"/>
      <c r="AP10" s="2">
        <f t="shared" ca="1" si="22"/>
        <v>0</v>
      </c>
      <c r="AQ10" s="88">
        <f t="shared" ref="AQ10:AQ29" ca="1" si="45">IF(AP10*AO10&lt;=AM10,AO10,AM10/AP10)</f>
        <v>0</v>
      </c>
      <c r="AR10" s="88">
        <f t="shared" ref="AR10:AR29" ca="1" si="46">AP10*AQ10</f>
        <v>0</v>
      </c>
      <c r="AS10" s="90">
        <f t="shared" ca="1" si="25"/>
        <v>0</v>
      </c>
      <c r="AT10" s="90">
        <f t="shared" ref="AT10:AT29" ca="1" si="47">AS10*AP10</f>
        <v>0</v>
      </c>
      <c r="AU10" s="91">
        <f t="shared" ref="AU10:AU29" ca="1" si="48">IF(AS10&gt;0,AP10,0)</f>
        <v>0</v>
      </c>
      <c r="AV10" s="90">
        <f t="shared" ca="1" si="28"/>
        <v>2.0301221021717147E-15</v>
      </c>
      <c r="AW10" s="90" t="str">
        <f t="shared" ref="AW10:AW29" ca="1" si="49">IF(AU10&gt;0,AS10+AV10,"")</f>
        <v/>
      </c>
    </row>
    <row r="11" spans="1:54" ht="15.75">
      <c r="A11" s="149">
        <f t="shared" ca="1" si="0"/>
        <v>2</v>
      </c>
      <c r="B11" s="56" t="str">
        <f t="shared" ca="1" si="1"/>
        <v>Mitspieler 9</v>
      </c>
      <c r="C11" s="111">
        <f t="shared" ca="1" si="2"/>
        <v>299</v>
      </c>
      <c r="D11" s="101">
        <f t="shared" ca="1" si="3"/>
        <v>10</v>
      </c>
      <c r="E11" s="87">
        <f t="shared" ca="1" si="4"/>
        <v>1</v>
      </c>
      <c r="F11" s="112">
        <f t="shared" ca="1" si="5"/>
        <v>10.357142857142858</v>
      </c>
      <c r="G11" s="113">
        <f t="shared" ca="1" si="6"/>
        <v>299</v>
      </c>
      <c r="H11" s="101">
        <f t="shared" ca="1" si="7"/>
        <v>0</v>
      </c>
      <c r="I11" s="101">
        <f t="shared" ca="1" si="8"/>
        <v>0</v>
      </c>
      <c r="J11" s="114">
        <f t="shared" ca="1" si="9"/>
        <v>10.357142857142858</v>
      </c>
      <c r="K11" s="115" t="str">
        <f t="shared" ca="1" si="10"/>
        <v>Argentinien</v>
      </c>
      <c r="L11" s="116" t="str">
        <f t="shared" ca="1" si="11"/>
        <v>Frankreich</v>
      </c>
      <c r="M11" s="53" t="str">
        <f t="shared" ca="1" si="12"/>
        <v>Frankreich</v>
      </c>
      <c r="N11" s="53" t="str">
        <f t="shared" ca="1" si="13"/>
        <v>Spanien</v>
      </c>
      <c r="O11" s="53" t="str">
        <f t="shared" ca="1" si="14"/>
        <v>Mexiko</v>
      </c>
      <c r="P11" s="53" t="str">
        <f t="shared" ca="1" si="15"/>
        <v>Argentinien</v>
      </c>
      <c r="Q11" s="126"/>
      <c r="R11" s="150">
        <f t="shared" si="34"/>
        <v>10</v>
      </c>
      <c r="S11" s="150">
        <f t="shared" ca="1" si="16"/>
        <v>10</v>
      </c>
      <c r="T11" s="150">
        <f t="shared" ca="1" si="35"/>
        <v>9831</v>
      </c>
      <c r="U11" s="9">
        <f t="shared" si="36"/>
        <v>31</v>
      </c>
      <c r="V11" s="151">
        <f t="shared" ca="1" si="17"/>
        <v>2</v>
      </c>
      <c r="W11" s="276" t="s">
        <v>469</v>
      </c>
      <c r="X11" s="54">
        <f ca="1">IF(AL11="",Mitspieler!$AX$98,INT(RAND()*1000))</f>
        <v>299</v>
      </c>
      <c r="Y11" s="101">
        <v>10</v>
      </c>
      <c r="Z11" s="54">
        <f t="shared" ca="1" si="37"/>
        <v>1</v>
      </c>
      <c r="AA11" s="101">
        <f t="shared" ca="1" si="38"/>
        <v>10.357142857142858</v>
      </c>
      <c r="AB11" s="54">
        <f t="shared" ca="1" si="39"/>
        <v>299</v>
      </c>
      <c r="AC11" s="101">
        <f t="shared" ca="1" si="40"/>
        <v>0</v>
      </c>
      <c r="AD11" s="101">
        <f t="shared" ca="1" si="41"/>
        <v>0</v>
      </c>
      <c r="AE11" s="101">
        <f t="shared" ca="1" si="42"/>
        <v>10.357142857142858</v>
      </c>
      <c r="AF11" s="54" t="str">
        <f>IF(Mitspieler!H$94&gt;Mitspieler!J$94,Mitspieler!D$94,Mitspieler!F$94)</f>
        <v>Argentinien</v>
      </c>
      <c r="AG11" s="54" t="str">
        <f>IF(Mitspieler!H$94&gt;Mitspieler!J$94,Mitspieler!F$94,Mitspieler!D$94)</f>
        <v>Frankreich</v>
      </c>
      <c r="AH11" s="54" t="str">
        <f>Mitspieler!BD$89</f>
        <v>Frankreich</v>
      </c>
      <c r="AI11" s="54" t="str">
        <f>Mitspieler!BF$89</f>
        <v>Spanien</v>
      </c>
      <c r="AJ11" s="54" t="str">
        <f>Mitspieler!BD$90</f>
        <v>Mexiko</v>
      </c>
      <c r="AK11" s="54" t="str">
        <f>Mitspieler!BF$90</f>
        <v>Argentinien</v>
      </c>
      <c r="AL11" s="148"/>
      <c r="AM11" s="92">
        <f t="shared" ca="1" si="43"/>
        <v>0</v>
      </c>
      <c r="AN11" s="16">
        <f t="shared" si="44"/>
        <v>10</v>
      </c>
      <c r="AO11" s="2"/>
      <c r="AP11" s="2">
        <f t="shared" ca="1" si="22"/>
        <v>0</v>
      </c>
      <c r="AQ11" s="88">
        <f t="shared" ca="1" si="45"/>
        <v>0</v>
      </c>
      <c r="AR11" s="88">
        <f t="shared" ca="1" si="46"/>
        <v>0</v>
      </c>
      <c r="AS11" s="90">
        <f t="shared" ca="1" si="25"/>
        <v>0</v>
      </c>
      <c r="AT11" s="90">
        <f t="shared" ca="1" si="47"/>
        <v>0</v>
      </c>
      <c r="AU11" s="91">
        <f t="shared" ca="1" si="48"/>
        <v>0</v>
      </c>
      <c r="AV11" s="90">
        <f t="shared" ca="1" si="28"/>
        <v>2.0301221021717147E-15</v>
      </c>
      <c r="AW11" s="90" t="str">
        <f t="shared" ca="1" si="49"/>
        <v/>
      </c>
    </row>
    <row r="12" spans="1:54" ht="15.75">
      <c r="A12" s="149">
        <f t="shared" ca="1" si="0"/>
        <v>2</v>
      </c>
      <c r="B12" s="56" t="str">
        <f t="shared" ca="1" si="1"/>
        <v>Mitspieler 10</v>
      </c>
      <c r="C12" s="111">
        <f t="shared" ca="1" si="2"/>
        <v>299</v>
      </c>
      <c r="D12" s="101">
        <f t="shared" ca="1" si="3"/>
        <v>10</v>
      </c>
      <c r="E12" s="87">
        <f t="shared" ca="1" si="4"/>
        <v>1</v>
      </c>
      <c r="F12" s="112">
        <f t="shared" ca="1" si="5"/>
        <v>10.357142857142858</v>
      </c>
      <c r="G12" s="113">
        <f t="shared" ca="1" si="6"/>
        <v>299</v>
      </c>
      <c r="H12" s="101">
        <f t="shared" ca="1" si="7"/>
        <v>0</v>
      </c>
      <c r="I12" s="101">
        <f t="shared" ca="1" si="8"/>
        <v>0</v>
      </c>
      <c r="J12" s="114">
        <f t="shared" ca="1" si="9"/>
        <v>10.357142857142858</v>
      </c>
      <c r="K12" s="115" t="str">
        <f t="shared" ca="1" si="10"/>
        <v>Argentinien</v>
      </c>
      <c r="L12" s="116" t="str">
        <f t="shared" ca="1" si="11"/>
        <v>Frankreich</v>
      </c>
      <c r="M12" s="53" t="str">
        <f t="shared" ca="1" si="12"/>
        <v>Frankreich</v>
      </c>
      <c r="N12" s="53" t="str">
        <f t="shared" ca="1" si="13"/>
        <v>Spanien</v>
      </c>
      <c r="O12" s="53" t="str">
        <f t="shared" ca="1" si="14"/>
        <v>Mexiko</v>
      </c>
      <c r="P12" s="53" t="str">
        <f t="shared" ca="1" si="15"/>
        <v>Argentinien</v>
      </c>
      <c r="Q12" s="126"/>
      <c r="R12" s="150">
        <f t="shared" si="34"/>
        <v>11</v>
      </c>
      <c r="S12" s="150">
        <f t="shared" ca="1" si="16"/>
        <v>11</v>
      </c>
      <c r="T12" s="150">
        <f t="shared" ca="1" si="35"/>
        <v>9830</v>
      </c>
      <c r="U12" s="9">
        <f t="shared" si="36"/>
        <v>30</v>
      </c>
      <c r="V12" s="151">
        <f t="shared" ca="1" si="17"/>
        <v>2</v>
      </c>
      <c r="W12" s="276" t="s">
        <v>470</v>
      </c>
      <c r="X12" s="54">
        <f ca="1">IF(AL12="",Mitspieler!$AX$98,INT(RAND()*1000))</f>
        <v>299</v>
      </c>
      <c r="Y12" s="101">
        <v>10</v>
      </c>
      <c r="Z12" s="54">
        <f t="shared" ca="1" si="37"/>
        <v>1</v>
      </c>
      <c r="AA12" s="101">
        <f t="shared" ca="1" si="38"/>
        <v>10.357142857142858</v>
      </c>
      <c r="AB12" s="54">
        <f t="shared" ca="1" si="39"/>
        <v>299</v>
      </c>
      <c r="AC12" s="101">
        <f t="shared" ca="1" si="40"/>
        <v>0</v>
      </c>
      <c r="AD12" s="101">
        <f t="shared" ca="1" si="41"/>
        <v>0</v>
      </c>
      <c r="AE12" s="101">
        <f t="shared" ca="1" si="42"/>
        <v>10.357142857142858</v>
      </c>
      <c r="AF12" s="54" t="str">
        <f>IF(Mitspieler!H$94&gt;Mitspieler!J$94,Mitspieler!D$94,Mitspieler!F$94)</f>
        <v>Argentinien</v>
      </c>
      <c r="AG12" s="54" t="str">
        <f>IF(Mitspieler!H$94&gt;Mitspieler!J$94,Mitspieler!F$94,Mitspieler!D$94)</f>
        <v>Frankreich</v>
      </c>
      <c r="AH12" s="54" t="str">
        <f>Mitspieler!BD$89</f>
        <v>Frankreich</v>
      </c>
      <c r="AI12" s="54" t="str">
        <f>Mitspieler!BF$89</f>
        <v>Spanien</v>
      </c>
      <c r="AJ12" s="54" t="str">
        <f>Mitspieler!BD$90</f>
        <v>Mexiko</v>
      </c>
      <c r="AK12" s="54" t="str">
        <f>Mitspieler!BF$90</f>
        <v>Argentinien</v>
      </c>
      <c r="AL12" s="148"/>
      <c r="AM12" s="92">
        <f t="shared" ca="1" si="43"/>
        <v>0</v>
      </c>
      <c r="AN12" s="16">
        <f t="shared" si="44"/>
        <v>11</v>
      </c>
      <c r="AO12" s="2"/>
      <c r="AP12" s="2">
        <f t="shared" ca="1" si="22"/>
        <v>0</v>
      </c>
      <c r="AQ12" s="88">
        <f t="shared" ca="1" si="45"/>
        <v>0</v>
      </c>
      <c r="AR12" s="88">
        <f t="shared" ca="1" si="46"/>
        <v>0</v>
      </c>
      <c r="AS12" s="90">
        <f t="shared" ca="1" si="25"/>
        <v>0</v>
      </c>
      <c r="AT12" s="90">
        <f t="shared" ca="1" si="47"/>
        <v>0</v>
      </c>
      <c r="AU12" s="91">
        <f t="shared" ca="1" si="48"/>
        <v>0</v>
      </c>
      <c r="AV12" s="90">
        <f t="shared" ca="1" si="28"/>
        <v>2.0301221021717147E-15</v>
      </c>
      <c r="AW12" s="90" t="str">
        <f t="shared" ca="1" si="49"/>
        <v/>
      </c>
    </row>
    <row r="13" spans="1:54" ht="15.75">
      <c r="A13" s="149">
        <f t="shared" ca="1" si="0"/>
        <v>2</v>
      </c>
      <c r="B13" s="56" t="str">
        <f t="shared" ca="1" si="1"/>
        <v>Mitspieler 11</v>
      </c>
      <c r="C13" s="111">
        <f t="shared" ca="1" si="2"/>
        <v>299</v>
      </c>
      <c r="D13" s="101">
        <f t="shared" ca="1" si="3"/>
        <v>10</v>
      </c>
      <c r="E13" s="87">
        <f t="shared" ca="1" si="4"/>
        <v>1</v>
      </c>
      <c r="F13" s="112">
        <f t="shared" ca="1" si="5"/>
        <v>10.357142857142858</v>
      </c>
      <c r="G13" s="113">
        <f t="shared" ca="1" si="6"/>
        <v>299</v>
      </c>
      <c r="H13" s="101">
        <f t="shared" ca="1" si="7"/>
        <v>0</v>
      </c>
      <c r="I13" s="101">
        <f t="shared" ca="1" si="8"/>
        <v>0</v>
      </c>
      <c r="J13" s="114">
        <f t="shared" ca="1" si="9"/>
        <v>10.357142857142858</v>
      </c>
      <c r="K13" s="115" t="str">
        <f t="shared" ca="1" si="10"/>
        <v>Argentinien</v>
      </c>
      <c r="L13" s="116" t="str">
        <f t="shared" ca="1" si="11"/>
        <v>Frankreich</v>
      </c>
      <c r="M13" s="53" t="str">
        <f t="shared" ca="1" si="12"/>
        <v>Frankreich</v>
      </c>
      <c r="N13" s="53" t="str">
        <f t="shared" ca="1" si="13"/>
        <v>Spanien</v>
      </c>
      <c r="O13" s="53" t="str">
        <f t="shared" ca="1" si="14"/>
        <v>Mexiko</v>
      </c>
      <c r="P13" s="53" t="str">
        <f t="shared" ca="1" si="15"/>
        <v>Argentinien</v>
      </c>
      <c r="Q13" s="126"/>
      <c r="R13" s="150">
        <f t="shared" si="34"/>
        <v>12</v>
      </c>
      <c r="S13" s="150">
        <f t="shared" ca="1" si="16"/>
        <v>12</v>
      </c>
      <c r="T13" s="150">
        <f t="shared" ca="1" si="35"/>
        <v>9829</v>
      </c>
      <c r="U13" s="9">
        <f t="shared" si="36"/>
        <v>29</v>
      </c>
      <c r="V13" s="151">
        <f t="shared" ca="1" si="17"/>
        <v>2</v>
      </c>
      <c r="W13" s="276" t="s">
        <v>471</v>
      </c>
      <c r="X13" s="54">
        <f ca="1">IF(AL13="",Mitspieler!$AX$98,INT(RAND()*1000))</f>
        <v>299</v>
      </c>
      <c r="Y13" s="101">
        <v>10</v>
      </c>
      <c r="Z13" s="54">
        <f t="shared" ca="1" si="37"/>
        <v>1</v>
      </c>
      <c r="AA13" s="101">
        <f t="shared" ca="1" si="38"/>
        <v>10.357142857142858</v>
      </c>
      <c r="AB13" s="54">
        <f t="shared" ca="1" si="39"/>
        <v>299</v>
      </c>
      <c r="AC13" s="101">
        <f t="shared" ca="1" si="40"/>
        <v>0</v>
      </c>
      <c r="AD13" s="101">
        <f t="shared" ca="1" si="41"/>
        <v>0</v>
      </c>
      <c r="AE13" s="101">
        <f t="shared" ca="1" si="42"/>
        <v>10.357142857142858</v>
      </c>
      <c r="AF13" s="54" t="str">
        <f>IF(Mitspieler!H$94&gt;Mitspieler!J$94,Mitspieler!D$94,Mitspieler!F$94)</f>
        <v>Argentinien</v>
      </c>
      <c r="AG13" s="54" t="str">
        <f>IF(Mitspieler!H$94&gt;Mitspieler!J$94,Mitspieler!F$94,Mitspieler!D$94)</f>
        <v>Frankreich</v>
      </c>
      <c r="AH13" s="54" t="str">
        <f>Mitspieler!BD$89</f>
        <v>Frankreich</v>
      </c>
      <c r="AI13" s="54" t="str">
        <f>Mitspieler!BF$89</f>
        <v>Spanien</v>
      </c>
      <c r="AJ13" s="54" t="str">
        <f>Mitspieler!BD$90</f>
        <v>Mexiko</v>
      </c>
      <c r="AK13" s="54" t="str">
        <f>Mitspieler!BF$90</f>
        <v>Argentinien</v>
      </c>
      <c r="AL13" s="148"/>
      <c r="AM13" s="92">
        <f t="shared" ca="1" si="43"/>
        <v>0</v>
      </c>
      <c r="AN13" s="16">
        <f t="shared" si="44"/>
        <v>12</v>
      </c>
      <c r="AO13" s="2"/>
      <c r="AP13" s="2">
        <f t="shared" ca="1" si="22"/>
        <v>0</v>
      </c>
      <c r="AQ13" s="88">
        <f t="shared" ca="1" si="45"/>
        <v>0</v>
      </c>
      <c r="AR13" s="88">
        <f t="shared" ca="1" si="46"/>
        <v>0</v>
      </c>
      <c r="AS13" s="90">
        <f t="shared" ca="1" si="25"/>
        <v>0</v>
      </c>
      <c r="AT13" s="90">
        <f t="shared" ca="1" si="47"/>
        <v>0</v>
      </c>
      <c r="AU13" s="91">
        <f t="shared" ca="1" si="48"/>
        <v>0</v>
      </c>
      <c r="AV13" s="90">
        <f t="shared" ca="1" si="28"/>
        <v>2.0301221021717147E-15</v>
      </c>
      <c r="AW13" s="90" t="str">
        <f t="shared" ca="1" si="49"/>
        <v/>
      </c>
    </row>
    <row r="14" spans="1:54" ht="15.75">
      <c r="A14" s="149">
        <f t="shared" ca="1" si="0"/>
        <v>2</v>
      </c>
      <c r="B14" s="56" t="str">
        <f t="shared" ca="1" si="1"/>
        <v>Mitspieler 12</v>
      </c>
      <c r="C14" s="111">
        <f t="shared" ca="1" si="2"/>
        <v>299</v>
      </c>
      <c r="D14" s="101">
        <f t="shared" ca="1" si="3"/>
        <v>10</v>
      </c>
      <c r="E14" s="87">
        <f t="shared" ca="1" si="4"/>
        <v>1</v>
      </c>
      <c r="F14" s="112">
        <f t="shared" ca="1" si="5"/>
        <v>10.357142857142858</v>
      </c>
      <c r="G14" s="113">
        <f t="shared" ca="1" si="6"/>
        <v>299</v>
      </c>
      <c r="H14" s="101">
        <f t="shared" ca="1" si="7"/>
        <v>0</v>
      </c>
      <c r="I14" s="101">
        <f t="shared" ca="1" si="8"/>
        <v>0</v>
      </c>
      <c r="J14" s="114">
        <f t="shared" ca="1" si="9"/>
        <v>10.357142857142858</v>
      </c>
      <c r="K14" s="115" t="str">
        <f t="shared" ca="1" si="10"/>
        <v>Argentinien</v>
      </c>
      <c r="L14" s="116" t="str">
        <f t="shared" ca="1" si="11"/>
        <v>Frankreich</v>
      </c>
      <c r="M14" s="53" t="str">
        <f t="shared" ca="1" si="12"/>
        <v>Frankreich</v>
      </c>
      <c r="N14" s="53" t="str">
        <f t="shared" ca="1" si="13"/>
        <v>Spanien</v>
      </c>
      <c r="O14" s="53" t="str">
        <f t="shared" ca="1" si="14"/>
        <v>Mexiko</v>
      </c>
      <c r="P14" s="53" t="str">
        <f t="shared" ca="1" si="15"/>
        <v>Argentinien</v>
      </c>
      <c r="Q14" s="126"/>
      <c r="R14" s="150">
        <f t="shared" si="34"/>
        <v>13</v>
      </c>
      <c r="S14" s="150">
        <f t="shared" ca="1" si="16"/>
        <v>13</v>
      </c>
      <c r="T14" s="150">
        <f t="shared" ca="1" si="35"/>
        <v>9828</v>
      </c>
      <c r="U14" s="9">
        <f t="shared" si="36"/>
        <v>28</v>
      </c>
      <c r="V14" s="151">
        <f t="shared" ca="1" si="17"/>
        <v>2</v>
      </c>
      <c r="W14" s="276" t="s">
        <v>472</v>
      </c>
      <c r="X14" s="54">
        <f ca="1">IF(AL14="",Mitspieler!$AX$98,INT(RAND()*1000))</f>
        <v>299</v>
      </c>
      <c r="Y14" s="101">
        <v>10</v>
      </c>
      <c r="Z14" s="54">
        <f t="shared" ca="1" si="37"/>
        <v>1</v>
      </c>
      <c r="AA14" s="101">
        <f t="shared" ca="1" si="38"/>
        <v>10.357142857142858</v>
      </c>
      <c r="AB14" s="54">
        <f t="shared" ca="1" si="39"/>
        <v>299</v>
      </c>
      <c r="AC14" s="101">
        <f t="shared" ca="1" si="40"/>
        <v>0</v>
      </c>
      <c r="AD14" s="101">
        <f t="shared" ca="1" si="41"/>
        <v>0</v>
      </c>
      <c r="AE14" s="101">
        <f t="shared" ca="1" si="42"/>
        <v>10.357142857142858</v>
      </c>
      <c r="AF14" s="54" t="str">
        <f>IF(Mitspieler!H$94&gt;Mitspieler!J$94,Mitspieler!D$94,Mitspieler!F$94)</f>
        <v>Argentinien</v>
      </c>
      <c r="AG14" s="54" t="str">
        <f>IF(Mitspieler!H$94&gt;Mitspieler!J$94,Mitspieler!F$94,Mitspieler!D$94)</f>
        <v>Frankreich</v>
      </c>
      <c r="AH14" s="54" t="str">
        <f>Mitspieler!BD$89</f>
        <v>Frankreich</v>
      </c>
      <c r="AI14" s="54" t="str">
        <f>Mitspieler!BF$89</f>
        <v>Spanien</v>
      </c>
      <c r="AJ14" s="54" t="str">
        <f>Mitspieler!BD$90</f>
        <v>Mexiko</v>
      </c>
      <c r="AK14" s="54" t="str">
        <f>Mitspieler!BF$90</f>
        <v>Argentinien</v>
      </c>
      <c r="AL14" s="148"/>
      <c r="AM14" s="92">
        <f t="shared" ca="1" si="43"/>
        <v>0</v>
      </c>
      <c r="AN14" s="16">
        <f t="shared" si="44"/>
        <v>13</v>
      </c>
      <c r="AO14" s="2"/>
      <c r="AP14" s="2">
        <f t="shared" ca="1" si="22"/>
        <v>0</v>
      </c>
      <c r="AQ14" s="88">
        <f t="shared" ca="1" si="45"/>
        <v>0</v>
      </c>
      <c r="AR14" s="88">
        <f t="shared" ca="1" si="46"/>
        <v>0</v>
      </c>
      <c r="AS14" s="90">
        <f t="shared" ca="1" si="25"/>
        <v>0</v>
      </c>
      <c r="AT14" s="90">
        <f t="shared" ca="1" si="47"/>
        <v>0</v>
      </c>
      <c r="AU14" s="91">
        <f t="shared" ca="1" si="48"/>
        <v>0</v>
      </c>
      <c r="AV14" s="90">
        <f t="shared" ca="1" si="28"/>
        <v>2.0301221021717147E-15</v>
      </c>
      <c r="AW14" s="90" t="str">
        <f t="shared" ca="1" si="49"/>
        <v/>
      </c>
    </row>
    <row r="15" spans="1:54" ht="15.75">
      <c r="A15" s="149">
        <f t="shared" ca="1" si="0"/>
        <v>2</v>
      </c>
      <c r="B15" s="56" t="str">
        <f t="shared" ca="1" si="1"/>
        <v>Mitspieler 13</v>
      </c>
      <c r="C15" s="111">
        <f t="shared" ca="1" si="2"/>
        <v>299</v>
      </c>
      <c r="D15" s="101">
        <f t="shared" ca="1" si="3"/>
        <v>10</v>
      </c>
      <c r="E15" s="87">
        <f t="shared" ca="1" si="4"/>
        <v>1</v>
      </c>
      <c r="F15" s="112">
        <f t="shared" ca="1" si="5"/>
        <v>10.357142857142858</v>
      </c>
      <c r="G15" s="113">
        <f t="shared" ca="1" si="6"/>
        <v>299</v>
      </c>
      <c r="H15" s="101">
        <f t="shared" ca="1" si="7"/>
        <v>0</v>
      </c>
      <c r="I15" s="101">
        <f t="shared" ca="1" si="8"/>
        <v>0</v>
      </c>
      <c r="J15" s="114">
        <f t="shared" ca="1" si="9"/>
        <v>10.357142857142858</v>
      </c>
      <c r="K15" s="115" t="str">
        <f t="shared" ca="1" si="10"/>
        <v>Argentinien</v>
      </c>
      <c r="L15" s="116" t="str">
        <f t="shared" ca="1" si="11"/>
        <v>Frankreich</v>
      </c>
      <c r="M15" s="53" t="str">
        <f t="shared" ca="1" si="12"/>
        <v>Frankreich</v>
      </c>
      <c r="N15" s="53" t="str">
        <f t="shared" ca="1" si="13"/>
        <v>Spanien</v>
      </c>
      <c r="O15" s="53" t="str">
        <f t="shared" ca="1" si="14"/>
        <v>Mexiko</v>
      </c>
      <c r="P15" s="53" t="str">
        <f t="shared" ca="1" si="15"/>
        <v>Argentinien</v>
      </c>
      <c r="Q15" s="126"/>
      <c r="R15" s="150">
        <f t="shared" si="34"/>
        <v>14</v>
      </c>
      <c r="S15" s="150">
        <f t="shared" ca="1" si="16"/>
        <v>14</v>
      </c>
      <c r="T15" s="150">
        <f t="shared" ca="1" si="35"/>
        <v>9827</v>
      </c>
      <c r="U15" s="9">
        <f t="shared" si="36"/>
        <v>27</v>
      </c>
      <c r="V15" s="151">
        <f t="shared" ca="1" si="17"/>
        <v>2</v>
      </c>
      <c r="W15" s="276" t="s">
        <v>473</v>
      </c>
      <c r="X15" s="54">
        <f ca="1">IF(AL15="",Mitspieler!$AX$98,INT(RAND()*1000))</f>
        <v>299</v>
      </c>
      <c r="Y15" s="101">
        <v>10</v>
      </c>
      <c r="Z15" s="54">
        <f t="shared" ca="1" si="37"/>
        <v>1</v>
      </c>
      <c r="AA15" s="101">
        <f t="shared" ca="1" si="38"/>
        <v>10.357142857142858</v>
      </c>
      <c r="AB15" s="54">
        <f t="shared" ca="1" si="39"/>
        <v>299</v>
      </c>
      <c r="AC15" s="101">
        <f t="shared" ca="1" si="40"/>
        <v>0</v>
      </c>
      <c r="AD15" s="101">
        <f t="shared" ca="1" si="41"/>
        <v>0</v>
      </c>
      <c r="AE15" s="101">
        <f t="shared" ca="1" si="42"/>
        <v>10.357142857142858</v>
      </c>
      <c r="AF15" s="54" t="str">
        <f>IF(Mitspieler!H$94&gt;Mitspieler!J$94,Mitspieler!D$94,Mitspieler!F$94)</f>
        <v>Argentinien</v>
      </c>
      <c r="AG15" s="54" t="str">
        <f>IF(Mitspieler!H$94&gt;Mitspieler!J$94,Mitspieler!F$94,Mitspieler!D$94)</f>
        <v>Frankreich</v>
      </c>
      <c r="AH15" s="54" t="str">
        <f>Mitspieler!BD$89</f>
        <v>Frankreich</v>
      </c>
      <c r="AI15" s="54" t="str">
        <f>Mitspieler!BF$89</f>
        <v>Spanien</v>
      </c>
      <c r="AJ15" s="54" t="str">
        <f>Mitspieler!BD$90</f>
        <v>Mexiko</v>
      </c>
      <c r="AK15" s="54" t="str">
        <f>Mitspieler!BF$90</f>
        <v>Argentinien</v>
      </c>
      <c r="AL15" s="148"/>
      <c r="AM15" s="92">
        <f t="shared" ca="1" si="43"/>
        <v>0</v>
      </c>
      <c r="AN15" s="16">
        <f t="shared" si="44"/>
        <v>14</v>
      </c>
      <c r="AO15" s="2"/>
      <c r="AP15" s="2">
        <f t="shared" ca="1" si="22"/>
        <v>0</v>
      </c>
      <c r="AQ15" s="88">
        <f t="shared" ca="1" si="45"/>
        <v>0</v>
      </c>
      <c r="AR15" s="88">
        <f t="shared" ca="1" si="46"/>
        <v>0</v>
      </c>
      <c r="AS15" s="90">
        <f t="shared" ca="1" si="25"/>
        <v>0</v>
      </c>
      <c r="AT15" s="90">
        <f t="shared" ca="1" si="47"/>
        <v>0</v>
      </c>
      <c r="AU15" s="91">
        <f t="shared" ca="1" si="48"/>
        <v>0</v>
      </c>
      <c r="AV15" s="90">
        <f t="shared" ca="1" si="28"/>
        <v>2.0301221021717147E-15</v>
      </c>
      <c r="AW15" s="90" t="str">
        <f t="shared" ca="1" si="49"/>
        <v/>
      </c>
    </row>
    <row r="16" spans="1:54" ht="15.75">
      <c r="A16" s="149">
        <f t="shared" ca="1" si="0"/>
        <v>2</v>
      </c>
      <c r="B16" s="56" t="str">
        <f t="shared" ca="1" si="1"/>
        <v>Mitspieler 14</v>
      </c>
      <c r="C16" s="111">
        <f t="shared" ca="1" si="2"/>
        <v>299</v>
      </c>
      <c r="D16" s="101">
        <f t="shared" ca="1" si="3"/>
        <v>10</v>
      </c>
      <c r="E16" s="87">
        <f t="shared" ca="1" si="4"/>
        <v>1</v>
      </c>
      <c r="F16" s="112">
        <f t="shared" ca="1" si="5"/>
        <v>10.357142857142858</v>
      </c>
      <c r="G16" s="113">
        <f t="shared" ca="1" si="6"/>
        <v>299</v>
      </c>
      <c r="H16" s="101">
        <f t="shared" ca="1" si="7"/>
        <v>0</v>
      </c>
      <c r="I16" s="101">
        <f t="shared" ca="1" si="8"/>
        <v>0</v>
      </c>
      <c r="J16" s="114">
        <f t="shared" ca="1" si="9"/>
        <v>10.357142857142858</v>
      </c>
      <c r="K16" s="115" t="str">
        <f t="shared" ca="1" si="10"/>
        <v>Argentinien</v>
      </c>
      <c r="L16" s="116" t="str">
        <f t="shared" ca="1" si="11"/>
        <v>Frankreich</v>
      </c>
      <c r="M16" s="53" t="str">
        <f t="shared" ca="1" si="12"/>
        <v>Frankreich</v>
      </c>
      <c r="N16" s="53" t="str">
        <f t="shared" ca="1" si="13"/>
        <v>Spanien</v>
      </c>
      <c r="O16" s="53" t="str">
        <f t="shared" ca="1" si="14"/>
        <v>Mexiko</v>
      </c>
      <c r="P16" s="53" t="str">
        <f t="shared" ca="1" si="15"/>
        <v>Argentinien</v>
      </c>
      <c r="Q16" s="126"/>
      <c r="R16" s="150">
        <f t="shared" si="34"/>
        <v>15</v>
      </c>
      <c r="S16" s="150">
        <f t="shared" ca="1" si="16"/>
        <v>15</v>
      </c>
      <c r="T16" s="150">
        <f t="shared" ca="1" si="35"/>
        <v>9826</v>
      </c>
      <c r="U16" s="9">
        <f t="shared" si="36"/>
        <v>26</v>
      </c>
      <c r="V16" s="151">
        <f t="shared" ca="1" si="17"/>
        <v>2</v>
      </c>
      <c r="W16" s="276" t="s">
        <v>474</v>
      </c>
      <c r="X16" s="54">
        <f ca="1">IF(AL16="",Mitspieler!$AX$98,INT(RAND()*1000))</f>
        <v>299</v>
      </c>
      <c r="Y16" s="101">
        <v>10</v>
      </c>
      <c r="Z16" s="54">
        <f t="shared" ca="1" si="37"/>
        <v>1</v>
      </c>
      <c r="AA16" s="101">
        <f t="shared" ca="1" si="38"/>
        <v>10.357142857142858</v>
      </c>
      <c r="AB16" s="54">
        <f t="shared" ca="1" si="39"/>
        <v>299</v>
      </c>
      <c r="AC16" s="101">
        <f t="shared" ca="1" si="40"/>
        <v>0</v>
      </c>
      <c r="AD16" s="101">
        <f t="shared" ca="1" si="41"/>
        <v>0</v>
      </c>
      <c r="AE16" s="101">
        <f t="shared" ca="1" si="42"/>
        <v>10.357142857142858</v>
      </c>
      <c r="AF16" s="54" t="str">
        <f>IF(Mitspieler!H$94&gt;Mitspieler!J$94,Mitspieler!D$94,Mitspieler!F$94)</f>
        <v>Argentinien</v>
      </c>
      <c r="AG16" s="54" t="str">
        <f>IF(Mitspieler!H$94&gt;Mitspieler!J$94,Mitspieler!F$94,Mitspieler!D$94)</f>
        <v>Frankreich</v>
      </c>
      <c r="AH16" s="54" t="str">
        <f>Mitspieler!BD$89</f>
        <v>Frankreich</v>
      </c>
      <c r="AI16" s="54" t="str">
        <f>Mitspieler!BF$89</f>
        <v>Spanien</v>
      </c>
      <c r="AJ16" s="54" t="str">
        <f>Mitspieler!BD$90</f>
        <v>Mexiko</v>
      </c>
      <c r="AK16" s="54" t="str">
        <f>Mitspieler!BF$90</f>
        <v>Argentinien</v>
      </c>
      <c r="AL16" s="148"/>
      <c r="AM16" s="92">
        <f t="shared" ca="1" si="43"/>
        <v>0</v>
      </c>
      <c r="AN16" s="16">
        <f t="shared" si="44"/>
        <v>15</v>
      </c>
      <c r="AO16" s="2"/>
      <c r="AP16" s="2">
        <f t="shared" ca="1" si="22"/>
        <v>0</v>
      </c>
      <c r="AQ16" s="88">
        <f t="shared" ca="1" si="45"/>
        <v>0</v>
      </c>
      <c r="AR16" s="88">
        <f t="shared" ca="1" si="46"/>
        <v>0</v>
      </c>
      <c r="AS16" s="90">
        <f t="shared" ca="1" si="25"/>
        <v>0</v>
      </c>
      <c r="AT16" s="90">
        <f t="shared" ca="1" si="47"/>
        <v>0</v>
      </c>
      <c r="AU16" s="91">
        <f t="shared" ca="1" si="48"/>
        <v>0</v>
      </c>
      <c r="AV16" s="90">
        <f t="shared" ca="1" si="28"/>
        <v>2.0301221021717147E-15</v>
      </c>
      <c r="AW16" s="90" t="str">
        <f t="shared" ca="1" si="49"/>
        <v/>
      </c>
    </row>
    <row r="17" spans="1:49" ht="15.75">
      <c r="A17" s="149">
        <f t="shared" ca="1" si="0"/>
        <v>2</v>
      </c>
      <c r="B17" s="56" t="str">
        <f t="shared" ca="1" si="1"/>
        <v>Mitspieler 15</v>
      </c>
      <c r="C17" s="111">
        <f t="shared" ca="1" si="2"/>
        <v>299</v>
      </c>
      <c r="D17" s="101">
        <f t="shared" ca="1" si="3"/>
        <v>10</v>
      </c>
      <c r="E17" s="87">
        <f t="shared" ca="1" si="4"/>
        <v>1</v>
      </c>
      <c r="F17" s="112">
        <f t="shared" ca="1" si="5"/>
        <v>10.357142857142858</v>
      </c>
      <c r="G17" s="113">
        <f t="shared" ca="1" si="6"/>
        <v>299</v>
      </c>
      <c r="H17" s="101">
        <f t="shared" ca="1" si="7"/>
        <v>0</v>
      </c>
      <c r="I17" s="101">
        <f t="shared" ca="1" si="8"/>
        <v>0</v>
      </c>
      <c r="J17" s="114">
        <f t="shared" ca="1" si="9"/>
        <v>10.357142857142858</v>
      </c>
      <c r="K17" s="115" t="str">
        <f t="shared" ca="1" si="10"/>
        <v>Argentinien</v>
      </c>
      <c r="L17" s="116" t="str">
        <f t="shared" ca="1" si="11"/>
        <v>Frankreich</v>
      </c>
      <c r="M17" s="53" t="str">
        <f t="shared" ca="1" si="12"/>
        <v>Frankreich</v>
      </c>
      <c r="N17" s="53" t="str">
        <f t="shared" ca="1" si="13"/>
        <v>Spanien</v>
      </c>
      <c r="O17" s="53" t="str">
        <f t="shared" ca="1" si="14"/>
        <v>Mexiko</v>
      </c>
      <c r="P17" s="53" t="str">
        <f t="shared" ca="1" si="15"/>
        <v>Argentinien</v>
      </c>
      <c r="Q17" s="126"/>
      <c r="R17" s="150">
        <f t="shared" si="34"/>
        <v>16</v>
      </c>
      <c r="S17" s="150">
        <f t="shared" ca="1" si="16"/>
        <v>16</v>
      </c>
      <c r="T17" s="150">
        <f t="shared" ca="1" si="35"/>
        <v>9825</v>
      </c>
      <c r="U17" s="9">
        <f t="shared" si="36"/>
        <v>25</v>
      </c>
      <c r="V17" s="151">
        <f t="shared" ca="1" si="17"/>
        <v>2</v>
      </c>
      <c r="W17" s="276" t="s">
        <v>475</v>
      </c>
      <c r="X17" s="54">
        <f ca="1">IF(AL17="",Mitspieler!$AX$98,INT(RAND()*1000))</f>
        <v>299</v>
      </c>
      <c r="Y17" s="101">
        <v>10</v>
      </c>
      <c r="Z17" s="54">
        <f t="shared" ca="1" si="37"/>
        <v>1</v>
      </c>
      <c r="AA17" s="101">
        <f t="shared" ca="1" si="38"/>
        <v>10.357142857142858</v>
      </c>
      <c r="AB17" s="54">
        <f t="shared" ca="1" si="39"/>
        <v>299</v>
      </c>
      <c r="AC17" s="101">
        <f t="shared" ca="1" si="40"/>
        <v>0</v>
      </c>
      <c r="AD17" s="101">
        <f t="shared" ca="1" si="41"/>
        <v>0</v>
      </c>
      <c r="AE17" s="101">
        <f t="shared" ca="1" si="42"/>
        <v>10.357142857142858</v>
      </c>
      <c r="AF17" s="54" t="str">
        <f>IF(Mitspieler!H$94&gt;Mitspieler!J$94,Mitspieler!D$94,Mitspieler!F$94)</f>
        <v>Argentinien</v>
      </c>
      <c r="AG17" s="54" t="str">
        <f>IF(Mitspieler!H$94&gt;Mitspieler!J$94,Mitspieler!F$94,Mitspieler!D$94)</f>
        <v>Frankreich</v>
      </c>
      <c r="AH17" s="54" t="str">
        <f>Mitspieler!BD$89</f>
        <v>Frankreich</v>
      </c>
      <c r="AI17" s="54" t="str">
        <f>Mitspieler!BF$89</f>
        <v>Spanien</v>
      </c>
      <c r="AJ17" s="54" t="str">
        <f>Mitspieler!BD$90</f>
        <v>Mexiko</v>
      </c>
      <c r="AK17" s="54" t="str">
        <f>Mitspieler!BF$90</f>
        <v>Argentinien</v>
      </c>
      <c r="AL17" s="148"/>
      <c r="AM17" s="92">
        <f t="shared" ca="1" si="43"/>
        <v>0</v>
      </c>
      <c r="AN17" s="16">
        <f t="shared" si="44"/>
        <v>16</v>
      </c>
      <c r="AO17" s="2"/>
      <c r="AP17" s="2">
        <f t="shared" ca="1" si="22"/>
        <v>0</v>
      </c>
      <c r="AQ17" s="88">
        <f t="shared" ca="1" si="45"/>
        <v>0</v>
      </c>
      <c r="AR17" s="88">
        <f t="shared" ca="1" si="46"/>
        <v>0</v>
      </c>
      <c r="AS17" s="90">
        <f t="shared" ca="1" si="25"/>
        <v>0</v>
      </c>
      <c r="AT17" s="90">
        <f t="shared" ca="1" si="47"/>
        <v>0</v>
      </c>
      <c r="AU17" s="91">
        <f t="shared" ca="1" si="48"/>
        <v>0</v>
      </c>
      <c r="AV17" s="90">
        <f t="shared" ca="1" si="28"/>
        <v>2.0301221021717147E-15</v>
      </c>
      <c r="AW17" s="90" t="str">
        <f t="shared" ca="1" si="49"/>
        <v/>
      </c>
    </row>
    <row r="18" spans="1:49" ht="15.75">
      <c r="A18" s="149">
        <f t="shared" ca="1" si="0"/>
        <v>2</v>
      </c>
      <c r="B18" s="56" t="str">
        <f t="shared" ca="1" si="1"/>
        <v>Mitspieler 16</v>
      </c>
      <c r="C18" s="111">
        <f t="shared" ca="1" si="2"/>
        <v>299</v>
      </c>
      <c r="D18" s="101">
        <f t="shared" ca="1" si="3"/>
        <v>10</v>
      </c>
      <c r="E18" s="87">
        <f t="shared" ca="1" si="4"/>
        <v>1</v>
      </c>
      <c r="F18" s="112">
        <f t="shared" ca="1" si="5"/>
        <v>10.357142857142858</v>
      </c>
      <c r="G18" s="113">
        <f t="shared" ca="1" si="6"/>
        <v>299</v>
      </c>
      <c r="H18" s="101">
        <f t="shared" ca="1" si="7"/>
        <v>0</v>
      </c>
      <c r="I18" s="101">
        <f t="shared" ca="1" si="8"/>
        <v>0</v>
      </c>
      <c r="J18" s="114">
        <f t="shared" ca="1" si="9"/>
        <v>10.357142857142858</v>
      </c>
      <c r="K18" s="115" t="str">
        <f t="shared" ca="1" si="10"/>
        <v>Argentinien</v>
      </c>
      <c r="L18" s="116" t="str">
        <f t="shared" ca="1" si="11"/>
        <v>Frankreich</v>
      </c>
      <c r="M18" s="53" t="str">
        <f t="shared" ca="1" si="12"/>
        <v>Frankreich</v>
      </c>
      <c r="N18" s="53" t="str">
        <f t="shared" ca="1" si="13"/>
        <v>Spanien</v>
      </c>
      <c r="O18" s="53" t="str">
        <f t="shared" ca="1" si="14"/>
        <v>Mexiko</v>
      </c>
      <c r="P18" s="53" t="str">
        <f t="shared" ca="1" si="15"/>
        <v>Argentinien</v>
      </c>
      <c r="Q18" s="126"/>
      <c r="R18" s="150">
        <f t="shared" si="34"/>
        <v>17</v>
      </c>
      <c r="S18" s="150">
        <f t="shared" ca="1" si="16"/>
        <v>17</v>
      </c>
      <c r="T18" s="150">
        <f t="shared" ca="1" si="35"/>
        <v>9824</v>
      </c>
      <c r="U18" s="9">
        <f t="shared" si="36"/>
        <v>24</v>
      </c>
      <c r="V18" s="151">
        <f t="shared" ca="1" si="17"/>
        <v>2</v>
      </c>
      <c r="W18" s="276" t="s">
        <v>476</v>
      </c>
      <c r="X18" s="54">
        <f ca="1">IF(AL18="",Mitspieler!$AX$98,INT(RAND()*1000))</f>
        <v>299</v>
      </c>
      <c r="Y18" s="101">
        <v>10</v>
      </c>
      <c r="Z18" s="54">
        <f t="shared" ca="1" si="37"/>
        <v>1</v>
      </c>
      <c r="AA18" s="101">
        <f t="shared" ca="1" si="38"/>
        <v>10.357142857142858</v>
      </c>
      <c r="AB18" s="54">
        <f t="shared" ca="1" si="39"/>
        <v>299</v>
      </c>
      <c r="AC18" s="101">
        <f t="shared" ca="1" si="40"/>
        <v>0</v>
      </c>
      <c r="AD18" s="101">
        <f t="shared" ca="1" si="41"/>
        <v>0</v>
      </c>
      <c r="AE18" s="101">
        <f t="shared" ca="1" si="42"/>
        <v>10.357142857142858</v>
      </c>
      <c r="AF18" s="54" t="str">
        <f>IF(Mitspieler!H$94&gt;Mitspieler!J$94,Mitspieler!D$94,Mitspieler!F$94)</f>
        <v>Argentinien</v>
      </c>
      <c r="AG18" s="54" t="str">
        <f>IF(Mitspieler!H$94&gt;Mitspieler!J$94,Mitspieler!F$94,Mitspieler!D$94)</f>
        <v>Frankreich</v>
      </c>
      <c r="AH18" s="54" t="str">
        <f>Mitspieler!BD$89</f>
        <v>Frankreich</v>
      </c>
      <c r="AI18" s="54" t="str">
        <f>Mitspieler!BF$89</f>
        <v>Spanien</v>
      </c>
      <c r="AJ18" s="54" t="str">
        <f>Mitspieler!BD$90</f>
        <v>Mexiko</v>
      </c>
      <c r="AK18" s="54" t="str">
        <f>Mitspieler!BF$90</f>
        <v>Argentinien</v>
      </c>
      <c r="AL18" s="148"/>
      <c r="AM18" s="92">
        <f t="shared" ca="1" si="43"/>
        <v>0</v>
      </c>
      <c r="AN18" s="16">
        <f t="shared" si="44"/>
        <v>17</v>
      </c>
      <c r="AO18" s="2"/>
      <c r="AP18" s="2">
        <f t="shared" ca="1" si="22"/>
        <v>0</v>
      </c>
      <c r="AQ18" s="88">
        <f t="shared" ca="1" si="45"/>
        <v>0</v>
      </c>
      <c r="AR18" s="88">
        <f t="shared" ca="1" si="46"/>
        <v>0</v>
      </c>
      <c r="AS18" s="90">
        <f t="shared" ca="1" si="25"/>
        <v>0</v>
      </c>
      <c r="AT18" s="90">
        <f t="shared" ca="1" si="47"/>
        <v>0</v>
      </c>
      <c r="AU18" s="91">
        <f t="shared" ca="1" si="48"/>
        <v>0</v>
      </c>
      <c r="AV18" s="90">
        <f t="shared" ca="1" si="28"/>
        <v>2.0301221021717147E-15</v>
      </c>
      <c r="AW18" s="90" t="str">
        <f t="shared" ca="1" si="49"/>
        <v/>
      </c>
    </row>
    <row r="19" spans="1:49" ht="15.75">
      <c r="A19" s="149">
        <f t="shared" ca="1" si="0"/>
        <v>2</v>
      </c>
      <c r="B19" s="56" t="str">
        <f t="shared" ca="1" si="1"/>
        <v>Mitspieler 17</v>
      </c>
      <c r="C19" s="111">
        <f t="shared" ca="1" si="2"/>
        <v>299</v>
      </c>
      <c r="D19" s="101">
        <f t="shared" ca="1" si="3"/>
        <v>10</v>
      </c>
      <c r="E19" s="87">
        <f t="shared" ca="1" si="4"/>
        <v>1</v>
      </c>
      <c r="F19" s="112">
        <f t="shared" ca="1" si="5"/>
        <v>10.357142857142858</v>
      </c>
      <c r="G19" s="113">
        <f t="shared" ca="1" si="6"/>
        <v>299</v>
      </c>
      <c r="H19" s="101">
        <f t="shared" ca="1" si="7"/>
        <v>0</v>
      </c>
      <c r="I19" s="101">
        <f t="shared" ca="1" si="8"/>
        <v>0</v>
      </c>
      <c r="J19" s="114">
        <f t="shared" ca="1" si="9"/>
        <v>10.357142857142858</v>
      </c>
      <c r="K19" s="115" t="str">
        <f t="shared" ca="1" si="10"/>
        <v>Argentinien</v>
      </c>
      <c r="L19" s="116" t="str">
        <f t="shared" ca="1" si="11"/>
        <v>Frankreich</v>
      </c>
      <c r="M19" s="53" t="str">
        <f t="shared" ca="1" si="12"/>
        <v>Frankreich</v>
      </c>
      <c r="N19" s="53" t="str">
        <f t="shared" ca="1" si="13"/>
        <v>Spanien</v>
      </c>
      <c r="O19" s="53" t="str">
        <f t="shared" ca="1" si="14"/>
        <v>Mexiko</v>
      </c>
      <c r="P19" s="53" t="str">
        <f t="shared" ca="1" si="15"/>
        <v>Argentinien</v>
      </c>
      <c r="Q19" s="126"/>
      <c r="R19" s="150">
        <f t="shared" si="34"/>
        <v>18</v>
      </c>
      <c r="S19" s="150">
        <f t="shared" ca="1" si="16"/>
        <v>18</v>
      </c>
      <c r="T19" s="150">
        <f t="shared" ca="1" si="35"/>
        <v>9823</v>
      </c>
      <c r="U19" s="9">
        <f t="shared" si="36"/>
        <v>23</v>
      </c>
      <c r="V19" s="151">
        <f t="shared" ca="1" si="17"/>
        <v>2</v>
      </c>
      <c r="W19" s="276" t="s">
        <v>477</v>
      </c>
      <c r="X19" s="54">
        <f ca="1">IF(AL19="",Mitspieler!$AX$98,INT(RAND()*1000))</f>
        <v>299</v>
      </c>
      <c r="Y19" s="101">
        <v>10</v>
      </c>
      <c r="Z19" s="54">
        <f t="shared" ca="1" si="37"/>
        <v>1</v>
      </c>
      <c r="AA19" s="101">
        <f t="shared" ca="1" si="38"/>
        <v>10.357142857142858</v>
      </c>
      <c r="AB19" s="54">
        <f t="shared" ca="1" si="39"/>
        <v>299</v>
      </c>
      <c r="AC19" s="101">
        <f t="shared" ca="1" si="40"/>
        <v>0</v>
      </c>
      <c r="AD19" s="101">
        <f t="shared" ca="1" si="41"/>
        <v>0</v>
      </c>
      <c r="AE19" s="101">
        <f t="shared" ca="1" si="42"/>
        <v>10.357142857142858</v>
      </c>
      <c r="AF19" s="54" t="str">
        <f>IF(Mitspieler!H$94&gt;Mitspieler!J$94,Mitspieler!D$94,Mitspieler!F$94)</f>
        <v>Argentinien</v>
      </c>
      <c r="AG19" s="54" t="str">
        <f>IF(Mitspieler!H$94&gt;Mitspieler!J$94,Mitspieler!F$94,Mitspieler!D$94)</f>
        <v>Frankreich</v>
      </c>
      <c r="AH19" s="54" t="str">
        <f>Mitspieler!BD$89</f>
        <v>Frankreich</v>
      </c>
      <c r="AI19" s="54" t="str">
        <f>Mitspieler!BF$89</f>
        <v>Spanien</v>
      </c>
      <c r="AJ19" s="54" t="str">
        <f>Mitspieler!BD$90</f>
        <v>Mexiko</v>
      </c>
      <c r="AK19" s="54" t="str">
        <f>Mitspieler!BF$90</f>
        <v>Argentinien</v>
      </c>
      <c r="AL19" s="148"/>
      <c r="AM19" s="92">
        <f t="shared" ca="1" si="43"/>
        <v>0</v>
      </c>
      <c r="AN19" s="16">
        <f t="shared" si="44"/>
        <v>18</v>
      </c>
      <c r="AO19" s="2"/>
      <c r="AP19" s="2">
        <f t="shared" ca="1" si="22"/>
        <v>0</v>
      </c>
      <c r="AQ19" s="88">
        <f t="shared" ca="1" si="45"/>
        <v>0</v>
      </c>
      <c r="AR19" s="88">
        <f t="shared" ca="1" si="46"/>
        <v>0</v>
      </c>
      <c r="AS19" s="90">
        <f t="shared" ca="1" si="25"/>
        <v>0</v>
      </c>
      <c r="AT19" s="90">
        <f t="shared" ca="1" si="47"/>
        <v>0</v>
      </c>
      <c r="AU19" s="91">
        <f t="shared" ca="1" si="48"/>
        <v>0</v>
      </c>
      <c r="AV19" s="90">
        <f t="shared" ca="1" si="28"/>
        <v>2.0301221021717147E-15</v>
      </c>
      <c r="AW19" s="90" t="str">
        <f t="shared" ca="1" si="49"/>
        <v/>
      </c>
    </row>
    <row r="20" spans="1:49" ht="15.75">
      <c r="A20" s="149">
        <f t="shared" ca="1" si="0"/>
        <v>2</v>
      </c>
      <c r="B20" s="56" t="str">
        <f t="shared" ca="1" si="1"/>
        <v>Mitspieler 18</v>
      </c>
      <c r="C20" s="111">
        <f t="shared" ca="1" si="2"/>
        <v>299</v>
      </c>
      <c r="D20" s="101">
        <f t="shared" ca="1" si="3"/>
        <v>10</v>
      </c>
      <c r="E20" s="87">
        <f t="shared" ca="1" si="4"/>
        <v>1</v>
      </c>
      <c r="F20" s="112">
        <f t="shared" ca="1" si="5"/>
        <v>10.357142857142858</v>
      </c>
      <c r="G20" s="113">
        <f t="shared" ca="1" si="6"/>
        <v>299</v>
      </c>
      <c r="H20" s="101">
        <f t="shared" ca="1" si="7"/>
        <v>0</v>
      </c>
      <c r="I20" s="101">
        <f t="shared" ca="1" si="8"/>
        <v>0</v>
      </c>
      <c r="J20" s="114">
        <f t="shared" ca="1" si="9"/>
        <v>10.357142857142858</v>
      </c>
      <c r="K20" s="115" t="str">
        <f t="shared" ca="1" si="10"/>
        <v>Argentinien</v>
      </c>
      <c r="L20" s="116" t="str">
        <f t="shared" ca="1" si="11"/>
        <v>Frankreich</v>
      </c>
      <c r="M20" s="53" t="str">
        <f t="shared" ca="1" si="12"/>
        <v>Frankreich</v>
      </c>
      <c r="N20" s="53" t="str">
        <f t="shared" ca="1" si="13"/>
        <v>Spanien</v>
      </c>
      <c r="O20" s="53" t="str">
        <f t="shared" ca="1" si="14"/>
        <v>Mexiko</v>
      </c>
      <c r="P20" s="53" t="str">
        <f t="shared" ca="1" si="15"/>
        <v>Argentinien</v>
      </c>
      <c r="Q20" s="126"/>
      <c r="R20" s="150">
        <f t="shared" si="34"/>
        <v>19</v>
      </c>
      <c r="S20" s="150">
        <f t="shared" ca="1" si="16"/>
        <v>19</v>
      </c>
      <c r="T20" s="150">
        <f t="shared" ca="1" si="35"/>
        <v>9822</v>
      </c>
      <c r="U20" s="9">
        <f t="shared" si="36"/>
        <v>22</v>
      </c>
      <c r="V20" s="151">
        <f t="shared" ca="1" si="17"/>
        <v>2</v>
      </c>
      <c r="W20" s="276" t="s">
        <v>478</v>
      </c>
      <c r="X20" s="54">
        <f ca="1">IF(AL20="",Mitspieler!$AX$98,INT(RAND()*1000))</f>
        <v>299</v>
      </c>
      <c r="Y20" s="101">
        <v>10</v>
      </c>
      <c r="Z20" s="54">
        <f t="shared" ca="1" si="37"/>
        <v>1</v>
      </c>
      <c r="AA20" s="101">
        <f t="shared" ca="1" si="38"/>
        <v>10.357142857142858</v>
      </c>
      <c r="AB20" s="54">
        <f t="shared" ca="1" si="39"/>
        <v>299</v>
      </c>
      <c r="AC20" s="101">
        <f t="shared" ca="1" si="40"/>
        <v>0</v>
      </c>
      <c r="AD20" s="101">
        <f t="shared" ca="1" si="41"/>
        <v>0</v>
      </c>
      <c r="AE20" s="101">
        <f t="shared" ca="1" si="42"/>
        <v>10.357142857142858</v>
      </c>
      <c r="AF20" s="54" t="str">
        <f>IF(Mitspieler!H$94&gt;Mitspieler!J$94,Mitspieler!D$94,Mitspieler!F$94)</f>
        <v>Argentinien</v>
      </c>
      <c r="AG20" s="54" t="str">
        <f>IF(Mitspieler!H$94&gt;Mitspieler!J$94,Mitspieler!F$94,Mitspieler!D$94)</f>
        <v>Frankreich</v>
      </c>
      <c r="AH20" s="54" t="str">
        <f>Mitspieler!BD$89</f>
        <v>Frankreich</v>
      </c>
      <c r="AI20" s="54" t="str">
        <f>Mitspieler!BF$89</f>
        <v>Spanien</v>
      </c>
      <c r="AJ20" s="54" t="str">
        <f>Mitspieler!BD$90</f>
        <v>Mexiko</v>
      </c>
      <c r="AK20" s="54" t="str">
        <f>Mitspieler!BF$90</f>
        <v>Argentinien</v>
      </c>
      <c r="AL20" s="148"/>
      <c r="AM20" s="92">
        <f t="shared" ca="1" si="43"/>
        <v>0</v>
      </c>
      <c r="AN20" s="16">
        <f t="shared" si="44"/>
        <v>19</v>
      </c>
      <c r="AO20" s="2"/>
      <c r="AP20" s="2">
        <f t="shared" ca="1" si="22"/>
        <v>0</v>
      </c>
      <c r="AQ20" s="88">
        <f t="shared" ca="1" si="45"/>
        <v>0</v>
      </c>
      <c r="AR20" s="88">
        <f t="shared" ca="1" si="46"/>
        <v>0</v>
      </c>
      <c r="AS20" s="90">
        <f t="shared" ca="1" si="25"/>
        <v>0</v>
      </c>
      <c r="AT20" s="90">
        <f t="shared" ca="1" si="47"/>
        <v>0</v>
      </c>
      <c r="AU20" s="91">
        <f t="shared" ca="1" si="48"/>
        <v>0</v>
      </c>
      <c r="AV20" s="90">
        <f t="shared" ca="1" si="28"/>
        <v>2.0301221021717147E-15</v>
      </c>
      <c r="AW20" s="90" t="str">
        <f t="shared" ca="1" si="49"/>
        <v/>
      </c>
    </row>
    <row r="21" spans="1:49" ht="15.75">
      <c r="A21" s="149">
        <f t="shared" ca="1" si="0"/>
        <v>2</v>
      </c>
      <c r="B21" s="56" t="str">
        <f t="shared" ca="1" si="1"/>
        <v>Mitspieler 19</v>
      </c>
      <c r="C21" s="111">
        <f t="shared" ca="1" si="2"/>
        <v>299</v>
      </c>
      <c r="D21" s="101">
        <f t="shared" ca="1" si="3"/>
        <v>10</v>
      </c>
      <c r="E21" s="87">
        <f t="shared" ca="1" si="4"/>
        <v>1</v>
      </c>
      <c r="F21" s="112">
        <f t="shared" ca="1" si="5"/>
        <v>10.357142857142858</v>
      </c>
      <c r="G21" s="113">
        <f t="shared" ca="1" si="6"/>
        <v>299</v>
      </c>
      <c r="H21" s="101">
        <f t="shared" ca="1" si="7"/>
        <v>0</v>
      </c>
      <c r="I21" s="101">
        <f t="shared" ca="1" si="8"/>
        <v>0</v>
      </c>
      <c r="J21" s="114">
        <f t="shared" ca="1" si="9"/>
        <v>10.357142857142858</v>
      </c>
      <c r="K21" s="115" t="str">
        <f t="shared" ca="1" si="10"/>
        <v>Argentinien</v>
      </c>
      <c r="L21" s="116" t="str">
        <f t="shared" ca="1" si="11"/>
        <v>Frankreich</v>
      </c>
      <c r="M21" s="53" t="str">
        <f t="shared" ca="1" si="12"/>
        <v>Frankreich</v>
      </c>
      <c r="N21" s="53" t="str">
        <f t="shared" ca="1" si="13"/>
        <v>Spanien</v>
      </c>
      <c r="O21" s="53" t="str">
        <f t="shared" ca="1" si="14"/>
        <v>Mexiko</v>
      </c>
      <c r="P21" s="53" t="str">
        <f t="shared" ca="1" si="15"/>
        <v>Argentinien</v>
      </c>
      <c r="Q21" s="126"/>
      <c r="R21" s="150">
        <f t="shared" si="34"/>
        <v>20</v>
      </c>
      <c r="S21" s="150">
        <f t="shared" ca="1" si="16"/>
        <v>20</v>
      </c>
      <c r="T21" s="150">
        <f t="shared" ca="1" si="35"/>
        <v>9821</v>
      </c>
      <c r="U21" s="9">
        <f t="shared" si="36"/>
        <v>21</v>
      </c>
      <c r="V21" s="151">
        <f t="shared" ca="1" si="17"/>
        <v>2</v>
      </c>
      <c r="W21" s="276" t="s">
        <v>479</v>
      </c>
      <c r="X21" s="54">
        <f ca="1">IF(AL21="",Mitspieler!$AX$98,INT(RAND()*1000))</f>
        <v>299</v>
      </c>
      <c r="Y21" s="101">
        <v>10</v>
      </c>
      <c r="Z21" s="54">
        <f t="shared" ca="1" si="37"/>
        <v>1</v>
      </c>
      <c r="AA21" s="101">
        <f t="shared" ca="1" si="38"/>
        <v>10.357142857142858</v>
      </c>
      <c r="AB21" s="54">
        <f t="shared" ca="1" si="39"/>
        <v>299</v>
      </c>
      <c r="AC21" s="101">
        <f t="shared" ca="1" si="40"/>
        <v>0</v>
      </c>
      <c r="AD21" s="101">
        <f t="shared" ca="1" si="41"/>
        <v>0</v>
      </c>
      <c r="AE21" s="101">
        <f t="shared" ca="1" si="42"/>
        <v>10.357142857142858</v>
      </c>
      <c r="AF21" s="54" t="str">
        <f>IF(Mitspieler!H$94&gt;Mitspieler!J$94,Mitspieler!D$94,Mitspieler!F$94)</f>
        <v>Argentinien</v>
      </c>
      <c r="AG21" s="54" t="str">
        <f>IF(Mitspieler!H$94&gt;Mitspieler!J$94,Mitspieler!F$94,Mitspieler!D$94)</f>
        <v>Frankreich</v>
      </c>
      <c r="AH21" s="54" t="str">
        <f>Mitspieler!BD$89</f>
        <v>Frankreich</v>
      </c>
      <c r="AI21" s="54" t="str">
        <f>Mitspieler!BF$89</f>
        <v>Spanien</v>
      </c>
      <c r="AJ21" s="54" t="str">
        <f>Mitspieler!BD$90</f>
        <v>Mexiko</v>
      </c>
      <c r="AK21" s="54" t="str">
        <f>Mitspieler!BF$90</f>
        <v>Argentinien</v>
      </c>
      <c r="AL21" s="148"/>
      <c r="AM21" s="92">
        <f t="shared" ca="1" si="43"/>
        <v>0</v>
      </c>
      <c r="AN21" s="16">
        <f t="shared" si="44"/>
        <v>20</v>
      </c>
      <c r="AO21" s="2"/>
      <c r="AP21" s="2">
        <f t="shared" ca="1" si="22"/>
        <v>0</v>
      </c>
      <c r="AQ21" s="88">
        <f t="shared" ca="1" si="45"/>
        <v>0</v>
      </c>
      <c r="AR21" s="88">
        <f t="shared" ca="1" si="46"/>
        <v>0</v>
      </c>
      <c r="AS21" s="90">
        <f t="shared" ca="1" si="25"/>
        <v>0</v>
      </c>
      <c r="AT21" s="90">
        <f t="shared" ca="1" si="47"/>
        <v>0</v>
      </c>
      <c r="AU21" s="91">
        <f t="shared" ca="1" si="48"/>
        <v>0</v>
      </c>
      <c r="AV21" s="90">
        <f t="shared" ca="1" si="28"/>
        <v>2.0301221021717147E-15</v>
      </c>
      <c r="AW21" s="90" t="str">
        <f t="shared" ca="1" si="49"/>
        <v/>
      </c>
    </row>
    <row r="22" spans="1:49" ht="15.75">
      <c r="A22" s="149">
        <f t="shared" ca="1" si="0"/>
        <v>2</v>
      </c>
      <c r="B22" s="56" t="str">
        <f t="shared" ca="1" si="1"/>
        <v>Mitspieler 20</v>
      </c>
      <c r="C22" s="111">
        <f t="shared" ca="1" si="2"/>
        <v>299</v>
      </c>
      <c r="D22" s="101">
        <f t="shared" ca="1" si="3"/>
        <v>10</v>
      </c>
      <c r="E22" s="87">
        <f t="shared" ca="1" si="4"/>
        <v>1</v>
      </c>
      <c r="F22" s="112">
        <f t="shared" ca="1" si="5"/>
        <v>10.357142857142858</v>
      </c>
      <c r="G22" s="113">
        <f t="shared" ca="1" si="6"/>
        <v>299</v>
      </c>
      <c r="H22" s="101">
        <f t="shared" ca="1" si="7"/>
        <v>0</v>
      </c>
      <c r="I22" s="101">
        <f t="shared" ca="1" si="8"/>
        <v>0</v>
      </c>
      <c r="J22" s="114">
        <f t="shared" ca="1" si="9"/>
        <v>10.357142857142858</v>
      </c>
      <c r="K22" s="115" t="str">
        <f t="shared" ca="1" si="10"/>
        <v>Argentinien</v>
      </c>
      <c r="L22" s="116" t="str">
        <f t="shared" ca="1" si="11"/>
        <v>Frankreich</v>
      </c>
      <c r="M22" s="53" t="str">
        <f t="shared" ca="1" si="12"/>
        <v>Frankreich</v>
      </c>
      <c r="N22" s="53" t="str">
        <f t="shared" ca="1" si="13"/>
        <v>Spanien</v>
      </c>
      <c r="O22" s="53" t="str">
        <f t="shared" ca="1" si="14"/>
        <v>Mexiko</v>
      </c>
      <c r="P22" s="53" t="str">
        <f t="shared" ca="1" si="15"/>
        <v>Argentinien</v>
      </c>
      <c r="Q22" s="126"/>
      <c r="R22" s="150">
        <f t="shared" si="34"/>
        <v>21</v>
      </c>
      <c r="S22" s="150">
        <f t="shared" ca="1" si="16"/>
        <v>21</v>
      </c>
      <c r="T22" s="150">
        <f t="shared" ca="1" si="35"/>
        <v>9820</v>
      </c>
      <c r="U22" s="9">
        <f t="shared" si="36"/>
        <v>20</v>
      </c>
      <c r="V22" s="151">
        <f t="shared" ca="1" si="17"/>
        <v>2</v>
      </c>
      <c r="W22" s="276" t="s">
        <v>480</v>
      </c>
      <c r="X22" s="54">
        <f ca="1">IF(AL22="",Mitspieler!$AX$98,INT(RAND()*1000))</f>
        <v>299</v>
      </c>
      <c r="Y22" s="101">
        <v>10</v>
      </c>
      <c r="Z22" s="54">
        <f t="shared" ca="1" si="37"/>
        <v>1</v>
      </c>
      <c r="AA22" s="101">
        <f t="shared" ca="1" si="38"/>
        <v>10.357142857142858</v>
      </c>
      <c r="AB22" s="54">
        <f t="shared" ca="1" si="39"/>
        <v>299</v>
      </c>
      <c r="AC22" s="101">
        <f t="shared" ca="1" si="40"/>
        <v>0</v>
      </c>
      <c r="AD22" s="101">
        <f t="shared" ca="1" si="41"/>
        <v>0</v>
      </c>
      <c r="AE22" s="101">
        <f t="shared" ca="1" si="42"/>
        <v>10.357142857142858</v>
      </c>
      <c r="AF22" s="54" t="str">
        <f>IF(Mitspieler!H$94&gt;Mitspieler!J$94,Mitspieler!D$94,Mitspieler!F$94)</f>
        <v>Argentinien</v>
      </c>
      <c r="AG22" s="54" t="str">
        <f>IF(Mitspieler!H$94&gt;Mitspieler!J$94,Mitspieler!F$94,Mitspieler!D$94)</f>
        <v>Frankreich</v>
      </c>
      <c r="AH22" s="54" t="str">
        <f>Mitspieler!BD$89</f>
        <v>Frankreich</v>
      </c>
      <c r="AI22" s="54" t="str">
        <f>Mitspieler!BF$89</f>
        <v>Spanien</v>
      </c>
      <c r="AJ22" s="54" t="str">
        <f>Mitspieler!BD$90</f>
        <v>Mexiko</v>
      </c>
      <c r="AK22" s="54" t="str">
        <f>Mitspieler!BF$90</f>
        <v>Argentinien</v>
      </c>
      <c r="AL22" s="148"/>
      <c r="AM22" s="92">
        <f t="shared" ca="1" si="43"/>
        <v>0</v>
      </c>
      <c r="AN22" s="16">
        <f t="shared" si="44"/>
        <v>21</v>
      </c>
      <c r="AO22" s="2"/>
      <c r="AP22" s="2">
        <f t="shared" ca="1" si="22"/>
        <v>0</v>
      </c>
      <c r="AQ22" s="88">
        <f t="shared" ca="1" si="45"/>
        <v>0</v>
      </c>
      <c r="AR22" s="88">
        <f t="shared" ca="1" si="46"/>
        <v>0</v>
      </c>
      <c r="AS22" s="90">
        <f t="shared" ca="1" si="25"/>
        <v>0</v>
      </c>
      <c r="AT22" s="90">
        <f t="shared" ca="1" si="47"/>
        <v>0</v>
      </c>
      <c r="AU22" s="91">
        <f t="shared" ca="1" si="48"/>
        <v>0</v>
      </c>
      <c r="AV22" s="90">
        <f t="shared" ca="1" si="28"/>
        <v>2.0301221021717147E-15</v>
      </c>
      <c r="AW22" s="90" t="str">
        <f t="shared" ca="1" si="49"/>
        <v/>
      </c>
    </row>
    <row r="23" spans="1:49" ht="15.75">
      <c r="A23" s="149">
        <f t="shared" ca="1" si="0"/>
        <v>2</v>
      </c>
      <c r="B23" s="56" t="str">
        <f t="shared" ca="1" si="1"/>
        <v>Mitspieler 22</v>
      </c>
      <c r="C23" s="111">
        <f t="shared" ca="1" si="2"/>
        <v>299</v>
      </c>
      <c r="D23" s="101">
        <f t="shared" ca="1" si="3"/>
        <v>10</v>
      </c>
      <c r="E23" s="87">
        <f t="shared" ca="1" si="4"/>
        <v>1</v>
      </c>
      <c r="F23" s="112">
        <f t="shared" ca="1" si="5"/>
        <v>10.357142857142858</v>
      </c>
      <c r="G23" s="113">
        <f t="shared" ca="1" si="6"/>
        <v>299</v>
      </c>
      <c r="H23" s="101">
        <f t="shared" ca="1" si="7"/>
        <v>0</v>
      </c>
      <c r="I23" s="101">
        <f t="shared" ca="1" si="8"/>
        <v>0</v>
      </c>
      <c r="J23" s="114">
        <f t="shared" ca="1" si="9"/>
        <v>10.357142857142858</v>
      </c>
      <c r="K23" s="115" t="str">
        <f t="shared" ca="1" si="10"/>
        <v>Argentinien</v>
      </c>
      <c r="L23" s="116" t="str">
        <f t="shared" ca="1" si="11"/>
        <v>Frankreich</v>
      </c>
      <c r="M23" s="53" t="str">
        <f t="shared" ca="1" si="12"/>
        <v>Frankreich</v>
      </c>
      <c r="N23" s="53" t="str">
        <f t="shared" ca="1" si="13"/>
        <v>Spanien</v>
      </c>
      <c r="O23" s="53" t="str">
        <f t="shared" ca="1" si="14"/>
        <v>Mexiko</v>
      </c>
      <c r="P23" s="53" t="str">
        <f t="shared" ca="1" si="15"/>
        <v>Argentinien</v>
      </c>
      <c r="Q23" s="126"/>
      <c r="R23" s="150">
        <f t="shared" si="34"/>
        <v>22</v>
      </c>
      <c r="S23" s="150">
        <f t="shared" ca="1" si="16"/>
        <v>22</v>
      </c>
      <c r="T23" s="150">
        <f t="shared" ca="1" si="35"/>
        <v>9819</v>
      </c>
      <c r="U23" s="9">
        <f t="shared" si="36"/>
        <v>19</v>
      </c>
      <c r="V23" s="151">
        <f t="shared" ca="1" si="17"/>
        <v>2</v>
      </c>
      <c r="W23" s="276" t="s">
        <v>481</v>
      </c>
      <c r="X23" s="54">
        <f ca="1">IF(AL23="",Mitspieler!$AX$98,INT(RAND()*1000))</f>
        <v>299</v>
      </c>
      <c r="Y23" s="101">
        <v>10</v>
      </c>
      <c r="Z23" s="54">
        <f t="shared" ca="1" si="37"/>
        <v>1</v>
      </c>
      <c r="AA23" s="101">
        <f t="shared" ca="1" si="38"/>
        <v>10.357142857142858</v>
      </c>
      <c r="AB23" s="54">
        <f t="shared" ca="1" si="39"/>
        <v>299</v>
      </c>
      <c r="AC23" s="101">
        <f t="shared" ca="1" si="40"/>
        <v>0</v>
      </c>
      <c r="AD23" s="101">
        <f t="shared" ca="1" si="41"/>
        <v>0</v>
      </c>
      <c r="AE23" s="101">
        <f t="shared" ca="1" si="42"/>
        <v>10.357142857142858</v>
      </c>
      <c r="AF23" s="54" t="str">
        <f>IF(Mitspieler!H$94&gt;Mitspieler!J$94,Mitspieler!D$94,Mitspieler!F$94)</f>
        <v>Argentinien</v>
      </c>
      <c r="AG23" s="54" t="str">
        <f>IF(Mitspieler!H$94&gt;Mitspieler!J$94,Mitspieler!F$94,Mitspieler!D$94)</f>
        <v>Frankreich</v>
      </c>
      <c r="AH23" s="54" t="str">
        <f>Mitspieler!BD$89</f>
        <v>Frankreich</v>
      </c>
      <c r="AI23" s="54" t="str">
        <f>Mitspieler!BF$89</f>
        <v>Spanien</v>
      </c>
      <c r="AJ23" s="54" t="str">
        <f>Mitspieler!BD$90</f>
        <v>Mexiko</v>
      </c>
      <c r="AK23" s="54" t="str">
        <f>Mitspieler!BF$90</f>
        <v>Argentinien</v>
      </c>
      <c r="AL23" s="148"/>
      <c r="AM23" s="92">
        <f t="shared" ca="1" si="43"/>
        <v>0</v>
      </c>
      <c r="AN23" s="16">
        <f t="shared" si="44"/>
        <v>22</v>
      </c>
      <c r="AO23" s="2"/>
      <c r="AP23" s="2">
        <f t="shared" ca="1" si="22"/>
        <v>0</v>
      </c>
      <c r="AQ23" s="88">
        <f t="shared" ca="1" si="45"/>
        <v>0</v>
      </c>
      <c r="AR23" s="88">
        <f t="shared" ca="1" si="46"/>
        <v>0</v>
      </c>
      <c r="AS23" s="90">
        <f t="shared" ca="1" si="25"/>
        <v>0</v>
      </c>
      <c r="AT23" s="90">
        <f t="shared" ca="1" si="47"/>
        <v>0</v>
      </c>
      <c r="AU23" s="91">
        <f t="shared" ca="1" si="48"/>
        <v>0</v>
      </c>
      <c r="AV23" s="90">
        <f t="shared" ca="1" si="28"/>
        <v>2.0301221021717147E-15</v>
      </c>
      <c r="AW23" s="90" t="str">
        <f t="shared" ca="1" si="49"/>
        <v/>
      </c>
    </row>
    <row r="24" spans="1:49" ht="15.75">
      <c r="A24" s="149">
        <f t="shared" ca="1" si="0"/>
        <v>2</v>
      </c>
      <c r="B24" s="56" t="str">
        <f t="shared" ca="1" si="1"/>
        <v>Mitspieler 22</v>
      </c>
      <c r="C24" s="111">
        <f t="shared" ca="1" si="2"/>
        <v>299</v>
      </c>
      <c r="D24" s="101">
        <f t="shared" ca="1" si="3"/>
        <v>10</v>
      </c>
      <c r="E24" s="87">
        <f t="shared" ca="1" si="4"/>
        <v>1</v>
      </c>
      <c r="F24" s="112">
        <f t="shared" ca="1" si="5"/>
        <v>10.357142857142858</v>
      </c>
      <c r="G24" s="113">
        <f t="shared" ca="1" si="6"/>
        <v>299</v>
      </c>
      <c r="H24" s="101">
        <f t="shared" ca="1" si="7"/>
        <v>0</v>
      </c>
      <c r="I24" s="101">
        <f t="shared" ca="1" si="8"/>
        <v>0</v>
      </c>
      <c r="J24" s="114">
        <f t="shared" ca="1" si="9"/>
        <v>10.357142857142858</v>
      </c>
      <c r="K24" s="115" t="str">
        <f t="shared" ca="1" si="10"/>
        <v>Argentinien</v>
      </c>
      <c r="L24" s="116" t="str">
        <f t="shared" ca="1" si="11"/>
        <v>Frankreich</v>
      </c>
      <c r="M24" s="53" t="str">
        <f t="shared" ca="1" si="12"/>
        <v>Frankreich</v>
      </c>
      <c r="N24" s="53" t="str">
        <f t="shared" ca="1" si="13"/>
        <v>Spanien</v>
      </c>
      <c r="O24" s="53" t="str">
        <f t="shared" ca="1" si="14"/>
        <v>Mexiko</v>
      </c>
      <c r="P24" s="53" t="str">
        <f t="shared" ca="1" si="15"/>
        <v>Argentinien</v>
      </c>
      <c r="Q24" s="126"/>
      <c r="R24" s="150">
        <f t="shared" si="34"/>
        <v>23</v>
      </c>
      <c r="S24" s="150">
        <f t="shared" ca="1" si="16"/>
        <v>23</v>
      </c>
      <c r="T24" s="150">
        <f t="shared" ca="1" si="35"/>
        <v>9818</v>
      </c>
      <c r="U24" s="9">
        <f t="shared" si="36"/>
        <v>18</v>
      </c>
      <c r="V24" s="151">
        <f t="shared" ca="1" si="17"/>
        <v>2</v>
      </c>
      <c r="W24" s="276" t="s">
        <v>481</v>
      </c>
      <c r="X24" s="54">
        <f ca="1">IF(AL24="",Mitspieler!$AX$98,INT(RAND()*1000))</f>
        <v>299</v>
      </c>
      <c r="Y24" s="101">
        <v>10</v>
      </c>
      <c r="Z24" s="54">
        <f t="shared" ca="1" si="37"/>
        <v>1</v>
      </c>
      <c r="AA24" s="101">
        <f t="shared" ca="1" si="38"/>
        <v>10.357142857142858</v>
      </c>
      <c r="AB24" s="54">
        <f t="shared" ca="1" si="39"/>
        <v>299</v>
      </c>
      <c r="AC24" s="101">
        <f t="shared" ca="1" si="40"/>
        <v>0</v>
      </c>
      <c r="AD24" s="101">
        <f t="shared" ca="1" si="41"/>
        <v>0</v>
      </c>
      <c r="AE24" s="101">
        <f t="shared" ca="1" si="42"/>
        <v>10.357142857142858</v>
      </c>
      <c r="AF24" s="54" t="str">
        <f>IF(Mitspieler!H$94&gt;Mitspieler!J$94,Mitspieler!D$94,Mitspieler!F$94)</f>
        <v>Argentinien</v>
      </c>
      <c r="AG24" s="54" t="str">
        <f>IF(Mitspieler!H$94&gt;Mitspieler!J$94,Mitspieler!F$94,Mitspieler!D$94)</f>
        <v>Frankreich</v>
      </c>
      <c r="AH24" s="54" t="str">
        <f>Mitspieler!BD$89</f>
        <v>Frankreich</v>
      </c>
      <c r="AI24" s="54" t="str">
        <f>Mitspieler!BF$89</f>
        <v>Spanien</v>
      </c>
      <c r="AJ24" s="54" t="str">
        <f>Mitspieler!BD$90</f>
        <v>Mexiko</v>
      </c>
      <c r="AK24" s="54" t="str">
        <f>Mitspieler!BF$90</f>
        <v>Argentinien</v>
      </c>
      <c r="AL24" s="148"/>
      <c r="AM24" s="92">
        <f t="shared" ca="1" si="43"/>
        <v>0</v>
      </c>
      <c r="AN24" s="16">
        <f t="shared" si="44"/>
        <v>23</v>
      </c>
      <c r="AO24" s="2"/>
      <c r="AP24" s="2">
        <f t="shared" ca="1" si="22"/>
        <v>0</v>
      </c>
      <c r="AQ24" s="88">
        <f t="shared" ca="1" si="45"/>
        <v>0</v>
      </c>
      <c r="AR24" s="88">
        <f t="shared" ca="1" si="46"/>
        <v>0</v>
      </c>
      <c r="AS24" s="90">
        <f t="shared" ca="1" si="25"/>
        <v>0</v>
      </c>
      <c r="AT24" s="90">
        <f t="shared" ca="1" si="47"/>
        <v>0</v>
      </c>
      <c r="AU24" s="91">
        <f t="shared" ca="1" si="48"/>
        <v>0</v>
      </c>
      <c r="AV24" s="90">
        <f t="shared" ca="1" si="28"/>
        <v>2.0301221021717147E-15</v>
      </c>
      <c r="AW24" s="90" t="str">
        <f t="shared" ca="1" si="49"/>
        <v/>
      </c>
    </row>
    <row r="25" spans="1:49" ht="15.75">
      <c r="A25" s="149">
        <f t="shared" ca="1" si="0"/>
        <v>2</v>
      </c>
      <c r="B25" s="56" t="str">
        <f t="shared" ca="1" si="1"/>
        <v>Mitspieler 23</v>
      </c>
      <c r="C25" s="111">
        <f t="shared" ca="1" si="2"/>
        <v>299</v>
      </c>
      <c r="D25" s="101">
        <f t="shared" ca="1" si="3"/>
        <v>10</v>
      </c>
      <c r="E25" s="87">
        <f t="shared" ca="1" si="4"/>
        <v>1</v>
      </c>
      <c r="F25" s="112">
        <f t="shared" ca="1" si="5"/>
        <v>10.357142857142858</v>
      </c>
      <c r="G25" s="113">
        <f t="shared" ca="1" si="6"/>
        <v>299</v>
      </c>
      <c r="H25" s="101">
        <f t="shared" ca="1" si="7"/>
        <v>0</v>
      </c>
      <c r="I25" s="101">
        <f t="shared" ca="1" si="8"/>
        <v>0</v>
      </c>
      <c r="J25" s="114">
        <f t="shared" ca="1" si="9"/>
        <v>10.357142857142858</v>
      </c>
      <c r="K25" s="115" t="str">
        <f t="shared" ca="1" si="10"/>
        <v>Argentinien</v>
      </c>
      <c r="L25" s="116" t="str">
        <f t="shared" ca="1" si="11"/>
        <v>Frankreich</v>
      </c>
      <c r="M25" s="53" t="str">
        <f t="shared" ca="1" si="12"/>
        <v>Frankreich</v>
      </c>
      <c r="N25" s="53" t="str">
        <f t="shared" ca="1" si="13"/>
        <v>Spanien</v>
      </c>
      <c r="O25" s="53" t="str">
        <f t="shared" ca="1" si="14"/>
        <v>Mexiko</v>
      </c>
      <c r="P25" s="53" t="str">
        <f t="shared" ca="1" si="15"/>
        <v>Argentinien</v>
      </c>
      <c r="Q25" s="126"/>
      <c r="R25" s="150">
        <f t="shared" si="34"/>
        <v>24</v>
      </c>
      <c r="S25" s="150">
        <f t="shared" ca="1" si="16"/>
        <v>24</v>
      </c>
      <c r="T25" s="150">
        <f t="shared" ca="1" si="35"/>
        <v>9817</v>
      </c>
      <c r="U25" s="9">
        <f t="shared" si="36"/>
        <v>17</v>
      </c>
      <c r="V25" s="151">
        <f t="shared" ca="1" si="17"/>
        <v>2</v>
      </c>
      <c r="W25" s="276" t="s">
        <v>482</v>
      </c>
      <c r="X25" s="54">
        <f ca="1">IF(AL25="",Mitspieler!$AX$98,INT(RAND()*1000))</f>
        <v>299</v>
      </c>
      <c r="Y25" s="101">
        <v>10</v>
      </c>
      <c r="Z25" s="54">
        <f t="shared" ca="1" si="37"/>
        <v>1</v>
      </c>
      <c r="AA25" s="101">
        <f t="shared" ca="1" si="38"/>
        <v>10.357142857142858</v>
      </c>
      <c r="AB25" s="54">
        <f t="shared" ca="1" si="39"/>
        <v>299</v>
      </c>
      <c r="AC25" s="101">
        <f t="shared" ca="1" si="40"/>
        <v>0</v>
      </c>
      <c r="AD25" s="101">
        <f t="shared" ca="1" si="41"/>
        <v>0</v>
      </c>
      <c r="AE25" s="101">
        <f t="shared" ca="1" si="42"/>
        <v>10.357142857142858</v>
      </c>
      <c r="AF25" s="54" t="str">
        <f>IF(Mitspieler!H$94&gt;Mitspieler!J$94,Mitspieler!D$94,Mitspieler!F$94)</f>
        <v>Argentinien</v>
      </c>
      <c r="AG25" s="54" t="str">
        <f>IF(Mitspieler!H$94&gt;Mitspieler!J$94,Mitspieler!F$94,Mitspieler!D$94)</f>
        <v>Frankreich</v>
      </c>
      <c r="AH25" s="54" t="str">
        <f>Mitspieler!BD$89</f>
        <v>Frankreich</v>
      </c>
      <c r="AI25" s="54" t="str">
        <f>Mitspieler!BF$89</f>
        <v>Spanien</v>
      </c>
      <c r="AJ25" s="54" t="str">
        <f>Mitspieler!BD$90</f>
        <v>Mexiko</v>
      </c>
      <c r="AK25" s="54" t="str">
        <f>Mitspieler!BF$90</f>
        <v>Argentinien</v>
      </c>
      <c r="AL25" s="148"/>
      <c r="AM25" s="92">
        <f t="shared" ca="1" si="43"/>
        <v>0</v>
      </c>
      <c r="AN25" s="16">
        <f t="shared" si="44"/>
        <v>24</v>
      </c>
      <c r="AO25" s="2"/>
      <c r="AP25" s="2">
        <f t="shared" ca="1" si="22"/>
        <v>0</v>
      </c>
      <c r="AQ25" s="88">
        <f t="shared" ca="1" si="45"/>
        <v>0</v>
      </c>
      <c r="AR25" s="88">
        <f t="shared" ca="1" si="46"/>
        <v>0</v>
      </c>
      <c r="AS25" s="90">
        <f t="shared" ca="1" si="25"/>
        <v>0</v>
      </c>
      <c r="AT25" s="90">
        <f t="shared" ca="1" si="47"/>
        <v>0</v>
      </c>
      <c r="AU25" s="91">
        <f t="shared" ca="1" si="48"/>
        <v>0</v>
      </c>
      <c r="AV25" s="90">
        <f t="shared" ca="1" si="28"/>
        <v>2.0301221021717147E-15</v>
      </c>
      <c r="AW25" s="90" t="str">
        <f t="shared" ca="1" si="49"/>
        <v/>
      </c>
    </row>
    <row r="26" spans="1:49" ht="15.75">
      <c r="A26" s="149">
        <f t="shared" ca="1" si="0"/>
        <v>2</v>
      </c>
      <c r="B26" s="56" t="str">
        <f t="shared" ca="1" si="1"/>
        <v>Mitspieler 24</v>
      </c>
      <c r="C26" s="111">
        <f t="shared" ca="1" si="2"/>
        <v>299</v>
      </c>
      <c r="D26" s="101">
        <f t="shared" ca="1" si="3"/>
        <v>10</v>
      </c>
      <c r="E26" s="87">
        <f t="shared" ca="1" si="4"/>
        <v>1</v>
      </c>
      <c r="F26" s="112">
        <f t="shared" ca="1" si="5"/>
        <v>10.357142857142858</v>
      </c>
      <c r="G26" s="113">
        <f t="shared" ca="1" si="6"/>
        <v>299</v>
      </c>
      <c r="H26" s="101">
        <f t="shared" ca="1" si="7"/>
        <v>0</v>
      </c>
      <c r="I26" s="101">
        <f t="shared" ca="1" si="8"/>
        <v>0</v>
      </c>
      <c r="J26" s="114">
        <f t="shared" ca="1" si="9"/>
        <v>10.357142857142858</v>
      </c>
      <c r="K26" s="115" t="str">
        <f t="shared" ca="1" si="10"/>
        <v>Argentinien</v>
      </c>
      <c r="L26" s="116" t="str">
        <f t="shared" ca="1" si="11"/>
        <v>Frankreich</v>
      </c>
      <c r="M26" s="53" t="str">
        <f t="shared" ca="1" si="12"/>
        <v>Frankreich</v>
      </c>
      <c r="N26" s="53" t="str">
        <f t="shared" ca="1" si="13"/>
        <v>Spanien</v>
      </c>
      <c r="O26" s="53" t="str">
        <f t="shared" ca="1" si="14"/>
        <v>Mexiko</v>
      </c>
      <c r="P26" s="53" t="str">
        <f t="shared" ca="1" si="15"/>
        <v>Argentinien</v>
      </c>
      <c r="Q26" s="126"/>
      <c r="R26" s="150">
        <f t="shared" si="34"/>
        <v>25</v>
      </c>
      <c r="S26" s="150">
        <f t="shared" ca="1" si="16"/>
        <v>25</v>
      </c>
      <c r="T26" s="150">
        <f t="shared" ca="1" si="35"/>
        <v>9816</v>
      </c>
      <c r="U26" s="9">
        <f t="shared" si="36"/>
        <v>16</v>
      </c>
      <c r="V26" s="151">
        <f t="shared" ca="1" si="17"/>
        <v>2</v>
      </c>
      <c r="W26" s="276" t="s">
        <v>483</v>
      </c>
      <c r="X26" s="54">
        <f ca="1">IF(AL26="",Mitspieler!$AX$98,INT(RAND()*1000))</f>
        <v>299</v>
      </c>
      <c r="Y26" s="101">
        <v>10</v>
      </c>
      <c r="Z26" s="54">
        <f t="shared" ca="1" si="37"/>
        <v>1</v>
      </c>
      <c r="AA26" s="101">
        <f t="shared" ca="1" si="38"/>
        <v>10.357142857142858</v>
      </c>
      <c r="AB26" s="54">
        <f t="shared" ca="1" si="39"/>
        <v>299</v>
      </c>
      <c r="AC26" s="101">
        <f t="shared" ca="1" si="40"/>
        <v>0</v>
      </c>
      <c r="AD26" s="101">
        <f t="shared" ca="1" si="41"/>
        <v>0</v>
      </c>
      <c r="AE26" s="101">
        <f t="shared" ca="1" si="42"/>
        <v>10.357142857142858</v>
      </c>
      <c r="AF26" s="54" t="str">
        <f>IF(Mitspieler!H$94&gt;Mitspieler!J$94,Mitspieler!D$94,Mitspieler!F$94)</f>
        <v>Argentinien</v>
      </c>
      <c r="AG26" s="54" t="str">
        <f>IF(Mitspieler!H$94&gt;Mitspieler!J$94,Mitspieler!F$94,Mitspieler!D$94)</f>
        <v>Frankreich</v>
      </c>
      <c r="AH26" s="54" t="str">
        <f>Mitspieler!BD$89</f>
        <v>Frankreich</v>
      </c>
      <c r="AI26" s="54" t="str">
        <f>Mitspieler!BF$89</f>
        <v>Spanien</v>
      </c>
      <c r="AJ26" s="54" t="str">
        <f>Mitspieler!BD$90</f>
        <v>Mexiko</v>
      </c>
      <c r="AK26" s="54" t="str">
        <f>Mitspieler!BF$90</f>
        <v>Argentinien</v>
      </c>
      <c r="AL26" s="148"/>
      <c r="AM26" s="92">
        <f t="shared" ca="1" si="43"/>
        <v>0</v>
      </c>
      <c r="AN26" s="16">
        <f t="shared" si="44"/>
        <v>25</v>
      </c>
      <c r="AO26" s="2"/>
      <c r="AP26" s="2">
        <f t="shared" ca="1" si="22"/>
        <v>0</v>
      </c>
      <c r="AQ26" s="88">
        <f t="shared" ca="1" si="45"/>
        <v>0</v>
      </c>
      <c r="AR26" s="88">
        <f t="shared" ca="1" si="46"/>
        <v>0</v>
      </c>
      <c r="AS26" s="90">
        <f t="shared" ca="1" si="25"/>
        <v>0</v>
      </c>
      <c r="AT26" s="90">
        <f t="shared" ca="1" si="47"/>
        <v>0</v>
      </c>
      <c r="AU26" s="91">
        <f t="shared" ca="1" si="48"/>
        <v>0</v>
      </c>
      <c r="AV26" s="90">
        <f t="shared" ca="1" si="28"/>
        <v>2.0301221021717147E-15</v>
      </c>
      <c r="AW26" s="90" t="str">
        <f t="shared" ca="1" si="49"/>
        <v/>
      </c>
    </row>
    <row r="27" spans="1:49" ht="15.75">
      <c r="A27" s="149">
        <f t="shared" ca="1" si="0"/>
        <v>2</v>
      </c>
      <c r="B27" s="56" t="str">
        <f t="shared" ca="1" si="1"/>
        <v>Mitspieler 25</v>
      </c>
      <c r="C27" s="111">
        <f t="shared" ca="1" si="2"/>
        <v>299</v>
      </c>
      <c r="D27" s="101">
        <f t="shared" ca="1" si="3"/>
        <v>10</v>
      </c>
      <c r="E27" s="87">
        <f t="shared" ca="1" si="4"/>
        <v>1</v>
      </c>
      <c r="F27" s="112">
        <f t="shared" ca="1" si="5"/>
        <v>10.357142857142858</v>
      </c>
      <c r="G27" s="113">
        <f t="shared" ca="1" si="6"/>
        <v>299</v>
      </c>
      <c r="H27" s="101">
        <f t="shared" ca="1" si="7"/>
        <v>0</v>
      </c>
      <c r="I27" s="101">
        <f t="shared" ca="1" si="8"/>
        <v>0</v>
      </c>
      <c r="J27" s="114">
        <f t="shared" ca="1" si="9"/>
        <v>10.357142857142858</v>
      </c>
      <c r="K27" s="115" t="str">
        <f t="shared" ca="1" si="10"/>
        <v>Argentinien</v>
      </c>
      <c r="L27" s="116" t="str">
        <f t="shared" ca="1" si="11"/>
        <v>Frankreich</v>
      </c>
      <c r="M27" s="53" t="str">
        <f t="shared" ca="1" si="12"/>
        <v>Frankreich</v>
      </c>
      <c r="N27" s="53" t="str">
        <f t="shared" ca="1" si="13"/>
        <v>Spanien</v>
      </c>
      <c r="O27" s="53" t="str">
        <f t="shared" ca="1" si="14"/>
        <v>Mexiko</v>
      </c>
      <c r="P27" s="53" t="str">
        <f t="shared" ca="1" si="15"/>
        <v>Argentinien</v>
      </c>
      <c r="Q27" s="126"/>
      <c r="R27" s="150">
        <f t="shared" si="34"/>
        <v>26</v>
      </c>
      <c r="S27" s="150">
        <f t="shared" ca="1" si="16"/>
        <v>26</v>
      </c>
      <c r="T27" s="150">
        <f t="shared" ca="1" si="35"/>
        <v>9815</v>
      </c>
      <c r="U27" s="9">
        <f t="shared" si="36"/>
        <v>15</v>
      </c>
      <c r="V27" s="151">
        <f t="shared" ca="1" si="17"/>
        <v>2</v>
      </c>
      <c r="W27" s="276" t="s">
        <v>484</v>
      </c>
      <c r="X27" s="54">
        <f ca="1">IF(AL27="",Mitspieler!$AX$98,INT(RAND()*1000))</f>
        <v>299</v>
      </c>
      <c r="Y27" s="101">
        <v>10</v>
      </c>
      <c r="Z27" s="54">
        <f t="shared" ca="1" si="37"/>
        <v>1</v>
      </c>
      <c r="AA27" s="101">
        <f t="shared" ca="1" si="38"/>
        <v>10.357142857142858</v>
      </c>
      <c r="AB27" s="54">
        <f t="shared" ca="1" si="39"/>
        <v>299</v>
      </c>
      <c r="AC27" s="101">
        <f t="shared" ca="1" si="40"/>
        <v>0</v>
      </c>
      <c r="AD27" s="101">
        <f t="shared" ca="1" si="41"/>
        <v>0</v>
      </c>
      <c r="AE27" s="101">
        <f t="shared" ca="1" si="42"/>
        <v>10.357142857142858</v>
      </c>
      <c r="AF27" s="54" t="str">
        <f>IF(Mitspieler!H$94&gt;Mitspieler!J$94,Mitspieler!D$94,Mitspieler!F$94)</f>
        <v>Argentinien</v>
      </c>
      <c r="AG27" s="54" t="str">
        <f>IF(Mitspieler!H$94&gt;Mitspieler!J$94,Mitspieler!F$94,Mitspieler!D$94)</f>
        <v>Frankreich</v>
      </c>
      <c r="AH27" s="54" t="str">
        <f>Mitspieler!BD$89</f>
        <v>Frankreich</v>
      </c>
      <c r="AI27" s="54" t="str">
        <f>Mitspieler!BF$89</f>
        <v>Spanien</v>
      </c>
      <c r="AJ27" s="54" t="str">
        <f>Mitspieler!BD$90</f>
        <v>Mexiko</v>
      </c>
      <c r="AK27" s="54" t="str">
        <f>Mitspieler!BF$90</f>
        <v>Argentinien</v>
      </c>
      <c r="AL27" s="148"/>
      <c r="AM27" s="92">
        <f t="shared" ca="1" si="43"/>
        <v>0</v>
      </c>
      <c r="AN27" s="16">
        <f t="shared" si="44"/>
        <v>26</v>
      </c>
      <c r="AO27" s="2"/>
      <c r="AP27" s="2">
        <f t="shared" ca="1" si="22"/>
        <v>0</v>
      </c>
      <c r="AQ27" s="88">
        <f t="shared" ca="1" si="45"/>
        <v>0</v>
      </c>
      <c r="AR27" s="88">
        <f t="shared" ca="1" si="46"/>
        <v>0</v>
      </c>
      <c r="AS27" s="90">
        <f t="shared" ca="1" si="25"/>
        <v>0</v>
      </c>
      <c r="AT27" s="90">
        <f t="shared" ca="1" si="47"/>
        <v>0</v>
      </c>
      <c r="AU27" s="91">
        <f t="shared" ca="1" si="48"/>
        <v>0</v>
      </c>
      <c r="AV27" s="90">
        <f t="shared" ca="1" si="28"/>
        <v>2.0301221021717147E-15</v>
      </c>
      <c r="AW27" s="90" t="str">
        <f t="shared" ca="1" si="49"/>
        <v/>
      </c>
    </row>
    <row r="28" spans="1:49" ht="15.75">
      <c r="A28" s="149">
        <f t="shared" ca="1" si="0"/>
        <v>2</v>
      </c>
      <c r="B28" s="56" t="str">
        <f t="shared" ca="1" si="1"/>
        <v>Mitspieler 26</v>
      </c>
      <c r="C28" s="111">
        <f t="shared" ca="1" si="2"/>
        <v>299</v>
      </c>
      <c r="D28" s="101">
        <f t="shared" ca="1" si="3"/>
        <v>10</v>
      </c>
      <c r="E28" s="87">
        <f t="shared" ca="1" si="4"/>
        <v>1</v>
      </c>
      <c r="F28" s="112">
        <f t="shared" ca="1" si="5"/>
        <v>10.357142857142858</v>
      </c>
      <c r="G28" s="113">
        <f t="shared" ca="1" si="6"/>
        <v>299</v>
      </c>
      <c r="H28" s="101">
        <f t="shared" ca="1" si="7"/>
        <v>0</v>
      </c>
      <c r="I28" s="101">
        <f t="shared" ca="1" si="8"/>
        <v>0</v>
      </c>
      <c r="J28" s="114">
        <f t="shared" ca="1" si="9"/>
        <v>10.357142857142858</v>
      </c>
      <c r="K28" s="115" t="str">
        <f t="shared" ca="1" si="10"/>
        <v>Argentinien</v>
      </c>
      <c r="L28" s="116" t="str">
        <f t="shared" ca="1" si="11"/>
        <v>Frankreich</v>
      </c>
      <c r="M28" s="53" t="str">
        <f t="shared" ca="1" si="12"/>
        <v>Frankreich</v>
      </c>
      <c r="N28" s="53" t="str">
        <f t="shared" ca="1" si="13"/>
        <v>Spanien</v>
      </c>
      <c r="O28" s="53" t="str">
        <f t="shared" ca="1" si="14"/>
        <v>Mexiko</v>
      </c>
      <c r="P28" s="53" t="str">
        <f t="shared" ca="1" si="15"/>
        <v>Argentinien</v>
      </c>
      <c r="Q28" s="126"/>
      <c r="R28" s="150">
        <f t="shared" si="34"/>
        <v>27</v>
      </c>
      <c r="S28" s="150">
        <f t="shared" ref="S28:S33" ca="1" si="50">RANK(T28,T$2:T$33)</f>
        <v>27</v>
      </c>
      <c r="T28" s="150">
        <f t="shared" ca="1" si="35"/>
        <v>9814</v>
      </c>
      <c r="U28" s="9">
        <f t="shared" si="36"/>
        <v>14</v>
      </c>
      <c r="V28" s="151">
        <f t="shared" ca="1" si="17"/>
        <v>2</v>
      </c>
      <c r="W28" s="276" t="s">
        <v>485</v>
      </c>
      <c r="X28" s="54">
        <f ca="1">IF(AL28="",Mitspieler!$AX$98,INT(RAND()*1000))</f>
        <v>299</v>
      </c>
      <c r="Y28" s="101">
        <v>10</v>
      </c>
      <c r="Z28" s="54">
        <f t="shared" ca="1" si="37"/>
        <v>1</v>
      </c>
      <c r="AA28" s="101">
        <f t="shared" ca="1" si="38"/>
        <v>10.357142857142858</v>
      </c>
      <c r="AB28" s="54">
        <f t="shared" ca="1" si="39"/>
        <v>299</v>
      </c>
      <c r="AC28" s="101">
        <f t="shared" ca="1" si="40"/>
        <v>0</v>
      </c>
      <c r="AD28" s="101">
        <f t="shared" ca="1" si="41"/>
        <v>0</v>
      </c>
      <c r="AE28" s="101">
        <f t="shared" ca="1" si="42"/>
        <v>10.357142857142858</v>
      </c>
      <c r="AF28" s="54" t="str">
        <f>IF(Mitspieler!H$94&gt;Mitspieler!J$94,Mitspieler!D$94,Mitspieler!F$94)</f>
        <v>Argentinien</v>
      </c>
      <c r="AG28" s="54" t="str">
        <f>IF(Mitspieler!H$94&gt;Mitspieler!J$94,Mitspieler!F$94,Mitspieler!D$94)</f>
        <v>Frankreich</v>
      </c>
      <c r="AH28" s="54" t="str">
        <f>Mitspieler!BD$89</f>
        <v>Frankreich</v>
      </c>
      <c r="AI28" s="54" t="str">
        <f>Mitspieler!BF$89</f>
        <v>Spanien</v>
      </c>
      <c r="AJ28" s="54" t="str">
        <f>Mitspieler!BD$90</f>
        <v>Mexiko</v>
      </c>
      <c r="AK28" s="54" t="str">
        <f>Mitspieler!BF$90</f>
        <v>Argentinien</v>
      </c>
      <c r="AL28" s="148"/>
      <c r="AM28" s="92">
        <f t="shared" ca="1" si="43"/>
        <v>0</v>
      </c>
      <c r="AN28" s="16">
        <f t="shared" si="44"/>
        <v>27</v>
      </c>
      <c r="AO28" s="2"/>
      <c r="AP28" s="2">
        <f t="shared" ca="1" si="22"/>
        <v>0</v>
      </c>
      <c r="AQ28" s="88">
        <f t="shared" ca="1" si="45"/>
        <v>0</v>
      </c>
      <c r="AR28" s="88">
        <f t="shared" ca="1" si="46"/>
        <v>0</v>
      </c>
      <c r="AS28" s="90">
        <f t="shared" ca="1" si="25"/>
        <v>0</v>
      </c>
      <c r="AT28" s="90">
        <f t="shared" ca="1" si="47"/>
        <v>0</v>
      </c>
      <c r="AU28" s="91">
        <f t="shared" ca="1" si="48"/>
        <v>0</v>
      </c>
      <c r="AV28" s="90">
        <f t="shared" ca="1" si="28"/>
        <v>2.0301221021717147E-15</v>
      </c>
      <c r="AW28" s="90" t="str">
        <f t="shared" ca="1" si="49"/>
        <v/>
      </c>
    </row>
    <row r="29" spans="1:49" ht="15.75">
      <c r="A29" s="149">
        <f t="shared" ca="1" si="0"/>
        <v>2</v>
      </c>
      <c r="B29" s="56" t="str">
        <f t="shared" ca="1" si="1"/>
        <v>Mitspieler 27</v>
      </c>
      <c r="C29" s="111">
        <f t="shared" ca="1" si="2"/>
        <v>299</v>
      </c>
      <c r="D29" s="101">
        <f t="shared" ca="1" si="3"/>
        <v>10</v>
      </c>
      <c r="E29" s="87">
        <f t="shared" ca="1" si="4"/>
        <v>1</v>
      </c>
      <c r="F29" s="112">
        <f t="shared" ca="1" si="5"/>
        <v>10.357142857142858</v>
      </c>
      <c r="G29" s="113">
        <f t="shared" ca="1" si="6"/>
        <v>299</v>
      </c>
      <c r="H29" s="101">
        <f t="shared" ca="1" si="7"/>
        <v>0</v>
      </c>
      <c r="I29" s="101">
        <f t="shared" ca="1" si="8"/>
        <v>0</v>
      </c>
      <c r="J29" s="114">
        <f t="shared" ca="1" si="9"/>
        <v>10.357142857142858</v>
      </c>
      <c r="K29" s="115" t="str">
        <f t="shared" ca="1" si="10"/>
        <v>Argentinien</v>
      </c>
      <c r="L29" s="116" t="str">
        <f t="shared" ca="1" si="11"/>
        <v>Frankreich</v>
      </c>
      <c r="M29" s="53" t="str">
        <f t="shared" ca="1" si="12"/>
        <v>Frankreich</v>
      </c>
      <c r="N29" s="53" t="str">
        <f t="shared" ca="1" si="13"/>
        <v>Spanien</v>
      </c>
      <c r="O29" s="53" t="str">
        <f t="shared" ca="1" si="14"/>
        <v>Mexiko</v>
      </c>
      <c r="P29" s="53" t="str">
        <f t="shared" ca="1" si="15"/>
        <v>Argentinien</v>
      </c>
      <c r="Q29" s="126"/>
      <c r="R29" s="150">
        <f t="shared" si="34"/>
        <v>28</v>
      </c>
      <c r="S29" s="150">
        <f t="shared" ca="1" si="50"/>
        <v>28</v>
      </c>
      <c r="T29" s="150">
        <f t="shared" ca="1" si="35"/>
        <v>9813</v>
      </c>
      <c r="U29" s="9">
        <f t="shared" si="36"/>
        <v>13</v>
      </c>
      <c r="V29" s="151">
        <f t="shared" ca="1" si="17"/>
        <v>2</v>
      </c>
      <c r="W29" s="276" t="s">
        <v>486</v>
      </c>
      <c r="X29" s="54">
        <f ca="1">IF(AL29="",Mitspieler!$AX$98,INT(RAND()*1000))</f>
        <v>299</v>
      </c>
      <c r="Y29" s="101">
        <v>10</v>
      </c>
      <c r="Z29" s="54">
        <f t="shared" ca="1" si="37"/>
        <v>1</v>
      </c>
      <c r="AA29" s="101">
        <f t="shared" ca="1" si="38"/>
        <v>10.357142857142858</v>
      </c>
      <c r="AB29" s="54">
        <f t="shared" ca="1" si="39"/>
        <v>299</v>
      </c>
      <c r="AC29" s="101">
        <f t="shared" ca="1" si="40"/>
        <v>0</v>
      </c>
      <c r="AD29" s="101">
        <f t="shared" ca="1" si="41"/>
        <v>0</v>
      </c>
      <c r="AE29" s="101">
        <f t="shared" ca="1" si="42"/>
        <v>10.357142857142858</v>
      </c>
      <c r="AF29" s="54" t="str">
        <f>IF(Mitspieler!H$94&gt;Mitspieler!J$94,Mitspieler!D$94,Mitspieler!F$94)</f>
        <v>Argentinien</v>
      </c>
      <c r="AG29" s="54" t="str">
        <f>IF(Mitspieler!H$94&gt;Mitspieler!J$94,Mitspieler!F$94,Mitspieler!D$94)</f>
        <v>Frankreich</v>
      </c>
      <c r="AH29" s="54" t="str">
        <f>Mitspieler!BD$89</f>
        <v>Frankreich</v>
      </c>
      <c r="AI29" s="54" t="str">
        <f>Mitspieler!BF$89</f>
        <v>Spanien</v>
      </c>
      <c r="AJ29" s="54" t="str">
        <f>Mitspieler!BD$90</f>
        <v>Mexiko</v>
      </c>
      <c r="AK29" s="54" t="str">
        <f>Mitspieler!BF$90</f>
        <v>Argentinien</v>
      </c>
      <c r="AL29" s="148"/>
      <c r="AM29" s="92">
        <f t="shared" ca="1" si="43"/>
        <v>0</v>
      </c>
      <c r="AN29" s="16">
        <f t="shared" si="44"/>
        <v>28</v>
      </c>
      <c r="AO29" s="2"/>
      <c r="AP29" s="2">
        <f t="shared" ca="1" si="22"/>
        <v>0</v>
      </c>
      <c r="AQ29" s="88">
        <f t="shared" ca="1" si="45"/>
        <v>0</v>
      </c>
      <c r="AR29" s="88">
        <f t="shared" ca="1" si="46"/>
        <v>0</v>
      </c>
      <c r="AS29" s="90">
        <f t="shared" ca="1" si="25"/>
        <v>0</v>
      </c>
      <c r="AT29" s="90">
        <f t="shared" ca="1" si="47"/>
        <v>0</v>
      </c>
      <c r="AU29" s="91">
        <f t="shared" ca="1" si="48"/>
        <v>0</v>
      </c>
      <c r="AV29" s="90">
        <f t="shared" ca="1" si="28"/>
        <v>2.0301221021717147E-15</v>
      </c>
      <c r="AW29" s="90" t="str">
        <f t="shared" ca="1" si="49"/>
        <v/>
      </c>
    </row>
    <row r="30" spans="1:49" ht="15.75">
      <c r="A30" s="149">
        <f t="shared" ca="1" si="0"/>
        <v>2</v>
      </c>
      <c r="B30" s="56" t="str">
        <f t="shared" ca="1" si="1"/>
        <v>Mitspieler 28</v>
      </c>
      <c r="C30" s="111">
        <f t="shared" ca="1" si="2"/>
        <v>299</v>
      </c>
      <c r="D30" s="101">
        <f t="shared" ca="1" si="3"/>
        <v>10</v>
      </c>
      <c r="E30" s="87">
        <f t="shared" ca="1" si="4"/>
        <v>1</v>
      </c>
      <c r="F30" s="112">
        <f t="shared" ca="1" si="5"/>
        <v>10.357142857142858</v>
      </c>
      <c r="G30" s="113">
        <f t="shared" ca="1" si="6"/>
        <v>299</v>
      </c>
      <c r="H30" s="101">
        <f t="shared" ca="1" si="7"/>
        <v>0</v>
      </c>
      <c r="I30" s="101">
        <f t="shared" ca="1" si="8"/>
        <v>0</v>
      </c>
      <c r="J30" s="114">
        <f t="shared" ca="1" si="9"/>
        <v>10.357142857142858</v>
      </c>
      <c r="K30" s="115" t="str">
        <f t="shared" ca="1" si="10"/>
        <v>Argentinien</v>
      </c>
      <c r="L30" s="116" t="str">
        <f t="shared" ca="1" si="11"/>
        <v>Frankreich</v>
      </c>
      <c r="M30" s="53" t="str">
        <f t="shared" ca="1" si="12"/>
        <v>Frankreich</v>
      </c>
      <c r="N30" s="53" t="str">
        <f t="shared" ca="1" si="13"/>
        <v>Spanien</v>
      </c>
      <c r="O30" s="53" t="str">
        <f t="shared" ca="1" si="14"/>
        <v>Mexiko</v>
      </c>
      <c r="P30" s="53" t="str">
        <f t="shared" ca="1" si="15"/>
        <v>Argentinien</v>
      </c>
      <c r="Q30" s="126"/>
      <c r="R30" s="150">
        <f t="shared" si="34"/>
        <v>29</v>
      </c>
      <c r="S30" s="150">
        <f t="shared" ca="1" si="50"/>
        <v>29</v>
      </c>
      <c r="T30" s="150">
        <f t="shared" ca="1" si="35"/>
        <v>9812</v>
      </c>
      <c r="U30" s="9">
        <f t="shared" si="36"/>
        <v>12</v>
      </c>
      <c r="V30" s="151">
        <f t="shared" ca="1" si="17"/>
        <v>2</v>
      </c>
      <c r="W30" s="276" t="s">
        <v>487</v>
      </c>
      <c r="X30" s="54">
        <f ca="1">IF(AL30="",Mitspieler!$AX$98,INT(RAND()*1000))</f>
        <v>299</v>
      </c>
      <c r="Y30" s="101">
        <v>10</v>
      </c>
      <c r="Z30" s="54">
        <f t="shared" ca="1" si="37"/>
        <v>1</v>
      </c>
      <c r="AA30" s="101">
        <f t="shared" ca="1" si="38"/>
        <v>10.357142857142858</v>
      </c>
      <c r="AB30" s="54">
        <f t="shared" ca="1" si="39"/>
        <v>299</v>
      </c>
      <c r="AC30" s="101">
        <f t="shared" ca="1" si="40"/>
        <v>0</v>
      </c>
      <c r="AD30" s="101">
        <f t="shared" ca="1" si="41"/>
        <v>0</v>
      </c>
      <c r="AE30" s="101">
        <f t="shared" ca="1" si="42"/>
        <v>10.357142857142858</v>
      </c>
      <c r="AF30" s="54" t="str">
        <f>IF(Mitspieler!H$94&gt;Mitspieler!J$94,Mitspieler!D$94,Mitspieler!F$94)</f>
        <v>Argentinien</v>
      </c>
      <c r="AG30" s="54" t="str">
        <f>IF(Mitspieler!H$94&gt;Mitspieler!J$94,Mitspieler!F$94,Mitspieler!D$94)</f>
        <v>Frankreich</v>
      </c>
      <c r="AH30" s="54" t="str">
        <f>Mitspieler!BD$89</f>
        <v>Frankreich</v>
      </c>
      <c r="AI30" s="54" t="str">
        <f>Mitspieler!BF$89</f>
        <v>Spanien</v>
      </c>
      <c r="AJ30" s="54" t="str">
        <f>Mitspieler!BD$90</f>
        <v>Mexiko</v>
      </c>
      <c r="AK30" s="54" t="str">
        <f>Mitspieler!BF$90</f>
        <v>Argentinien</v>
      </c>
      <c r="AL30" s="148"/>
      <c r="AM30" s="92">
        <f ca="1">AM29-AR29</f>
        <v>0</v>
      </c>
      <c r="AN30" s="16">
        <f t="shared" si="44"/>
        <v>29</v>
      </c>
      <c r="AO30" s="2"/>
      <c r="AP30" s="2">
        <f t="shared" ca="1" si="22"/>
        <v>1</v>
      </c>
      <c r="AQ30" s="88">
        <f ca="1">IF(AP30*AO30&lt;=AM30,AO30,AM30/AP30)</f>
        <v>0</v>
      </c>
      <c r="AR30" s="88">
        <f ca="1">AP30*AQ30</f>
        <v>0</v>
      </c>
      <c r="AS30" s="90">
        <f t="shared" ca="1" si="25"/>
        <v>0</v>
      </c>
      <c r="AT30" s="90">
        <f ca="1">AS30*AP30</f>
        <v>0</v>
      </c>
      <c r="AU30" s="91">
        <f ca="1">IF(AS30&gt;0,AP30,0)</f>
        <v>0</v>
      </c>
      <c r="AV30" s="90">
        <f t="shared" ca="1" si="28"/>
        <v>2.0301221021717147E-15</v>
      </c>
      <c r="AW30" s="90" t="str">
        <f ca="1">IF(AU30&gt;0,AS30+AV30,"")</f>
        <v/>
      </c>
    </row>
    <row r="31" spans="1:49" ht="15.75">
      <c r="A31" s="149">
        <f t="shared" ca="1" si="0"/>
        <v>30</v>
      </c>
      <c r="B31" s="56" t="str">
        <f t="shared" ca="1" si="1"/>
        <v>Random</v>
      </c>
      <c r="C31" s="111">
        <f t="shared" ca="1" si="2"/>
        <v>265</v>
      </c>
      <c r="D31" s="101" t="str">
        <f t="shared" ca="1" si="3"/>
        <v/>
      </c>
      <c r="E31" s="87" t="str">
        <f t="shared" ca="1" si="4"/>
        <v/>
      </c>
      <c r="F31" s="112" t="str">
        <f t="shared" ca="1" si="5"/>
        <v/>
      </c>
      <c r="G31" s="113" t="str">
        <f t="shared" ca="1" si="6"/>
        <v/>
      </c>
      <c r="H31" s="101" t="str">
        <f t="shared" ca="1" si="7"/>
        <v/>
      </c>
      <c r="I31" s="101" t="str">
        <f t="shared" ca="1" si="8"/>
        <v/>
      </c>
      <c r="J31" s="114" t="str">
        <f t="shared" ca="1" si="9"/>
        <v/>
      </c>
      <c r="K31" s="115" t="str">
        <f t="shared" ca="1" si="10"/>
        <v>Irak</v>
      </c>
      <c r="L31" s="116" t="str">
        <f t="shared" ca="1" si="11"/>
        <v>Türkei</v>
      </c>
      <c r="M31" s="53" t="str">
        <f t="shared" ca="1" si="12"/>
        <v>Türkei</v>
      </c>
      <c r="N31" s="53" t="str">
        <f t="shared" ca="1" si="13"/>
        <v>Mexiko</v>
      </c>
      <c r="O31" s="53" t="str">
        <f t="shared" ca="1" si="14"/>
        <v>Irak</v>
      </c>
      <c r="P31" s="53" t="str">
        <f t="shared" ca="1" si="15"/>
        <v>Paraguay</v>
      </c>
      <c r="Q31" s="126"/>
      <c r="R31" s="150">
        <f t="shared" si="34"/>
        <v>30</v>
      </c>
      <c r="S31" s="150">
        <f t="shared" ca="1" si="50"/>
        <v>31</v>
      </c>
      <c r="T31" s="150">
        <f t="shared" ca="1" si="35"/>
        <v>6911</v>
      </c>
      <c r="U31" s="9">
        <f t="shared" si="36"/>
        <v>11</v>
      </c>
      <c r="V31" s="151">
        <f t="shared" ca="1" si="17"/>
        <v>31</v>
      </c>
      <c r="W31" s="40" t="s">
        <v>458</v>
      </c>
      <c r="X31" s="54">
        <f ca="1">IF(AL31="",Rangliste!$AX$98,INT(RAND()*1000))</f>
        <v>258</v>
      </c>
      <c r="Y31" s="101"/>
      <c r="Z31" s="54" t="str">
        <f t="shared" si="18"/>
        <v/>
      </c>
      <c r="AA31" s="101" t="str">
        <f t="shared" si="19"/>
        <v/>
      </c>
      <c r="AB31" s="54" t="str">
        <f t="shared" ref="AB31:AB32" si="51">IF(Y31="","",X31)</f>
        <v/>
      </c>
      <c r="AC31" s="101" t="str">
        <f t="shared" ref="AC31:AC32" si="52">IF(AA31="","",IF(ISERROR(VLOOKUP(Y31,$AC$39:$AD$40,2,FALSE)),"",(1-VLOOKUP(Y31,$AC$39:$AD$40,2,FALSE))*AA31))</f>
        <v/>
      </c>
      <c r="AD31" s="101" t="str">
        <f t="shared" si="21"/>
        <v/>
      </c>
      <c r="AE31" s="101" t="str">
        <f t="shared" ref="AE31:AE32" si="53">IF(AA31="","",AA31-AC31+AD31)</f>
        <v/>
      </c>
      <c r="AF31" s="54" t="str">
        <f>IF(Rangliste!H$94&gt;Rangliste!J$94,Rangliste!D$94,Rangliste!F$94)</f>
        <v>Frankreich</v>
      </c>
      <c r="AG31" s="54" t="str">
        <f>IF(Rangliste!H$94&gt;Rangliste!J$94,Rangliste!F$94,Rangliste!D$94)</f>
        <v>Argentinien</v>
      </c>
      <c r="AH31" s="54" t="str">
        <f>Rangliste!BD$89</f>
        <v>Frankreich</v>
      </c>
      <c r="AI31" s="54" t="str">
        <f>Rangliste!BF$89</f>
        <v>Spanien</v>
      </c>
      <c r="AJ31" s="54" t="str">
        <f>Rangliste!BD$90</f>
        <v>England</v>
      </c>
      <c r="AK31" s="54" t="str">
        <f>Rangliste!BF$90</f>
        <v>Argentinien</v>
      </c>
      <c r="AL31" s="148"/>
      <c r="AM31" s="92">
        <f ca="1">AM29-AR29</f>
        <v>0</v>
      </c>
      <c r="AN31" s="16">
        <f t="shared" si="44"/>
        <v>30</v>
      </c>
      <c r="AO31" s="2"/>
      <c r="AP31" s="2">
        <f t="shared" ca="1" si="22"/>
        <v>0</v>
      </c>
      <c r="AQ31" s="88">
        <f ca="1">IF(AP31*AO31&lt;=AM31,AO31,AM31/AP31)</f>
        <v>0</v>
      </c>
      <c r="AR31" s="88">
        <f ca="1">AP31*AQ31</f>
        <v>0</v>
      </c>
      <c r="AS31" s="90">
        <f t="shared" ca="1" si="25"/>
        <v>0</v>
      </c>
      <c r="AT31" s="90">
        <f ca="1">AS31*AP31</f>
        <v>0</v>
      </c>
      <c r="AU31" s="91">
        <f ca="1">IF(AS31&gt;0,AP31,0)</f>
        <v>0</v>
      </c>
      <c r="AV31" s="90">
        <f t="shared" ca="1" si="28"/>
        <v>2.0301221021717147E-15</v>
      </c>
      <c r="AW31" s="90" t="str">
        <f ca="1">IF(AU31&gt;0,AS31+AV31,"")</f>
        <v/>
      </c>
    </row>
    <row r="32" spans="1:49" ht="15.75">
      <c r="A32" s="149">
        <f t="shared" ca="1" si="0"/>
        <v>31</v>
      </c>
      <c r="B32" s="56" t="str">
        <f t="shared" ca="1" si="1"/>
        <v>Rangliste</v>
      </c>
      <c r="C32" s="111">
        <f t="shared" ca="1" si="2"/>
        <v>258</v>
      </c>
      <c r="D32" s="101" t="str">
        <f t="shared" ca="1" si="3"/>
        <v/>
      </c>
      <c r="E32" s="87" t="str">
        <f t="shared" ca="1" si="4"/>
        <v/>
      </c>
      <c r="F32" s="112" t="str">
        <f t="shared" ca="1" si="5"/>
        <v/>
      </c>
      <c r="G32" s="113" t="str">
        <f t="shared" ca="1" si="6"/>
        <v/>
      </c>
      <c r="H32" s="101" t="str">
        <f t="shared" ca="1" si="7"/>
        <v/>
      </c>
      <c r="I32" s="101" t="str">
        <f t="shared" ca="1" si="8"/>
        <v/>
      </c>
      <c r="J32" s="114" t="str">
        <f t="shared" ca="1" si="9"/>
        <v/>
      </c>
      <c r="K32" s="115" t="str">
        <f t="shared" ca="1" si="10"/>
        <v>Frankreich</v>
      </c>
      <c r="L32" s="116" t="str">
        <f t="shared" ca="1" si="11"/>
        <v>Argentinien</v>
      </c>
      <c r="M32" s="53" t="str">
        <f t="shared" ca="1" si="12"/>
        <v>Frankreich</v>
      </c>
      <c r="N32" s="53" t="str">
        <f t="shared" ca="1" si="13"/>
        <v>Spanien</v>
      </c>
      <c r="O32" s="53" t="str">
        <f t="shared" ca="1" si="14"/>
        <v>England</v>
      </c>
      <c r="P32" s="53" t="str">
        <f t="shared" ca="1" si="15"/>
        <v>Argentinien</v>
      </c>
      <c r="Q32" s="126"/>
      <c r="R32" s="150">
        <f t="shared" si="34"/>
        <v>31</v>
      </c>
      <c r="S32" s="150">
        <f t="shared" ca="1" si="50"/>
        <v>1</v>
      </c>
      <c r="T32" s="150">
        <f t="shared" ca="1" si="35"/>
        <v>9910</v>
      </c>
      <c r="U32" s="9">
        <f t="shared" si="36"/>
        <v>10</v>
      </c>
      <c r="V32" s="151">
        <f t="shared" ca="1" si="17"/>
        <v>1</v>
      </c>
      <c r="W32" s="40" t="s">
        <v>193</v>
      </c>
      <c r="X32" s="54">
        <f ca="1">IF(AL32="",Fest!$AX$98,INT(RAND()*1000))</f>
        <v>305</v>
      </c>
      <c r="Y32" s="101"/>
      <c r="Z32" s="54" t="str">
        <f t="shared" si="18"/>
        <v/>
      </c>
      <c r="AA32" s="101" t="str">
        <f t="shared" si="19"/>
        <v/>
      </c>
      <c r="AB32" s="54" t="str">
        <f t="shared" si="51"/>
        <v/>
      </c>
      <c r="AC32" s="101" t="str">
        <f t="shared" si="52"/>
        <v/>
      </c>
      <c r="AD32" s="101" t="str">
        <f t="shared" si="21"/>
        <v/>
      </c>
      <c r="AE32" s="101" t="str">
        <f t="shared" si="53"/>
        <v/>
      </c>
      <c r="AF32" s="54" t="str">
        <f ca="1">IF(Fest!H$94&gt;Fest!J$94,Fest!D$94,Fest!F$94)</f>
        <v>Ecuador</v>
      </c>
      <c r="AG32" s="54" t="str">
        <f ca="1">IF(Fest!H$94&gt;Fest!J$94,Fest!F$94,Fest!D$94)</f>
        <v>Schottland</v>
      </c>
      <c r="AH32" s="54" t="str">
        <f ca="1">Fest!BD$89</f>
        <v>Ecuador</v>
      </c>
      <c r="AI32" s="54" t="str">
        <f ca="1">Fest!BF$89</f>
        <v>Portugal</v>
      </c>
      <c r="AJ32" s="54" t="str">
        <f ca="1">Fest!BD$90</f>
        <v>Schottland</v>
      </c>
      <c r="AK32" s="54" t="str">
        <f ca="1">Fest!BF$90</f>
        <v>Jordanien</v>
      </c>
      <c r="AL32" s="148"/>
      <c r="AM32" s="92">
        <f ca="1">AM31-AR31</f>
        <v>0</v>
      </c>
      <c r="AN32" s="16">
        <f t="shared" si="44"/>
        <v>31</v>
      </c>
      <c r="AO32" s="2"/>
      <c r="AP32" s="2">
        <f t="shared" ca="1" si="22"/>
        <v>0</v>
      </c>
      <c r="AQ32" s="88">
        <f ca="1">IF(AP32*AO32&lt;=AM32,AO32,AM32/AP32)</f>
        <v>0</v>
      </c>
      <c r="AR32" s="88">
        <f ca="1">AP32*AQ32</f>
        <v>0</v>
      </c>
      <c r="AS32" s="90">
        <f t="shared" ca="1" si="25"/>
        <v>0</v>
      </c>
      <c r="AT32" s="90">
        <f ca="1">AS32*AP32</f>
        <v>0</v>
      </c>
      <c r="AU32" s="91">
        <f ca="1">IF(AS32&gt;0,AP32,0)</f>
        <v>0</v>
      </c>
      <c r="AV32" s="90">
        <f t="shared" ca="1" si="28"/>
        <v>2.0301221021717147E-15</v>
      </c>
      <c r="AW32" s="90" t="str">
        <f ca="1">IF(AU32&gt;0,AS32+AV32,"")</f>
        <v/>
      </c>
    </row>
    <row r="33" spans="1:49" ht="15.75">
      <c r="A33" s="149">
        <f t="shared" ca="1" si="0"/>
        <v>32</v>
      </c>
      <c r="B33" s="56" t="str">
        <f t="shared" ca="1" si="1"/>
        <v>Bernd Schubert</v>
      </c>
      <c r="C33" s="111">
        <f t="shared" ca="1" si="2"/>
        <v>255</v>
      </c>
      <c r="D33" s="101">
        <f t="shared" ca="1" si="3"/>
        <v>10</v>
      </c>
      <c r="E33" s="87">
        <f t="shared" ca="1" si="4"/>
        <v>29</v>
      </c>
      <c r="F33" s="112" t="str">
        <f t="shared" ca="1" si="5"/>
        <v/>
      </c>
      <c r="G33" s="113">
        <f t="shared" ca="1" si="6"/>
        <v>255</v>
      </c>
      <c r="H33" s="101" t="str">
        <f t="shared" ca="1" si="7"/>
        <v/>
      </c>
      <c r="I33" s="101" t="str">
        <f t="shared" ca="1" si="8"/>
        <v/>
      </c>
      <c r="J33" s="114" t="str">
        <f t="shared" ca="1" si="9"/>
        <v/>
      </c>
      <c r="K33" s="115" t="str">
        <f t="shared" ca="1" si="10"/>
        <v>Spanien</v>
      </c>
      <c r="L33" s="116" t="str">
        <f t="shared" ca="1" si="11"/>
        <v>Argentinien</v>
      </c>
      <c r="M33" s="53" t="str">
        <f t="shared" ca="1" si="12"/>
        <v>Deutschland</v>
      </c>
      <c r="N33" s="53" t="str">
        <f t="shared" ca="1" si="13"/>
        <v>Spanien</v>
      </c>
      <c r="O33" s="53" t="str">
        <f t="shared" ca="1" si="14"/>
        <v>Frankreich</v>
      </c>
      <c r="P33" s="53" t="str">
        <f t="shared" ca="1" si="15"/>
        <v>Argentinien</v>
      </c>
      <c r="Q33" s="126"/>
      <c r="R33" s="150">
        <f t="shared" si="34"/>
        <v>32</v>
      </c>
      <c r="S33" s="150">
        <f t="shared" ca="1" si="50"/>
        <v>30</v>
      </c>
      <c r="T33" s="150">
        <f t="shared" ca="1" si="35"/>
        <v>7009</v>
      </c>
      <c r="U33" s="9">
        <f t="shared" si="36"/>
        <v>9</v>
      </c>
      <c r="V33" s="151">
        <f t="shared" ca="1" si="17"/>
        <v>30</v>
      </c>
      <c r="W33" s="40" t="s">
        <v>85</v>
      </c>
      <c r="X33" s="54">
        <f ca="1">IF(AL33="",Random!$AX$98,INT(RAND()*1000))</f>
        <v>265</v>
      </c>
      <c r="Y33" s="101"/>
      <c r="Z33" s="54"/>
      <c r="AA33" s="101"/>
      <c r="AB33" s="54"/>
      <c r="AC33" s="101"/>
      <c r="AD33" s="101"/>
      <c r="AE33" s="101"/>
      <c r="AF33" s="54" t="str">
        <f ca="1">IF(Random!H$94&gt;Random!J$94,Random!D$94,Random!F$94)</f>
        <v>Irak</v>
      </c>
      <c r="AG33" s="54" t="str">
        <f ca="1">IF(Random!H$94&gt;Random!J$94,Random!F$94,Random!D$94)</f>
        <v>Türkei</v>
      </c>
      <c r="AH33" s="54" t="str">
        <f ca="1">Random!BD$89</f>
        <v>Türkei</v>
      </c>
      <c r="AI33" s="54" t="str">
        <f ca="1">Random!BF$89</f>
        <v>Mexiko</v>
      </c>
      <c r="AJ33" s="54" t="str">
        <f ca="1">Random!BD$90</f>
        <v>Irak</v>
      </c>
      <c r="AK33" s="54" t="str">
        <f ca="1">Random!BF$90</f>
        <v>Paraguay</v>
      </c>
      <c r="AL33" s="148"/>
      <c r="AM33" s="92"/>
      <c r="AO33" s="88">
        <f>SUM(AO2:AO32)</f>
        <v>1</v>
      </c>
      <c r="AP33" s="2">
        <f ca="1">SUM(AP2:AP32)</f>
        <v>29</v>
      </c>
      <c r="AR33" s="88">
        <f ca="1">SUM(AR2:AR32)</f>
        <v>1</v>
      </c>
      <c r="AT33" s="90">
        <f ca="1">SUM(AT2:AT32)</f>
        <v>289.99999999999994</v>
      </c>
      <c r="AU33" s="91">
        <f ca="1">SUM(AU2:AU32)</f>
        <v>28</v>
      </c>
    </row>
    <row r="34" spans="1:49" ht="15.75">
      <c r="A34" s="152"/>
      <c r="B34" s="110" t="str">
        <f>W34</f>
        <v>NOBODY</v>
      </c>
      <c r="C34" s="111">
        <f ca="1">X34</f>
        <v>1000</v>
      </c>
      <c r="D34" s="101"/>
      <c r="E34" s="87"/>
      <c r="F34" s="112"/>
      <c r="G34" s="113"/>
      <c r="H34" s="101"/>
      <c r="I34" s="101"/>
      <c r="J34" s="114"/>
      <c r="K34" s="129"/>
      <c r="L34" s="130"/>
      <c r="M34" s="130"/>
      <c r="N34" s="130"/>
      <c r="O34" s="130"/>
      <c r="P34" s="130"/>
      <c r="Q34" s="126"/>
      <c r="R34" s="65"/>
      <c r="S34" s="65"/>
      <c r="T34" s="65"/>
      <c r="V34" s="137"/>
      <c r="W34" s="153" t="s">
        <v>109</v>
      </c>
      <c r="X34" s="54">
        <f ca="1">Nobody!AX$98</f>
        <v>1000</v>
      </c>
      <c r="Y34" s="101"/>
      <c r="Z34" s="54"/>
      <c r="AA34" s="101"/>
      <c r="AB34" s="54"/>
      <c r="AC34" s="101"/>
      <c r="AD34" s="101"/>
      <c r="AE34" s="101"/>
      <c r="AF34" s="54" t="str">
        <f ca="1">IF(Nobody!H$94&gt;Nobody!J$94,Nobody!D$94,Nobody!F$94)</f>
        <v>Südafrika</v>
      </c>
      <c r="AG34" s="54" t="str">
        <f ca="1">IF(Nobody!H$94&gt;Nobody!J$94,Nobody!F$94,Nobody!D$94)</f>
        <v>Frankreich</v>
      </c>
      <c r="AH34" s="54" t="str">
        <f ca="1">Nobody!BD$89</f>
        <v>Frankreich</v>
      </c>
      <c r="AI34" s="54" t="str">
        <f ca="1">Nobody!BF$89</f>
        <v>Panama</v>
      </c>
      <c r="AJ34" s="54" t="str">
        <f ca="1">Nobody!BD$90</f>
        <v>Südafrika</v>
      </c>
      <c r="AK34" s="54" t="str">
        <f ca="1">Nobody!BF$90</f>
        <v>Belgien</v>
      </c>
      <c r="AL34" s="148"/>
      <c r="AW34" s="95"/>
    </row>
    <row r="35" spans="1:49" ht="15.75">
      <c r="A35" s="152"/>
      <c r="C35" s="62"/>
      <c r="D35" s="102">
        <f>Y35</f>
        <v>290</v>
      </c>
      <c r="E35" s="128"/>
      <c r="F35" s="102"/>
      <c r="G35" s="1"/>
      <c r="H35" s="102"/>
      <c r="I35" s="102"/>
      <c r="J35" s="102">
        <f ca="1">AE35</f>
        <v>290</v>
      </c>
      <c r="K35" s="129"/>
      <c r="L35" s="130"/>
      <c r="M35" s="130"/>
      <c r="N35" s="130"/>
      <c r="O35" s="130"/>
      <c r="P35" s="130"/>
      <c r="Q35" s="126"/>
      <c r="R35" s="65"/>
      <c r="S35" s="65"/>
      <c r="T35" s="65"/>
      <c r="V35" s="137"/>
      <c r="X35" s="54"/>
      <c r="Y35" s="101">
        <f>SUM(Y2:Y32)</f>
        <v>290</v>
      </c>
      <c r="Z35" s="54"/>
      <c r="AA35" s="101">
        <f ca="1">SUM(AA2:AA32)</f>
        <v>290</v>
      </c>
      <c r="AB35" s="54"/>
      <c r="AC35" s="101">
        <f ca="1">SUM(AC2:AC32)</f>
        <v>0</v>
      </c>
      <c r="AD35" s="101">
        <f ca="1">SUM(AD2:AD32)</f>
        <v>0</v>
      </c>
      <c r="AE35" s="101">
        <f ca="1">SUM(AE2:AE32)</f>
        <v>290</v>
      </c>
      <c r="AF35" s="101"/>
      <c r="AG35" s="101"/>
      <c r="AH35" s="101"/>
      <c r="AI35" s="101"/>
      <c r="AJ35" s="101"/>
      <c r="AK35" s="101"/>
      <c r="AL35" s="148"/>
      <c r="AO35" s="88" t="s">
        <v>110</v>
      </c>
    </row>
    <row r="36" spans="1:49" ht="15.75" thickBot="1">
      <c r="A36" s="152"/>
      <c r="C36" s="62"/>
      <c r="D36" s="101"/>
      <c r="E36" s="1"/>
      <c r="F36" s="127"/>
      <c r="G36" s="1"/>
      <c r="H36" s="103"/>
      <c r="I36" s="103"/>
      <c r="J36" s="131"/>
      <c r="K36" s="132"/>
      <c r="L36" s="133"/>
      <c r="M36" s="133"/>
      <c r="N36" s="133"/>
      <c r="O36" s="133"/>
      <c r="P36" s="133"/>
      <c r="Q36" s="126"/>
      <c r="R36" s="65"/>
      <c r="S36" s="65"/>
      <c r="T36" s="65"/>
      <c r="V36" s="137"/>
      <c r="X36" s="54"/>
      <c r="Y36" s="101"/>
      <c r="Z36" s="54"/>
      <c r="AA36" s="101"/>
      <c r="AB36" s="54"/>
      <c r="AC36" s="101"/>
      <c r="AD36" s="101"/>
      <c r="AE36" s="101"/>
      <c r="AF36" s="101"/>
      <c r="AG36" s="101"/>
      <c r="AH36" s="101"/>
      <c r="AI36" s="101"/>
      <c r="AJ36" s="101"/>
      <c r="AK36" s="101"/>
      <c r="AL36" s="148"/>
      <c r="AO36" s="88" t="s">
        <v>111</v>
      </c>
      <c r="AT36" s="98"/>
      <c r="AU36" s="75"/>
    </row>
    <row r="37" spans="1:49" ht="16.5" thickTop="1" thickBot="1">
      <c r="A37" s="152"/>
      <c r="C37" s="154"/>
      <c r="D37" s="101"/>
      <c r="E37" s="1"/>
      <c r="F37" s="127"/>
      <c r="G37" s="1"/>
      <c r="H37" s="103"/>
      <c r="I37" s="103"/>
      <c r="J37" s="131"/>
      <c r="K37" s="132"/>
      <c r="L37" s="133"/>
      <c r="M37" s="133"/>
      <c r="N37" s="133"/>
      <c r="O37" s="133"/>
      <c r="P37" s="133"/>
      <c r="Q37" s="126"/>
      <c r="R37" s="65"/>
      <c r="S37" s="65"/>
      <c r="T37" s="65"/>
      <c r="V37" s="137"/>
      <c r="X37" s="155"/>
      <c r="Y37" s="101"/>
      <c r="Z37" s="54"/>
      <c r="AA37" s="101"/>
      <c r="AB37" s="54"/>
      <c r="AC37" s="101"/>
      <c r="AD37" s="101"/>
      <c r="AE37" s="101"/>
      <c r="AF37" s="101"/>
      <c r="AG37" s="101"/>
      <c r="AH37" s="101"/>
      <c r="AI37" s="101"/>
      <c r="AJ37" s="101"/>
      <c r="AK37" s="101"/>
      <c r="AL37" s="148"/>
    </row>
    <row r="38" spans="1:49" ht="16.5" thickTop="1" thickBot="1">
      <c r="A38" s="152"/>
      <c r="C38" s="62"/>
      <c r="D38" s="101"/>
      <c r="E38" s="1"/>
      <c r="F38" s="127"/>
      <c r="G38" s="1"/>
      <c r="H38" s="103"/>
      <c r="I38" s="103"/>
      <c r="J38" s="131"/>
      <c r="K38" s="132"/>
      <c r="L38" s="133"/>
      <c r="M38" s="133"/>
      <c r="N38" s="133"/>
      <c r="O38" s="133"/>
      <c r="P38" s="133"/>
      <c r="Q38" s="126"/>
      <c r="R38" s="65"/>
      <c r="S38" s="65"/>
      <c r="T38" s="65"/>
      <c r="V38" s="137"/>
      <c r="X38" s="54"/>
      <c r="Y38" s="101"/>
      <c r="Z38" s="54"/>
      <c r="AA38" s="101"/>
      <c r="AB38" s="54"/>
      <c r="AC38" s="101"/>
      <c r="AD38" s="101"/>
      <c r="AE38" s="101"/>
      <c r="AF38" s="101"/>
      <c r="AG38" s="101"/>
      <c r="AH38" s="101"/>
      <c r="AI38" s="101"/>
      <c r="AJ38" s="101"/>
      <c r="AK38" s="101"/>
      <c r="AL38" s="148"/>
      <c r="AO38" s="99" t="s">
        <v>112</v>
      </c>
    </row>
    <row r="39" spans="1:49" ht="16.5" thickTop="1" thickBot="1">
      <c r="A39" s="152"/>
      <c r="C39" s="62"/>
      <c r="D39" s="101"/>
      <c r="E39" s="1"/>
      <c r="F39" s="127"/>
      <c r="G39" s="1"/>
      <c r="H39" s="134"/>
      <c r="I39" s="135"/>
      <c r="J39" s="131"/>
      <c r="K39" s="132"/>
      <c r="L39" s="133"/>
      <c r="M39" s="133"/>
      <c r="N39" s="133"/>
      <c r="O39" s="133"/>
      <c r="P39" s="133"/>
      <c r="Q39" s="126"/>
      <c r="R39" s="65"/>
      <c r="S39" s="65"/>
      <c r="T39" s="65"/>
      <c r="V39" s="137"/>
      <c r="X39" s="155" t="s">
        <v>191</v>
      </c>
      <c r="Y39" s="54" t="s">
        <v>192</v>
      </c>
      <c r="Z39" s="54"/>
      <c r="AA39" s="101"/>
      <c r="AB39" s="54"/>
      <c r="AC39" s="156">
        <v>10</v>
      </c>
      <c r="AD39" s="157">
        <v>1</v>
      </c>
      <c r="AE39" s="101"/>
      <c r="AF39" s="101"/>
      <c r="AG39" s="101"/>
      <c r="AH39" s="101"/>
      <c r="AI39" s="101"/>
      <c r="AJ39" s="101"/>
      <c r="AK39" s="101"/>
      <c r="AL39" s="148"/>
      <c r="AO39" s="88" t="s">
        <v>113</v>
      </c>
    </row>
    <row r="40" spans="1:49" ht="15.75" thickTop="1">
      <c r="A40" s="152"/>
      <c r="C40" s="62"/>
      <c r="D40" s="101"/>
      <c r="E40" s="1"/>
      <c r="F40" s="127"/>
      <c r="G40" s="1"/>
      <c r="H40" s="134"/>
      <c r="I40" s="135"/>
      <c r="J40" s="131"/>
      <c r="K40" s="132"/>
      <c r="L40" s="133"/>
      <c r="M40" s="133"/>
      <c r="N40" s="133"/>
      <c r="O40" s="133"/>
      <c r="P40" s="133"/>
      <c r="Q40" s="126"/>
      <c r="R40" s="65"/>
      <c r="S40" s="65"/>
      <c r="T40" s="65"/>
      <c r="V40" s="137"/>
      <c r="X40" s="54"/>
      <c r="Y40" s="101"/>
      <c r="Z40" s="54"/>
      <c r="AA40" s="101"/>
      <c r="AB40" s="54"/>
      <c r="AC40" s="156">
        <v>5</v>
      </c>
      <c r="AD40" s="157">
        <v>0.5</v>
      </c>
      <c r="AE40" s="101"/>
      <c r="AF40" s="101"/>
      <c r="AG40" s="101"/>
      <c r="AH40" s="101"/>
      <c r="AI40" s="101"/>
      <c r="AJ40" s="101"/>
      <c r="AK40" s="101"/>
      <c r="AL40" s="148"/>
      <c r="AO40" s="88" t="s">
        <v>114</v>
      </c>
    </row>
    <row r="41" spans="1:49">
      <c r="H41" s="2"/>
      <c r="I41" s="2"/>
      <c r="Q41" s="158"/>
      <c r="AC41" s="58"/>
      <c r="AD41" s="58"/>
      <c r="AL41" s="100"/>
    </row>
    <row r="42" spans="1:49">
      <c r="Q42" s="126"/>
      <c r="W42" s="58" t="s">
        <v>129</v>
      </c>
      <c r="AL42" s="101"/>
    </row>
    <row r="43" spans="1:49" ht="15.75">
      <c r="Q43" s="159"/>
      <c r="W43" s="58" t="s">
        <v>130</v>
      </c>
      <c r="AL43" s="102"/>
    </row>
    <row r="44" spans="1:49">
      <c r="W44" s="58" t="s">
        <v>131</v>
      </c>
    </row>
    <row r="45" spans="1:49">
      <c r="W45" s="58" t="s">
        <v>132</v>
      </c>
    </row>
    <row r="46" spans="1:49">
      <c r="W46" s="58" t="s">
        <v>133</v>
      </c>
    </row>
    <row r="48" spans="1:49">
      <c r="W48" s="58" t="s">
        <v>134</v>
      </c>
    </row>
    <row r="49" spans="17:56">
      <c r="W49" s="58" t="s">
        <v>135</v>
      </c>
    </row>
    <row r="50" spans="17:56">
      <c r="W50" s="58" t="s">
        <v>136</v>
      </c>
    </row>
    <row r="51" spans="17:56">
      <c r="W51" s="58" t="s">
        <v>137</v>
      </c>
    </row>
    <row r="52" spans="17:56">
      <c r="W52" s="58" t="s">
        <v>138</v>
      </c>
    </row>
    <row r="53" spans="17:56">
      <c r="W53" s="58" t="s">
        <v>139</v>
      </c>
      <c r="BD53" s="83"/>
    </row>
    <row r="54" spans="17:56">
      <c r="Q54" s="161"/>
      <c r="AL54" s="104"/>
    </row>
    <row r="55" spans="17:56">
      <c r="Q55" s="161"/>
      <c r="W55" s="58" t="s">
        <v>160</v>
      </c>
      <c r="AL55" s="104"/>
    </row>
    <row r="56" spans="17:56">
      <c r="Q56" s="161"/>
      <c r="W56" s="58" t="s">
        <v>161</v>
      </c>
      <c r="AL56" s="104"/>
    </row>
    <row r="57" spans="17:56">
      <c r="Q57" s="161"/>
      <c r="W57" s="58" t="s">
        <v>162</v>
      </c>
      <c r="AL57" s="104"/>
    </row>
    <row r="58" spans="17:56">
      <c r="Q58" s="161"/>
      <c r="W58" s="58" t="s">
        <v>163</v>
      </c>
      <c r="AL58" s="104"/>
    </row>
    <row r="59" spans="17:56">
      <c r="Q59" s="161"/>
      <c r="W59" s="58" t="s">
        <v>164</v>
      </c>
      <c r="AL59" s="104"/>
    </row>
    <row r="60" spans="17:56">
      <c r="Q60" s="161"/>
      <c r="W60" s="58" t="s">
        <v>165</v>
      </c>
      <c r="AL60" s="104"/>
    </row>
    <row r="61" spans="17:56">
      <c r="Q61" s="161"/>
      <c r="W61" s="58" t="s">
        <v>166</v>
      </c>
      <c r="AL61" s="104"/>
    </row>
    <row r="62" spans="17:56">
      <c r="Q62" s="161"/>
      <c r="AL62" s="104"/>
    </row>
    <row r="63" spans="17:56">
      <c r="Q63" s="161"/>
      <c r="W63" s="58" t="s">
        <v>167</v>
      </c>
      <c r="AL63" s="104"/>
    </row>
    <row r="64" spans="17:56">
      <c r="Q64" s="161"/>
      <c r="W64" s="58" t="s">
        <v>168</v>
      </c>
      <c r="AL64" s="104"/>
    </row>
    <row r="65" spans="17:54">
      <c r="Q65" s="161"/>
      <c r="AL65" s="104"/>
    </row>
    <row r="66" spans="17:54">
      <c r="Q66" s="161"/>
      <c r="W66" s="58" t="s">
        <v>169</v>
      </c>
      <c r="AL66" s="104"/>
      <c r="BB66" s="83"/>
    </row>
    <row r="67" spans="17:54">
      <c r="Q67" s="161"/>
      <c r="W67" s="58" t="s">
        <v>170</v>
      </c>
      <c r="AL67" s="104"/>
    </row>
    <row r="68" spans="17:54">
      <c r="W68" s="58" t="s">
        <v>171</v>
      </c>
    </row>
    <row r="69" spans="17:54">
      <c r="W69" s="58" t="s">
        <v>172</v>
      </c>
    </row>
    <row r="70" spans="17:54">
      <c r="W70" s="58" t="s">
        <v>173</v>
      </c>
    </row>
    <row r="71" spans="17:54">
      <c r="W71" s="58" t="s">
        <v>174</v>
      </c>
    </row>
    <row r="72" spans="17:54">
      <c r="W72" s="58" t="s">
        <v>175</v>
      </c>
    </row>
    <row r="73" spans="17:54">
      <c r="W73" s="58" t="s">
        <v>176</v>
      </c>
    </row>
    <row r="74" spans="17:54">
      <c r="W74" s="58" t="s">
        <v>177</v>
      </c>
    </row>
    <row r="75" spans="17:54">
      <c r="W75" s="58" t="s">
        <v>178</v>
      </c>
    </row>
    <row r="76" spans="17:54">
      <c r="W76" s="58" t="s">
        <v>179</v>
      </c>
    </row>
  </sheetData>
  <phoneticPr fontId="0" type="noConversion"/>
  <conditionalFormatting sqref="M2:M29 M31:M33">
    <cfRule type="expression" dxfId="881" priority="9" stopIfTrue="1">
      <formula>(M2=AH$34)</formula>
    </cfRule>
    <cfRule type="expression" dxfId="880" priority="10" stopIfTrue="1">
      <formula>OR(M2=AI$34,M2=AJ$34,M2=AK$34)</formula>
    </cfRule>
  </conditionalFormatting>
  <conditionalFormatting sqref="N2:N29 N31:N33">
    <cfRule type="expression" dxfId="879" priority="11" stopIfTrue="1">
      <formula>(N2=AI$34)</formula>
    </cfRule>
    <cfRule type="expression" dxfId="878" priority="12" stopIfTrue="1">
      <formula>OR(N2=AH$34,N2=AJ$34,N2=AK$34)</formula>
    </cfRule>
  </conditionalFormatting>
  <conditionalFormatting sqref="O2:O29 O31:O33">
    <cfRule type="expression" dxfId="877" priority="13" stopIfTrue="1">
      <formula>(O2=AJ$34)</formula>
    </cfRule>
    <cfRule type="expression" dxfId="876" priority="14" stopIfTrue="1">
      <formula>OR(O2=AH$34,O2=AI$34,O2=AK$34)</formula>
    </cfRule>
  </conditionalFormatting>
  <conditionalFormatting sqref="P2:P29 P31:P33">
    <cfRule type="expression" dxfId="875" priority="15" stopIfTrue="1">
      <formula>(P2=AK$34)</formula>
    </cfRule>
    <cfRule type="expression" dxfId="874" priority="16" stopIfTrue="1">
      <formula>OR(P2=AH$34,P2=AI$34,P2=AJ$34)</formula>
    </cfRule>
  </conditionalFormatting>
  <conditionalFormatting sqref="M30">
    <cfRule type="expression" dxfId="873" priority="1" stopIfTrue="1">
      <formula>(M30=AH$34)</formula>
    </cfRule>
    <cfRule type="expression" dxfId="872" priority="2" stopIfTrue="1">
      <formula>OR(M30=AI$34,M30=AJ$34,M30=AK$34)</formula>
    </cfRule>
  </conditionalFormatting>
  <conditionalFormatting sqref="N30">
    <cfRule type="expression" dxfId="871" priority="3" stopIfTrue="1">
      <formula>(N30=AI$34)</formula>
    </cfRule>
    <cfRule type="expression" dxfId="870" priority="4" stopIfTrue="1">
      <formula>OR(N30=AH$34,N30=AJ$34,N30=AK$34)</formula>
    </cfRule>
  </conditionalFormatting>
  <conditionalFormatting sqref="O30">
    <cfRule type="expression" dxfId="869" priority="5" stopIfTrue="1">
      <formula>(O30=AJ$34)</formula>
    </cfRule>
    <cfRule type="expression" dxfId="868" priority="6" stopIfTrue="1">
      <formula>OR(O30=AH$34,O30=AI$34,O30=AK$34)</formula>
    </cfRule>
  </conditionalFormatting>
  <conditionalFormatting sqref="P30">
    <cfRule type="expression" dxfId="867" priority="7" stopIfTrue="1">
      <formula>(P30=AK$34)</formula>
    </cfRule>
    <cfRule type="expression" dxfId="866" priority="8" stopIfTrue="1">
      <formula>OR(P30=AH$34,P30=AI$34,P30=AJ$34)</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P204"/>
  <sheetViews>
    <sheetView workbookViewId="0">
      <pane xSplit="11" ySplit="2" topLeftCell="L3" activePane="bottomRight" state="frozen"/>
      <selection pane="topRight" activeCell="L1" sqref="L1"/>
      <selection pane="bottomLeft" activeCell="A3" sqref="A3"/>
      <selection pane="bottomRight" activeCell="R4" sqref="R4"/>
    </sheetView>
  </sheetViews>
  <sheetFormatPr baseColWidth="10" defaultRowHeight="12.75"/>
  <cols>
    <col min="1" max="1" width="5.140625" style="2" customWidth="1"/>
    <col min="2" max="2" width="15.28515625" style="2" customWidth="1"/>
    <col min="3" max="3" width="15.5703125" style="2" customWidth="1"/>
    <col min="4" max="4" width="14.28515625" style="2" customWidth="1"/>
    <col min="5" max="5" width="2" style="2" customWidth="1"/>
    <col min="6" max="6" width="14.28515625" style="2" customWidth="1"/>
    <col min="7" max="7" width="1.5703125" style="2" customWidth="1"/>
    <col min="8" max="8" width="3.5703125" style="58" customWidth="1"/>
    <col min="9" max="9" width="1.5703125" style="58" customWidth="1"/>
    <col min="10" max="10" width="3.5703125" style="58" customWidth="1"/>
    <col min="11" max="11" width="3" style="81" customWidth="1"/>
    <col min="12" max="12" width="2" style="2" customWidth="1"/>
    <col min="13" max="14" width="14" style="2" customWidth="1"/>
    <col min="15" max="15" width="7.140625" style="65" customWidth="1"/>
    <col min="16" max="16" width="2" style="9" customWidth="1"/>
    <col min="17" max="17" width="2" style="2" customWidth="1"/>
    <col min="18" max="19" width="14" style="2" customWidth="1"/>
    <col min="20" max="20" width="7.140625" style="65" customWidth="1"/>
    <col min="21" max="21" width="2" style="9" customWidth="1"/>
    <col min="22" max="22" width="2" style="2" customWidth="1"/>
    <col min="23" max="24" width="14" style="2" customWidth="1"/>
    <col min="25" max="25" width="7.140625" style="65" customWidth="1"/>
    <col min="26" max="26" width="2" style="9" customWidth="1"/>
    <col min="27" max="27" width="2" style="2" customWidth="1"/>
    <col min="28" max="29" width="14" style="2" customWidth="1"/>
    <col min="30" max="30" width="7.140625" style="65" customWidth="1"/>
    <col min="31" max="31" width="2" style="9" customWidth="1"/>
    <col min="32" max="32" width="2" style="2" customWidth="1"/>
    <col min="33" max="34" width="14" style="2" customWidth="1"/>
    <col min="35" max="35" width="7.140625" style="65" customWidth="1"/>
    <col min="36" max="36" width="2" style="9" customWidth="1"/>
    <col min="37" max="37" width="2" style="2" customWidth="1"/>
    <col min="38" max="39" width="14" style="2" customWidth="1"/>
    <col min="40" max="40" width="7.140625" style="65" customWidth="1"/>
    <col min="41" max="41" width="2" style="9" customWidth="1"/>
    <col min="42" max="42" width="2" style="2" customWidth="1"/>
    <col min="43" max="16384" width="11.42578125" style="2"/>
  </cols>
  <sheetData>
    <row r="1" spans="1:42" ht="14.25" thickTop="1" thickBot="1">
      <c r="G1" s="82"/>
      <c r="H1" s="173"/>
      <c r="L1" s="30"/>
      <c r="M1" s="189" t="s">
        <v>117</v>
      </c>
      <c r="O1" s="190" t="s">
        <v>183</v>
      </c>
      <c r="P1" s="195"/>
      <c r="Q1" s="30"/>
      <c r="R1" s="189" t="s">
        <v>460</v>
      </c>
      <c r="T1" s="190" t="s">
        <v>183</v>
      </c>
      <c r="U1" s="195"/>
      <c r="V1" s="30"/>
      <c r="W1" s="189" t="s">
        <v>85</v>
      </c>
      <c r="Y1" s="190" t="s">
        <v>183</v>
      </c>
      <c r="Z1" s="195"/>
      <c r="AA1" s="30"/>
      <c r="AB1" s="189" t="s">
        <v>458</v>
      </c>
      <c r="AD1" s="190" t="s">
        <v>183</v>
      </c>
      <c r="AE1" s="195"/>
      <c r="AF1" s="30"/>
      <c r="AG1" s="189" t="s">
        <v>193</v>
      </c>
      <c r="AI1" s="190" t="s">
        <v>183</v>
      </c>
      <c r="AJ1" s="195"/>
      <c r="AK1" s="30"/>
      <c r="AL1" s="189" t="s">
        <v>459</v>
      </c>
      <c r="AN1" s="190" t="s">
        <v>183</v>
      </c>
      <c r="AO1" s="195"/>
      <c r="AP1" s="30"/>
    </row>
    <row r="2" spans="1:42" s="10" customFormat="1" ht="13.5" thickTop="1">
      <c r="B2" s="28" t="str">
        <f>Ergebnisse!B1</f>
        <v>Vorrunde</v>
      </c>
      <c r="C2" s="26" t="str">
        <f>Ergebnisse!C1</f>
        <v>Gruppe A</v>
      </c>
      <c r="D2" s="53"/>
      <c r="E2" s="54"/>
      <c r="F2" s="36" t="str">
        <f ca="1">Ergebnisse!M7</f>
        <v>Südafrika</v>
      </c>
      <c r="G2" s="55">
        <f>Ergebnisse!G1</f>
        <v>0</v>
      </c>
      <c r="H2" s="58"/>
      <c r="I2" s="58"/>
      <c r="J2" s="58"/>
      <c r="K2" s="81"/>
      <c r="L2" s="30"/>
      <c r="M2" s="36" t="str">
        <f>Bernd!$M7</f>
        <v>Mexiko</v>
      </c>
      <c r="N2" s="36"/>
      <c r="O2" s="191">
        <f ca="1">IF(Bernd!$AY1="","",Bernd!$AX1)</f>
        <v>0</v>
      </c>
      <c r="P2" s="195"/>
      <c r="Q2" s="190"/>
      <c r="R2" s="36" t="str">
        <f>Mitspieler!$M7</f>
        <v>Mexiko</v>
      </c>
      <c r="S2" s="36"/>
      <c r="T2" s="191">
        <f ca="1">IF(Mitspieler!$AY1="","",Mitspieler!$AX1)</f>
        <v>0</v>
      </c>
      <c r="U2" s="195"/>
      <c r="V2" s="190"/>
      <c r="W2" s="36" t="str">
        <f ca="1">Random!$M7</f>
        <v>Tschechien</v>
      </c>
      <c r="X2" s="36"/>
      <c r="Y2" s="191">
        <f ca="1">IF(Random!$AY1="","",Random!$AX1)</f>
        <v>2</v>
      </c>
      <c r="Z2" s="195"/>
      <c r="AA2" s="190"/>
      <c r="AB2" s="36" t="str">
        <f>Rangliste!$M7</f>
        <v>Mexiko</v>
      </c>
      <c r="AC2" s="36"/>
      <c r="AD2" s="191">
        <f ca="1">IF(Rangliste!$AY1="","",Rangliste!$AX1)</f>
        <v>0</v>
      </c>
      <c r="AE2" s="195"/>
      <c r="AF2" s="190"/>
      <c r="AG2" s="36" t="str">
        <f ca="1">Fest!$M7</f>
        <v>Tschechien</v>
      </c>
      <c r="AH2" s="36"/>
      <c r="AI2" s="191">
        <f ca="1">IF(Fest!$AY1="","",Fest!$AX1)</f>
        <v>2</v>
      </c>
      <c r="AJ2" s="195"/>
      <c r="AK2" s="190"/>
      <c r="AL2" s="36" t="str">
        <f ca="1">Nobody!$M7</f>
        <v>Südafrika</v>
      </c>
      <c r="AM2" s="36"/>
      <c r="AN2" s="191">
        <f ca="1">IF(Nobody!$AY1="","",Nobody!$AX1)</f>
        <v>2</v>
      </c>
      <c r="AO2" s="195"/>
      <c r="AP2" s="190"/>
    </row>
    <row r="3" spans="1:42">
      <c r="B3" s="3" t="str">
        <f>Ergebnisse!B2</f>
        <v>Datum/Zeit</v>
      </c>
      <c r="C3" s="3" t="str">
        <f>Ergebnisse!C2</f>
        <v>Spielort</v>
      </c>
      <c r="D3" s="55"/>
      <c r="E3" s="55"/>
      <c r="F3" s="36" t="str">
        <f ca="1">Ergebnisse!M8</f>
        <v>Tschechien</v>
      </c>
      <c r="G3" s="55">
        <f>Ergebnisse!G2</f>
        <v>0</v>
      </c>
      <c r="L3" s="30"/>
      <c r="M3" s="36" t="str">
        <f>Bernd!$M8</f>
        <v>Tschechien</v>
      </c>
      <c r="N3" s="36"/>
      <c r="O3" s="191">
        <f ca="1">IF(Bernd!$AY2="","",Bernd!$AX2)</f>
        <v>2</v>
      </c>
      <c r="P3" s="195"/>
      <c r="Q3" s="192"/>
      <c r="R3" s="36" t="str">
        <f>Mitspieler!$M8</f>
        <v>Südkorea</v>
      </c>
      <c r="S3" s="36"/>
      <c r="T3" s="191">
        <f ca="1">IF(Mitspieler!$AY2="","",Mitspieler!$AX2)</f>
        <v>2</v>
      </c>
      <c r="U3" s="195"/>
      <c r="V3" s="192"/>
      <c r="W3" s="36" t="str">
        <f ca="1">Random!$M8</f>
        <v>Südkorea</v>
      </c>
      <c r="X3" s="36"/>
      <c r="Y3" s="191">
        <f ca="1">IF(Random!$AY2="","",Random!$AX2)</f>
        <v>2</v>
      </c>
      <c r="Z3" s="195"/>
      <c r="AA3" s="192"/>
      <c r="AB3" s="36" t="str">
        <f>Rangliste!$M8</f>
        <v>Südkorea</v>
      </c>
      <c r="AC3" s="36"/>
      <c r="AD3" s="191">
        <f ca="1">IF(Rangliste!$AY2="","",Rangliste!$AX2)</f>
        <v>2</v>
      </c>
      <c r="AE3" s="195"/>
      <c r="AF3" s="192"/>
      <c r="AG3" s="36" t="str">
        <f ca="1">Fest!$M8</f>
        <v>Mexiko</v>
      </c>
      <c r="AH3" s="36"/>
      <c r="AI3" s="191">
        <f ca="1">IF(Fest!$AY2="","",Fest!$AX2)</f>
        <v>0</v>
      </c>
      <c r="AJ3" s="195"/>
      <c r="AK3" s="192"/>
      <c r="AL3" s="36" t="str">
        <f ca="1">Nobody!$M8</f>
        <v>Tschechien</v>
      </c>
      <c r="AM3" s="36"/>
      <c r="AN3" s="191">
        <f ca="1">IF(Nobody!$AY2="","",Nobody!$AX2)</f>
        <v>2</v>
      </c>
      <c r="AO3" s="195"/>
      <c r="AP3" s="192"/>
    </row>
    <row r="4" spans="1:42">
      <c r="A4" s="2">
        <f>Ergebnisse!A3</f>
        <v>1</v>
      </c>
      <c r="B4" s="6">
        <f>Ergebnisse!B3</f>
        <v>46184.583333333336</v>
      </c>
      <c r="C4" s="4" t="str">
        <f>Ergebnisse!C3</f>
        <v>Mexico City</v>
      </c>
      <c r="D4" s="56" t="str">
        <f>Ergebnisse!D3</f>
        <v>Mexiko</v>
      </c>
      <c r="E4" s="40" t="str">
        <f>Ergebnisse!E3</f>
        <v>-</v>
      </c>
      <c r="F4" s="56" t="str">
        <f>Ergebnisse!F3</f>
        <v>Südafrika</v>
      </c>
      <c r="G4" s="55">
        <f>Ergebnisse!G3</f>
        <v>0</v>
      </c>
      <c r="H4" s="57">
        <f ca="1">IF($K4="","",Ergebnisse!H3)</f>
        <v>5</v>
      </c>
      <c r="I4" s="80" t="str">
        <f>Ergebnisse!I3</f>
        <v>:</v>
      </c>
      <c r="J4" s="57">
        <f ca="1">IF($K4="","",Ergebnisse!J3)</f>
        <v>4</v>
      </c>
      <c r="K4" s="81" t="str">
        <f ca="1">IF(Ergebnisse!K3="","",Ergebnisse!K3)</f>
        <v>ok</v>
      </c>
      <c r="L4" s="192"/>
      <c r="M4" s="79">
        <f ca="1">IF($K4="","",Bernd!$H3)</f>
        <v>3</v>
      </c>
      <c r="N4" s="79">
        <f ca="1">IF($K4="","",Bernd!$J3)</f>
        <v>1</v>
      </c>
      <c r="O4" s="191">
        <f ca="1">IF(Bernd!$AY3="","",Bernd!$AX3)</f>
        <v>2</v>
      </c>
      <c r="P4" s="195"/>
      <c r="Q4" s="192"/>
      <c r="R4" s="79">
        <f ca="1">IF($K4="","",Mitspieler!$H3)</f>
        <v>4</v>
      </c>
      <c r="S4" s="79">
        <f ca="1">IF($K4="","",Mitspieler!$J3)</f>
        <v>2</v>
      </c>
      <c r="T4" s="191">
        <f ca="1">IF(Mitspieler!$AY3="","",Mitspieler!$AX3)</f>
        <v>2</v>
      </c>
      <c r="U4" s="195"/>
      <c r="V4" s="192"/>
      <c r="W4" s="79">
        <f ca="1">IF($K4="","",Random!$H3)</f>
        <v>2</v>
      </c>
      <c r="X4" s="79">
        <f ca="1">IF($K4="","",Random!$J3)</f>
        <v>1</v>
      </c>
      <c r="Y4" s="191">
        <f ca="1">IF(Random!$AY3="","",Random!$AX3)</f>
        <v>4</v>
      </c>
      <c r="Z4" s="195"/>
      <c r="AA4" s="192"/>
      <c r="AB4" s="79">
        <f ca="1">IF($K4="","",Rangliste!$H3)</f>
        <v>4</v>
      </c>
      <c r="AC4" s="79">
        <f ca="1">IF($K4="","",Rangliste!$J3)</f>
        <v>3</v>
      </c>
      <c r="AD4" s="191">
        <f ca="1">IF(Rangliste!$AY3="","",Rangliste!$AX3)</f>
        <v>4</v>
      </c>
      <c r="AE4" s="195"/>
      <c r="AF4" s="192"/>
      <c r="AG4" s="79">
        <f ca="1">IF($K4="","",Fest!$H3)</f>
        <v>2</v>
      </c>
      <c r="AH4" s="79">
        <f ca="1">IF($K4="","",Fest!$J3)</f>
        <v>1</v>
      </c>
      <c r="AI4" s="191">
        <f ca="1">IF(Fest!$AY3="","",Fest!$AX3)</f>
        <v>4</v>
      </c>
      <c r="AJ4" s="195"/>
      <c r="AK4" s="192"/>
      <c r="AL4" s="79">
        <f ca="1">IF($K4="","",Nobody!$H3)</f>
        <v>5</v>
      </c>
      <c r="AM4" s="79">
        <f ca="1">IF($K4="","",Nobody!$J3)</f>
        <v>4</v>
      </c>
      <c r="AN4" s="191">
        <f ca="1">IF(Nobody!$AY3="","",Nobody!$AX3)</f>
        <v>7</v>
      </c>
      <c r="AO4" s="195"/>
      <c r="AP4" s="192"/>
    </row>
    <row r="5" spans="1:42">
      <c r="A5" s="2">
        <f>Ergebnisse!A4</f>
        <v>2</v>
      </c>
      <c r="B5" s="6">
        <f>Ergebnisse!B4</f>
        <v>46184.875</v>
      </c>
      <c r="C5" s="4" t="str">
        <f>Ergebnisse!C4</f>
        <v>Guadalajara</v>
      </c>
      <c r="D5" s="56" t="str">
        <f>Ergebnisse!D4</f>
        <v>Südkorea</v>
      </c>
      <c r="E5" s="40" t="str">
        <f>Ergebnisse!E4</f>
        <v>-</v>
      </c>
      <c r="F5" s="56" t="str">
        <f>Ergebnisse!F4</f>
        <v>Tschechien</v>
      </c>
      <c r="G5" s="55">
        <f>Ergebnisse!G4</f>
        <v>0</v>
      </c>
      <c r="H5" s="57">
        <f ca="1">IF($K5="","",Ergebnisse!H4)</f>
        <v>3</v>
      </c>
      <c r="I5" s="80" t="str">
        <f>Ergebnisse!I4</f>
        <v>:</v>
      </c>
      <c r="J5" s="57">
        <f ca="1">IF($K5="","",Ergebnisse!J4)</f>
        <v>4</v>
      </c>
      <c r="K5" s="81" t="str">
        <f ca="1">IF(Ergebnisse!K4="","",Ergebnisse!K4)</f>
        <v>ok</v>
      </c>
      <c r="L5" s="192"/>
      <c r="M5" s="79">
        <f ca="1">IF($K5="","",Bernd!$H4)</f>
        <v>1</v>
      </c>
      <c r="N5" s="79">
        <f ca="1">IF($K5="","",Bernd!$J4)</f>
        <v>1</v>
      </c>
      <c r="O5" s="191">
        <f ca="1">IF(Bernd!$AY4="","",Bernd!$AX4)</f>
        <v>0</v>
      </c>
      <c r="P5" s="195"/>
      <c r="Q5" s="192"/>
      <c r="R5" s="79">
        <f ca="1">IF($K5="","",Mitspieler!$H4)</f>
        <v>2</v>
      </c>
      <c r="S5" s="79">
        <f ca="1">IF($K5="","",Mitspieler!$J4)</f>
        <v>1</v>
      </c>
      <c r="T5" s="191">
        <f ca="1">IF(Mitspieler!$AY4="","",Mitspieler!$AX4)</f>
        <v>0</v>
      </c>
      <c r="U5" s="195"/>
      <c r="V5" s="192"/>
      <c r="W5" s="79">
        <f ca="1">IF($K5="","",Random!$H4)</f>
        <v>3</v>
      </c>
      <c r="X5" s="79">
        <f ca="1">IF($K5="","",Random!$J4)</f>
        <v>4</v>
      </c>
      <c r="Y5" s="191">
        <f ca="1">IF(Random!$AY4="","",Random!$AX4)</f>
        <v>7</v>
      </c>
      <c r="Z5" s="195"/>
      <c r="AA5" s="192"/>
      <c r="AB5" s="79">
        <f ca="1">IF($K5="","",Rangliste!$H4)</f>
        <v>2</v>
      </c>
      <c r="AC5" s="79">
        <f ca="1">IF($K5="","",Rangliste!$J4)</f>
        <v>2</v>
      </c>
      <c r="AD5" s="191">
        <f ca="1">IF(Rangliste!$AY4="","",Rangliste!$AX4)</f>
        <v>0</v>
      </c>
      <c r="AE5" s="195"/>
      <c r="AF5" s="192"/>
      <c r="AG5" s="79">
        <f ca="1">IF($K5="","",Fest!$H4)</f>
        <v>2</v>
      </c>
      <c r="AH5" s="79">
        <f ca="1">IF($K5="","",Fest!$J4)</f>
        <v>1</v>
      </c>
      <c r="AI5" s="191">
        <f ca="1">IF(Fest!$AY4="","",Fest!$AX4)</f>
        <v>0</v>
      </c>
      <c r="AJ5" s="195"/>
      <c r="AK5" s="192"/>
      <c r="AL5" s="79">
        <f ca="1">IF($K5="","",Nobody!$H4)</f>
        <v>3</v>
      </c>
      <c r="AM5" s="79">
        <f ca="1">IF($K5="","",Nobody!$J4)</f>
        <v>4</v>
      </c>
      <c r="AN5" s="191">
        <f ca="1">IF(Nobody!$AY4="","",Nobody!$AX4)</f>
        <v>7</v>
      </c>
      <c r="AO5" s="195"/>
      <c r="AP5" s="192"/>
    </row>
    <row r="6" spans="1:42">
      <c r="A6" s="2">
        <f>Ergebnisse!A5</f>
        <v>28</v>
      </c>
      <c r="B6" s="6">
        <f>Ergebnisse!B5</f>
        <v>46191.833333333336</v>
      </c>
      <c r="C6" s="4" t="str">
        <f>Ergebnisse!C5</f>
        <v>Guadalajara</v>
      </c>
      <c r="D6" s="56" t="str">
        <f>Ergebnisse!D5</f>
        <v>Mexiko</v>
      </c>
      <c r="E6" s="40" t="str">
        <f>Ergebnisse!E5</f>
        <v>-</v>
      </c>
      <c r="F6" s="56" t="str">
        <f>Ergebnisse!F5</f>
        <v>Südkorea</v>
      </c>
      <c r="G6" s="55">
        <f>Ergebnisse!G5</f>
        <v>0</v>
      </c>
      <c r="H6" s="57">
        <f ca="1">IF($K6="","",Ergebnisse!H5)</f>
        <v>0</v>
      </c>
      <c r="I6" s="80" t="str">
        <f>Ergebnisse!I5</f>
        <v>:</v>
      </c>
      <c r="J6" s="57">
        <f ca="1">IF($K6="","",Ergebnisse!J5)</f>
        <v>6</v>
      </c>
      <c r="K6" s="81" t="str">
        <f ca="1">IF(Ergebnisse!K5="","",Ergebnisse!K5)</f>
        <v>ok</v>
      </c>
      <c r="L6" s="192"/>
      <c r="M6" s="79">
        <f ca="1">IF($K6="","",Bernd!$H5)</f>
        <v>2</v>
      </c>
      <c r="N6" s="79">
        <f ca="1">IF($K6="","",Bernd!$J5)</f>
        <v>0</v>
      </c>
      <c r="O6" s="191">
        <f ca="1">IF(Bernd!$AY5="","",Bernd!$AX5)</f>
        <v>0</v>
      </c>
      <c r="P6" s="195"/>
      <c r="Q6" s="192"/>
      <c r="R6" s="79">
        <f ca="1">IF($K6="","",Mitspieler!$H5)</f>
        <v>2</v>
      </c>
      <c r="S6" s="79">
        <f ca="1">IF($K6="","",Mitspieler!$J5)</f>
        <v>1</v>
      </c>
      <c r="T6" s="191">
        <f ca="1">IF(Mitspieler!$AY5="","",Mitspieler!$AX5)</f>
        <v>0</v>
      </c>
      <c r="U6" s="195"/>
      <c r="V6" s="192"/>
      <c r="W6" s="79">
        <f ca="1">IF($K6="","",Random!$H5)</f>
        <v>1</v>
      </c>
      <c r="X6" s="79">
        <f ca="1">IF($K6="","",Random!$J5)</f>
        <v>2</v>
      </c>
      <c r="Y6" s="191">
        <f ca="1">IF(Random!$AY5="","",Random!$AX5)</f>
        <v>2</v>
      </c>
      <c r="Z6" s="195"/>
      <c r="AA6" s="192"/>
      <c r="AB6" s="79">
        <f ca="1">IF($K6="","",Rangliste!$H5)</f>
        <v>2</v>
      </c>
      <c r="AC6" s="79">
        <f ca="1">IF($K6="","",Rangliste!$J5)</f>
        <v>2</v>
      </c>
      <c r="AD6" s="191">
        <f ca="1">IF(Rangliste!$AY5="","",Rangliste!$AX5)</f>
        <v>0</v>
      </c>
      <c r="AE6" s="195"/>
      <c r="AF6" s="192"/>
      <c r="AG6" s="79">
        <f ca="1">IF($K6="","",Fest!$H5)</f>
        <v>2</v>
      </c>
      <c r="AH6" s="79">
        <f ca="1">IF($K6="","",Fest!$J5)</f>
        <v>1</v>
      </c>
      <c r="AI6" s="191">
        <f ca="1">IF(Fest!$AY5="","",Fest!$AX5)</f>
        <v>0</v>
      </c>
      <c r="AJ6" s="195"/>
      <c r="AK6" s="192"/>
      <c r="AL6" s="79">
        <f ca="1">IF($K6="","",Nobody!$H5)</f>
        <v>0</v>
      </c>
      <c r="AM6" s="79">
        <f ca="1">IF($K6="","",Nobody!$J5)</f>
        <v>6</v>
      </c>
      <c r="AN6" s="191">
        <f ca="1">IF(Nobody!$AY5="","",Nobody!$AX5)</f>
        <v>7</v>
      </c>
      <c r="AO6" s="195"/>
      <c r="AP6" s="192"/>
    </row>
    <row r="7" spans="1:42">
      <c r="A7" s="2">
        <f>Ergebnisse!A6</f>
        <v>25</v>
      </c>
      <c r="B7" s="6">
        <f>Ergebnisse!B6</f>
        <v>46191.5</v>
      </c>
      <c r="C7" s="4" t="str">
        <f>Ergebnisse!C6</f>
        <v>Atlanta</v>
      </c>
      <c r="D7" s="56" t="str">
        <f>Ergebnisse!D6</f>
        <v>Tschechien</v>
      </c>
      <c r="E7" s="40" t="str">
        <f>Ergebnisse!E6</f>
        <v>-</v>
      </c>
      <c r="F7" s="56" t="str">
        <f>Ergebnisse!F6</f>
        <v>Südafrika</v>
      </c>
      <c r="G7" s="55">
        <f>Ergebnisse!G6</f>
        <v>0</v>
      </c>
      <c r="H7" s="57">
        <f ca="1">IF($K7="","",Ergebnisse!H6)</f>
        <v>2</v>
      </c>
      <c r="I7" s="80" t="str">
        <f>Ergebnisse!I6</f>
        <v>:</v>
      </c>
      <c r="J7" s="57">
        <f ca="1">IF($K7="","",Ergebnisse!J6)</f>
        <v>3</v>
      </c>
      <c r="K7" s="81" t="str">
        <f ca="1">IF(Ergebnisse!K6="","",Ergebnisse!K6)</f>
        <v>ok</v>
      </c>
      <c r="L7" s="192"/>
      <c r="M7" s="79">
        <f ca="1">IF($K7="","",Bernd!$H6)</f>
        <v>4</v>
      </c>
      <c r="N7" s="79">
        <f ca="1">IF($K7="","",Bernd!$J6)</f>
        <v>2</v>
      </c>
      <c r="O7" s="191">
        <f ca="1">IF(Bernd!$AY6="","",Bernd!$AX6)</f>
        <v>0</v>
      </c>
      <c r="P7" s="195"/>
      <c r="Q7" s="192"/>
      <c r="R7" s="79">
        <f ca="1">IF($K7="","",Mitspieler!$H6)</f>
        <v>1</v>
      </c>
      <c r="S7" s="79">
        <f ca="1">IF($K7="","",Mitspieler!$J6)</f>
        <v>0</v>
      </c>
      <c r="T7" s="191">
        <f ca="1">IF(Mitspieler!$AY6="","",Mitspieler!$AX6)</f>
        <v>0</v>
      </c>
      <c r="U7" s="195"/>
      <c r="V7" s="192"/>
      <c r="W7" s="79">
        <f ca="1">IF($K7="","",Random!$H6)</f>
        <v>4</v>
      </c>
      <c r="X7" s="79">
        <f ca="1">IF($K7="","",Random!$J6)</f>
        <v>2</v>
      </c>
      <c r="Y7" s="191">
        <f ca="1">IF(Random!$AY6="","",Random!$AX6)</f>
        <v>0</v>
      </c>
      <c r="Z7" s="195"/>
      <c r="AA7" s="192"/>
      <c r="AB7" s="79">
        <f ca="1">IF($K7="","",Rangliste!$H6)</f>
        <v>2</v>
      </c>
      <c r="AC7" s="79">
        <f ca="1">IF($K7="","",Rangliste!$J6)</f>
        <v>2</v>
      </c>
      <c r="AD7" s="191">
        <f ca="1">IF(Rangliste!$AY6="","",Rangliste!$AX6)</f>
        <v>1</v>
      </c>
      <c r="AE7" s="195"/>
      <c r="AF7" s="192"/>
      <c r="AG7" s="79">
        <f ca="1">IF($K7="","",Fest!$H6)</f>
        <v>2</v>
      </c>
      <c r="AH7" s="79">
        <f ca="1">IF($K7="","",Fest!$J6)</f>
        <v>1</v>
      </c>
      <c r="AI7" s="191">
        <f ca="1">IF(Fest!$AY6="","",Fest!$AX6)</f>
        <v>1</v>
      </c>
      <c r="AJ7" s="195"/>
      <c r="AK7" s="192"/>
      <c r="AL7" s="79">
        <f ca="1">IF($K7="","",Nobody!$H6)</f>
        <v>2</v>
      </c>
      <c r="AM7" s="79">
        <f ca="1">IF($K7="","",Nobody!$J6)</f>
        <v>3</v>
      </c>
      <c r="AN7" s="191">
        <f ca="1">IF(Nobody!$AY6="","",Nobody!$AX6)</f>
        <v>7</v>
      </c>
      <c r="AO7" s="195"/>
      <c r="AP7" s="192"/>
    </row>
    <row r="8" spans="1:42">
      <c r="A8" s="2">
        <f>Ergebnisse!A7</f>
        <v>53</v>
      </c>
      <c r="B8" s="6">
        <f>Ergebnisse!B7</f>
        <v>46197.833333333336</v>
      </c>
      <c r="C8" s="4" t="str">
        <f>Ergebnisse!C7</f>
        <v>Mexico City</v>
      </c>
      <c r="D8" s="56" t="str">
        <f>Ergebnisse!D7</f>
        <v>Tschechien</v>
      </c>
      <c r="E8" s="40" t="str">
        <f>Ergebnisse!E7</f>
        <v>-</v>
      </c>
      <c r="F8" s="56" t="str">
        <f>Ergebnisse!F7</f>
        <v>Mexiko</v>
      </c>
      <c r="G8" s="55">
        <f>Ergebnisse!G7</f>
        <v>0</v>
      </c>
      <c r="H8" s="57">
        <f ca="1">IF($K8="","",Ergebnisse!H7)</f>
        <v>6</v>
      </c>
      <c r="I8" s="80" t="str">
        <f>Ergebnisse!I7</f>
        <v>:</v>
      </c>
      <c r="J8" s="57">
        <f ca="1">IF($K8="","",Ergebnisse!J7)</f>
        <v>1</v>
      </c>
      <c r="K8" s="81" t="str">
        <f ca="1">IF(Ergebnisse!K7="","",Ergebnisse!K7)</f>
        <v>ok</v>
      </c>
      <c r="L8" s="30"/>
      <c r="M8" s="79">
        <f ca="1">IF($K8="","",Bernd!$H7)</f>
        <v>0</v>
      </c>
      <c r="N8" s="79">
        <f ca="1">IF($K8="","",Bernd!$J7)</f>
        <v>3</v>
      </c>
      <c r="O8" s="191">
        <f ca="1">IF(Bernd!$AY7="","",Bernd!$AX7)</f>
        <v>0</v>
      </c>
      <c r="P8" s="195"/>
      <c r="Q8" s="30"/>
      <c r="R8" s="79">
        <f ca="1">IF($K8="","",Mitspieler!$H7)</f>
        <v>3</v>
      </c>
      <c r="S8" s="79">
        <f ca="1">IF($K8="","",Mitspieler!$J7)</f>
        <v>5</v>
      </c>
      <c r="T8" s="191">
        <f ca="1">IF(Mitspieler!$AY7="","",Mitspieler!$AX7)</f>
        <v>0</v>
      </c>
      <c r="U8" s="195"/>
      <c r="V8" s="30"/>
      <c r="W8" s="79">
        <f ca="1">IF($K8="","",Random!$H7)</f>
        <v>2</v>
      </c>
      <c r="X8" s="79">
        <f ca="1">IF($K8="","",Random!$J7)</f>
        <v>0</v>
      </c>
      <c r="Y8" s="191">
        <f ca="1">IF(Random!$AY7="","",Random!$AX7)</f>
        <v>2</v>
      </c>
      <c r="Z8" s="195"/>
      <c r="AA8" s="30"/>
      <c r="AB8" s="79">
        <f ca="1">IF($K8="","",Rangliste!$H7)</f>
        <v>3</v>
      </c>
      <c r="AC8" s="79">
        <f ca="1">IF($K8="","",Rangliste!$J7)</f>
        <v>3</v>
      </c>
      <c r="AD8" s="191">
        <f ca="1">IF(Rangliste!$AY7="","",Rangliste!$AX7)</f>
        <v>0</v>
      </c>
      <c r="AE8" s="195"/>
      <c r="AF8" s="30"/>
      <c r="AG8" s="79">
        <f ca="1">IF($K8="","",Fest!$H7)</f>
        <v>2</v>
      </c>
      <c r="AH8" s="79">
        <f ca="1">IF($K8="","",Fest!$J7)</f>
        <v>1</v>
      </c>
      <c r="AI8" s="191">
        <f ca="1">IF(Fest!$AY7="","",Fest!$AX7)</f>
        <v>3</v>
      </c>
      <c r="AJ8" s="195"/>
      <c r="AK8" s="30"/>
      <c r="AL8" s="79">
        <f ca="1">IF($K8="","",Nobody!$H7)</f>
        <v>6</v>
      </c>
      <c r="AM8" s="79">
        <f ca="1">IF($K8="","",Nobody!$J7)</f>
        <v>1</v>
      </c>
      <c r="AN8" s="191">
        <f ca="1">IF(Nobody!$AY7="","",Nobody!$AX7)</f>
        <v>7</v>
      </c>
      <c r="AO8" s="195"/>
      <c r="AP8" s="30"/>
    </row>
    <row r="9" spans="1:42">
      <c r="A9" s="2">
        <f>Ergebnisse!A8</f>
        <v>54</v>
      </c>
      <c r="B9" s="6">
        <f>Ergebnisse!B8</f>
        <v>46197.833333333336</v>
      </c>
      <c r="C9" s="4" t="str">
        <f>Ergebnisse!C8</f>
        <v>Monterrey</v>
      </c>
      <c r="D9" s="56" t="str">
        <f>Ergebnisse!D8</f>
        <v>Südafrika</v>
      </c>
      <c r="E9" s="40" t="str">
        <f>Ergebnisse!E8</f>
        <v>-</v>
      </c>
      <c r="F9" s="56" t="str">
        <f>Ergebnisse!F8</f>
        <v>Südkorea</v>
      </c>
      <c r="G9" s="55">
        <f>Ergebnisse!G8</f>
        <v>0</v>
      </c>
      <c r="H9" s="57">
        <f ca="1">IF($K9="","",Ergebnisse!H8)</f>
        <v>3</v>
      </c>
      <c r="I9" s="80" t="str">
        <f>Ergebnisse!I8</f>
        <v>:</v>
      </c>
      <c r="J9" s="57">
        <f ca="1">IF($K9="","",Ergebnisse!J8)</f>
        <v>0</v>
      </c>
      <c r="K9" s="81" t="str">
        <f ca="1">IF(Ergebnisse!K8="","",Ergebnisse!K8)</f>
        <v>ok</v>
      </c>
      <c r="L9" s="30"/>
      <c r="M9" s="79">
        <f ca="1">IF($K9="","",Bernd!$H8)</f>
        <v>1</v>
      </c>
      <c r="N9" s="79">
        <f ca="1">IF($K9="","",Bernd!$J8)</f>
        <v>2</v>
      </c>
      <c r="O9" s="191">
        <f ca="1">IF(Bernd!$AY8="","",Bernd!$AX8)</f>
        <v>0</v>
      </c>
      <c r="P9" s="195"/>
      <c r="Q9" s="30"/>
      <c r="R9" s="79">
        <f ca="1">IF($K9="","",Mitspieler!$H8)</f>
        <v>4</v>
      </c>
      <c r="S9" s="79">
        <f ca="1">IF($K9="","",Mitspieler!$J8)</f>
        <v>5</v>
      </c>
      <c r="T9" s="191">
        <f ca="1">IF(Mitspieler!$AY8="","",Mitspieler!$AX8)</f>
        <v>0</v>
      </c>
      <c r="U9" s="195"/>
      <c r="V9" s="30"/>
      <c r="W9" s="79">
        <f ca="1">IF($K9="","",Random!$H8)</f>
        <v>2</v>
      </c>
      <c r="X9" s="79">
        <f ca="1">IF($K9="","",Random!$J8)</f>
        <v>4</v>
      </c>
      <c r="Y9" s="191">
        <f ca="1">IF(Random!$AY8="","",Random!$AX8)</f>
        <v>0</v>
      </c>
      <c r="Z9" s="195"/>
      <c r="AA9" s="30"/>
      <c r="AB9" s="79">
        <f ca="1">IF($K9="","",Rangliste!$H8)</f>
        <v>3</v>
      </c>
      <c r="AC9" s="79">
        <f ca="1">IF($K9="","",Rangliste!$J8)</f>
        <v>3</v>
      </c>
      <c r="AD9" s="191">
        <f ca="1">IF(Rangliste!$AY8="","",Rangliste!$AX8)</f>
        <v>1</v>
      </c>
      <c r="AE9" s="195"/>
      <c r="AF9" s="30"/>
      <c r="AG9" s="79">
        <f ca="1">IF($K9="","",Fest!$H8)</f>
        <v>2</v>
      </c>
      <c r="AH9" s="79">
        <f ca="1">IF($K9="","",Fest!$J8)</f>
        <v>1</v>
      </c>
      <c r="AI9" s="191">
        <f ca="1">IF(Fest!$AY8="","",Fest!$AX8)</f>
        <v>2</v>
      </c>
      <c r="AJ9" s="195"/>
      <c r="AK9" s="30"/>
      <c r="AL9" s="79">
        <f ca="1">IF($K9="","",Nobody!$H8)</f>
        <v>3</v>
      </c>
      <c r="AM9" s="79">
        <f ca="1">IF($K9="","",Nobody!$J8)</f>
        <v>0</v>
      </c>
      <c r="AN9" s="191">
        <f ca="1">IF(Nobody!$AY8="","",Nobody!$AX8)</f>
        <v>7</v>
      </c>
      <c r="AO9" s="195"/>
      <c r="AP9" s="30"/>
    </row>
    <row r="10" spans="1:42" s="55" customFormat="1">
      <c r="F10" s="36" t="str">
        <f ca="1">Ergebnisse!M9</f>
        <v>Südkorea</v>
      </c>
      <c r="H10" s="58"/>
      <c r="I10" s="58"/>
      <c r="J10" s="58"/>
      <c r="K10" s="196"/>
      <c r="L10" s="197"/>
      <c r="M10" s="36" t="str">
        <f>Bernd!$M9</f>
        <v>Südkorea</v>
      </c>
      <c r="N10" s="36"/>
      <c r="O10" s="191">
        <f ca="1">IF(Bernd!$AY9="","",Bernd!$AX9)</f>
        <v>2</v>
      </c>
      <c r="P10" s="198"/>
      <c r="Q10" s="197"/>
      <c r="R10" s="36" t="str">
        <f>Mitspieler!$M9</f>
        <v>Tschechien</v>
      </c>
      <c r="S10" s="36"/>
      <c r="T10" s="191">
        <f ca="1">IF(Mitspieler!$AY9="","",Mitspieler!$AX9)</f>
        <v>2</v>
      </c>
      <c r="U10" s="198"/>
      <c r="V10" s="197"/>
      <c r="W10" s="36" t="str">
        <f ca="1">Random!$M9</f>
        <v>Mexiko</v>
      </c>
      <c r="X10" s="36"/>
      <c r="Y10" s="191">
        <f ca="1">IF(Random!$AY9="","",Random!$AX9)</f>
        <v>0</v>
      </c>
      <c r="Z10" s="198"/>
      <c r="AA10" s="197"/>
      <c r="AB10" s="36" t="str">
        <f>Rangliste!$M9</f>
        <v>Tschechien</v>
      </c>
      <c r="AC10" s="36"/>
      <c r="AD10" s="191">
        <f ca="1">IF(Rangliste!$AY9="","",Rangliste!$AX9)</f>
        <v>2</v>
      </c>
      <c r="AE10" s="198"/>
      <c r="AF10" s="197"/>
      <c r="AG10" s="36" t="str">
        <f ca="1">Fest!$M9</f>
        <v>Südafrika</v>
      </c>
      <c r="AH10" s="36"/>
      <c r="AI10" s="191">
        <f ca="1">IF(Fest!$AY9="","",Fest!$AX9)</f>
        <v>2</v>
      </c>
      <c r="AJ10" s="198"/>
      <c r="AK10" s="197"/>
      <c r="AL10" s="36" t="str">
        <f ca="1">Nobody!$M9</f>
        <v>Südkorea</v>
      </c>
      <c r="AM10" s="36"/>
      <c r="AN10" s="191">
        <f ca="1">IF(Nobody!$AY9="","",Nobody!$AX9)</f>
        <v>2</v>
      </c>
      <c r="AO10" s="198"/>
      <c r="AP10" s="197"/>
    </row>
    <row r="11" spans="1:42" ht="6" customHeight="1">
      <c r="D11" s="55"/>
      <c r="E11" s="58"/>
      <c r="F11" s="59"/>
      <c r="G11" s="59"/>
      <c r="H11" s="55"/>
      <c r="I11" s="55"/>
      <c r="J11" s="55"/>
      <c r="L11" s="30"/>
      <c r="M11" s="65"/>
      <c r="N11" s="65"/>
      <c r="O11" s="191"/>
      <c r="P11" s="195"/>
      <c r="Q11" s="30"/>
      <c r="R11" s="65"/>
      <c r="S11" s="65"/>
      <c r="T11" s="191"/>
      <c r="U11" s="195"/>
      <c r="V11" s="30"/>
      <c r="W11" s="65"/>
      <c r="X11" s="65"/>
      <c r="Y11" s="191"/>
      <c r="Z11" s="195"/>
      <c r="AA11" s="30"/>
      <c r="AB11" s="65"/>
      <c r="AC11" s="65"/>
      <c r="AD11" s="191"/>
      <c r="AE11" s="195"/>
      <c r="AF11" s="30"/>
      <c r="AG11" s="65"/>
      <c r="AH11" s="65"/>
      <c r="AI11" s="191"/>
      <c r="AJ11" s="195"/>
      <c r="AK11" s="30"/>
      <c r="AL11" s="65"/>
      <c r="AM11" s="65"/>
      <c r="AN11" s="191"/>
      <c r="AO11" s="195"/>
      <c r="AP11" s="30"/>
    </row>
    <row r="12" spans="1:42" s="10" customFormat="1">
      <c r="B12" s="31" t="str">
        <f>Ergebnisse!B11</f>
        <v>Vorrunde</v>
      </c>
      <c r="C12" s="32" t="str">
        <f>Ergebnisse!C11</f>
        <v>Gruppe B</v>
      </c>
      <c r="D12" s="53"/>
      <c r="E12" s="54"/>
      <c r="F12" s="37" t="str">
        <f ca="1">Ergebnisse!M17</f>
        <v>Kanada</v>
      </c>
      <c r="G12" s="53">
        <f>Ergebnisse!G11</f>
        <v>0</v>
      </c>
      <c r="H12" s="58"/>
      <c r="I12" s="58"/>
      <c r="J12" s="58"/>
      <c r="K12" s="81"/>
      <c r="L12" s="30"/>
      <c r="M12" s="37" t="str">
        <f>Bernd!$M17</f>
        <v>Kanada</v>
      </c>
      <c r="N12" s="37"/>
      <c r="O12" s="191">
        <f ca="1">IF(Bernd!$AY11="","",Bernd!$AX11)</f>
        <v>2</v>
      </c>
      <c r="P12" s="195"/>
      <c r="Q12" s="190"/>
      <c r="R12" s="37" t="str">
        <f>Mitspieler!$M17</f>
        <v>Schweiz</v>
      </c>
      <c r="S12" s="37"/>
      <c r="T12" s="191">
        <f ca="1">IF(Mitspieler!$AY11="","",Mitspieler!$AX11)</f>
        <v>2</v>
      </c>
      <c r="U12" s="195"/>
      <c r="V12" s="190"/>
      <c r="W12" s="37" t="str">
        <f ca="1">Random!$M17</f>
        <v>Schweiz</v>
      </c>
      <c r="X12" s="37"/>
      <c r="Y12" s="191">
        <f ca="1">IF(Random!$AY11="","",Random!$AX11)</f>
        <v>2</v>
      </c>
      <c r="Z12" s="195"/>
      <c r="AA12" s="190"/>
      <c r="AB12" s="37" t="str">
        <f>Rangliste!$M17</f>
        <v>Schweiz</v>
      </c>
      <c r="AC12" s="37"/>
      <c r="AD12" s="191">
        <f ca="1">IF(Rangliste!$AY11="","",Rangliste!$AX11)</f>
        <v>2</v>
      </c>
      <c r="AE12" s="195"/>
      <c r="AF12" s="190"/>
      <c r="AG12" s="37" t="str">
        <f ca="1">Fest!$M17</f>
        <v>Schweiz</v>
      </c>
      <c r="AH12" s="37"/>
      <c r="AI12" s="191">
        <f ca="1">IF(Fest!$AY11="","",Fest!$AX11)</f>
        <v>2</v>
      </c>
      <c r="AJ12" s="195"/>
      <c r="AK12" s="190"/>
      <c r="AL12" s="37" t="str">
        <f ca="1">Nobody!$M17</f>
        <v>Kanada</v>
      </c>
      <c r="AM12" s="37"/>
      <c r="AN12" s="191">
        <f ca="1">IF(Nobody!$AY11="","",Nobody!$AX11)</f>
        <v>2</v>
      </c>
      <c r="AO12" s="195"/>
      <c r="AP12" s="190"/>
    </row>
    <row r="13" spans="1:42">
      <c r="B13" s="3" t="str">
        <f>Ergebnisse!B12</f>
        <v>Datum/Zeit</v>
      </c>
      <c r="C13" s="3" t="str">
        <f>Ergebnisse!C12</f>
        <v>Spielort</v>
      </c>
      <c r="D13" s="55"/>
      <c r="E13" s="55"/>
      <c r="F13" s="37" t="str">
        <f ca="1">Ergebnisse!M18</f>
        <v>Schweiz</v>
      </c>
      <c r="G13" s="55">
        <f>Ergebnisse!G12</f>
        <v>0</v>
      </c>
      <c r="L13" s="30"/>
      <c r="M13" s="37" t="str">
        <f>Bernd!$M18</f>
        <v>Schweiz</v>
      </c>
      <c r="N13" s="37"/>
      <c r="O13" s="191">
        <f ca="1">IF(Bernd!$AY12="","",Bernd!$AX12)</f>
        <v>2</v>
      </c>
      <c r="P13" s="195"/>
      <c r="Q13" s="192"/>
      <c r="R13" s="37" t="str">
        <f>Mitspieler!$M18</f>
        <v>Bosnien/Herzg.</v>
      </c>
      <c r="S13" s="37"/>
      <c r="T13" s="191">
        <f ca="1">IF(Mitspieler!$AY12="","",Mitspieler!$AX12)</f>
        <v>0</v>
      </c>
      <c r="U13" s="195"/>
      <c r="V13" s="192"/>
      <c r="W13" s="37" t="str">
        <f ca="1">Random!$M18</f>
        <v>Bosnien/Herzg.</v>
      </c>
      <c r="X13" s="37"/>
      <c r="Y13" s="191">
        <f ca="1">IF(Random!$AY12="","",Random!$AX12)</f>
        <v>0</v>
      </c>
      <c r="Z13" s="195"/>
      <c r="AA13" s="192"/>
      <c r="AB13" s="37" t="str">
        <f>Rangliste!$M18</f>
        <v>Kanada</v>
      </c>
      <c r="AC13" s="37"/>
      <c r="AD13" s="191">
        <f ca="1">IF(Rangliste!$AY12="","",Rangliste!$AX12)</f>
        <v>2</v>
      </c>
      <c r="AE13" s="195"/>
      <c r="AF13" s="192"/>
      <c r="AG13" s="37" t="str">
        <f ca="1">Fest!$M18</f>
        <v>Kanada</v>
      </c>
      <c r="AH13" s="37"/>
      <c r="AI13" s="191">
        <f ca="1">IF(Fest!$AY12="","",Fest!$AX12)</f>
        <v>2</v>
      </c>
      <c r="AJ13" s="195"/>
      <c r="AK13" s="192"/>
      <c r="AL13" s="37" t="str">
        <f ca="1">Nobody!$M18</f>
        <v>Schweiz</v>
      </c>
      <c r="AM13" s="37"/>
      <c r="AN13" s="191">
        <f ca="1">IF(Nobody!$AY12="","",Nobody!$AX12)</f>
        <v>2</v>
      </c>
      <c r="AO13" s="195"/>
      <c r="AP13" s="192"/>
    </row>
    <row r="14" spans="1:42">
      <c r="A14" s="2">
        <f>Ergebnisse!A13</f>
        <v>3</v>
      </c>
      <c r="B14" s="6">
        <f>Ergebnisse!B13</f>
        <v>46185.625</v>
      </c>
      <c r="C14" s="4" t="str">
        <f>Ergebnisse!C13</f>
        <v>Toronto</v>
      </c>
      <c r="D14" s="56" t="str">
        <f>Ergebnisse!D13</f>
        <v>Kanada</v>
      </c>
      <c r="E14" s="40" t="str">
        <f>Ergebnisse!E13</f>
        <v>-</v>
      </c>
      <c r="F14" s="56" t="str">
        <f>Ergebnisse!F13</f>
        <v>Bosnien/Herzg.</v>
      </c>
      <c r="G14" s="53">
        <f>Ergebnisse!G13</f>
        <v>0</v>
      </c>
      <c r="H14" s="57">
        <f ca="1">IF($K14="","",Ergebnisse!H13)</f>
        <v>0</v>
      </c>
      <c r="I14" s="80" t="str">
        <f>Ergebnisse!I13</f>
        <v>:</v>
      </c>
      <c r="J14" s="57">
        <f ca="1">IF($K14="","",Ergebnisse!J13)</f>
        <v>0</v>
      </c>
      <c r="K14" s="81" t="str">
        <f ca="1">IF(Ergebnisse!K13="","",Ergebnisse!K13)</f>
        <v>ok</v>
      </c>
      <c r="L14" s="192"/>
      <c r="M14" s="79">
        <f ca="1">IF($K14="","",Bernd!$H13)</f>
        <v>2</v>
      </c>
      <c r="N14" s="79">
        <f ca="1">IF($K14="","",Bernd!$J13)</f>
        <v>0</v>
      </c>
      <c r="O14" s="191">
        <f ca="1">IF(Bernd!$AY13="","",Bernd!$AX13)</f>
        <v>1</v>
      </c>
      <c r="P14" s="195"/>
      <c r="Q14" s="192"/>
      <c r="R14" s="79">
        <f ca="1">IF($K14="","",Mitspieler!$H13)</f>
        <v>0</v>
      </c>
      <c r="S14" s="79">
        <f ca="1">IF($K14="","",Mitspieler!$J13)</f>
        <v>0</v>
      </c>
      <c r="T14" s="191">
        <f ca="1">IF(Mitspieler!$AY13="","",Mitspieler!$AX13)</f>
        <v>7</v>
      </c>
      <c r="U14" s="195"/>
      <c r="V14" s="192"/>
      <c r="W14" s="79">
        <f ca="1">IF($K14="","",Random!$H13)</f>
        <v>3</v>
      </c>
      <c r="X14" s="79">
        <f ca="1">IF($K14="","",Random!$J13)</f>
        <v>4</v>
      </c>
      <c r="Y14" s="191">
        <f ca="1">IF(Random!$AY13="","",Random!$AX13)</f>
        <v>0</v>
      </c>
      <c r="Z14" s="195"/>
      <c r="AA14" s="192"/>
      <c r="AB14" s="79">
        <f ca="1">IF($K14="","",Rangliste!$H13)</f>
        <v>3</v>
      </c>
      <c r="AC14" s="79">
        <f ca="1">IF($K14="","",Rangliste!$J13)</f>
        <v>2</v>
      </c>
      <c r="AD14" s="191">
        <f ca="1">IF(Rangliste!$AY13="","",Rangliste!$AX13)</f>
        <v>0</v>
      </c>
      <c r="AE14" s="195"/>
      <c r="AF14" s="192"/>
      <c r="AG14" s="79">
        <f ca="1">IF($K14="","",Fest!$H13)</f>
        <v>2</v>
      </c>
      <c r="AH14" s="79">
        <f ca="1">IF($K14="","",Fest!$J13)</f>
        <v>1</v>
      </c>
      <c r="AI14" s="191">
        <f ca="1">IF(Fest!$AY13="","",Fest!$AX13)</f>
        <v>0</v>
      </c>
      <c r="AJ14" s="195"/>
      <c r="AK14" s="192"/>
      <c r="AL14" s="79">
        <f ca="1">IF($K14="","",Nobody!$H13)</f>
        <v>0</v>
      </c>
      <c r="AM14" s="79">
        <f ca="1">IF($K14="","",Nobody!$J13)</f>
        <v>0</v>
      </c>
      <c r="AN14" s="191">
        <f ca="1">IF(Nobody!$AY13="","",Nobody!$AX13)</f>
        <v>7</v>
      </c>
      <c r="AO14" s="195"/>
      <c r="AP14" s="192"/>
    </row>
    <row r="15" spans="1:42">
      <c r="A15" s="2">
        <f>Ergebnisse!A14</f>
        <v>8</v>
      </c>
      <c r="B15" s="6">
        <f>Ergebnisse!B14</f>
        <v>46186.5</v>
      </c>
      <c r="C15" s="4" t="str">
        <f>Ergebnisse!C14</f>
        <v>San Francisco</v>
      </c>
      <c r="D15" s="56" t="str">
        <f>Ergebnisse!D14</f>
        <v>Katar</v>
      </c>
      <c r="E15" s="40" t="str">
        <f>Ergebnisse!E14</f>
        <v>-</v>
      </c>
      <c r="F15" s="56" t="str">
        <f>Ergebnisse!F14</f>
        <v>Schweiz</v>
      </c>
      <c r="G15" s="53">
        <f>Ergebnisse!G14</f>
        <v>0</v>
      </c>
      <c r="H15" s="57">
        <f ca="1">IF($K15="","",Ergebnisse!H14)</f>
        <v>0</v>
      </c>
      <c r="I15" s="80" t="str">
        <f>Ergebnisse!I14</f>
        <v>:</v>
      </c>
      <c r="J15" s="57">
        <f ca="1">IF($K15="","",Ergebnisse!J14)</f>
        <v>4</v>
      </c>
      <c r="K15" s="81" t="str">
        <f ca="1">IF(Ergebnisse!K14="","",Ergebnisse!K14)</f>
        <v>ok</v>
      </c>
      <c r="L15" s="192"/>
      <c r="M15" s="79">
        <f ca="1">IF($K15="","",Bernd!$H14)</f>
        <v>1</v>
      </c>
      <c r="N15" s="79">
        <f ca="1">IF($K15="","",Bernd!$J14)</f>
        <v>1</v>
      </c>
      <c r="O15" s="191">
        <f ca="1">IF(Bernd!$AY14="","",Bernd!$AX14)</f>
        <v>0</v>
      </c>
      <c r="P15" s="195"/>
      <c r="Q15" s="192"/>
      <c r="R15" s="79">
        <f ca="1">IF($K15="","",Mitspieler!$H14)</f>
        <v>4</v>
      </c>
      <c r="S15" s="79">
        <f ca="1">IF($K15="","",Mitspieler!$J14)</f>
        <v>5</v>
      </c>
      <c r="T15" s="191">
        <f ca="1">IF(Mitspieler!$AY14="","",Mitspieler!$AX14)</f>
        <v>2</v>
      </c>
      <c r="U15" s="195"/>
      <c r="V15" s="192"/>
      <c r="W15" s="79">
        <f ca="1">IF($K15="","",Random!$H14)</f>
        <v>2</v>
      </c>
      <c r="X15" s="79">
        <f ca="1">IF($K15="","",Random!$J14)</f>
        <v>6</v>
      </c>
      <c r="Y15" s="191">
        <f ca="1">IF(Random!$AY14="","",Random!$AX14)</f>
        <v>4</v>
      </c>
      <c r="Z15" s="195"/>
      <c r="AA15" s="192"/>
      <c r="AB15" s="79">
        <f ca="1">IF($K15="","",Rangliste!$H14)</f>
        <v>3</v>
      </c>
      <c r="AC15" s="79">
        <f ca="1">IF($K15="","",Rangliste!$J14)</f>
        <v>4</v>
      </c>
      <c r="AD15" s="191">
        <f ca="1">IF(Rangliste!$AY14="","",Rangliste!$AX14)</f>
        <v>3</v>
      </c>
      <c r="AE15" s="195"/>
      <c r="AF15" s="192"/>
      <c r="AG15" s="79">
        <f ca="1">IF($K15="","",Fest!$H14)</f>
        <v>2</v>
      </c>
      <c r="AH15" s="79">
        <f ca="1">IF($K15="","",Fest!$J14)</f>
        <v>1</v>
      </c>
      <c r="AI15" s="191">
        <f ca="1">IF(Fest!$AY14="","",Fest!$AX14)</f>
        <v>0</v>
      </c>
      <c r="AJ15" s="195"/>
      <c r="AK15" s="192"/>
      <c r="AL15" s="79">
        <f ca="1">IF($K15="","",Nobody!$H14)</f>
        <v>0</v>
      </c>
      <c r="AM15" s="79">
        <f ca="1">IF($K15="","",Nobody!$J14)</f>
        <v>4</v>
      </c>
      <c r="AN15" s="191">
        <f ca="1">IF(Nobody!$AY14="","",Nobody!$AX14)</f>
        <v>7</v>
      </c>
      <c r="AO15" s="195"/>
      <c r="AP15" s="192"/>
    </row>
    <row r="16" spans="1:42">
      <c r="A16" s="2">
        <f>Ergebnisse!A15</f>
        <v>27</v>
      </c>
      <c r="B16" s="6">
        <f>Ergebnisse!B15</f>
        <v>46191.625</v>
      </c>
      <c r="C16" s="4" t="str">
        <f>Ergebnisse!C15</f>
        <v>Vancouver</v>
      </c>
      <c r="D16" s="56" t="str">
        <f>Ergebnisse!D15</f>
        <v>Kanada</v>
      </c>
      <c r="E16" s="40" t="str">
        <f>Ergebnisse!E15</f>
        <v>-</v>
      </c>
      <c r="F16" s="56" t="str">
        <f>Ergebnisse!F15</f>
        <v>Katar</v>
      </c>
      <c r="G16" s="53">
        <f>Ergebnisse!G15</f>
        <v>0</v>
      </c>
      <c r="H16" s="57">
        <f ca="1">IF($K16="","",Ergebnisse!H15)</f>
        <v>6</v>
      </c>
      <c r="I16" s="80" t="str">
        <f>Ergebnisse!I15</f>
        <v>:</v>
      </c>
      <c r="J16" s="57">
        <f ca="1">IF($K16="","",Ergebnisse!J15)</f>
        <v>2</v>
      </c>
      <c r="K16" s="81" t="str">
        <f ca="1">IF(Ergebnisse!K15="","",Ergebnisse!K15)</f>
        <v>ok</v>
      </c>
      <c r="L16" s="192"/>
      <c r="M16" s="79">
        <f ca="1">IF($K16="","",Bernd!$H15)</f>
        <v>3</v>
      </c>
      <c r="N16" s="79">
        <f ca="1">IF($K16="","",Bernd!$J15)</f>
        <v>2</v>
      </c>
      <c r="O16" s="191">
        <f ca="1">IF(Bernd!$AY15="","",Bernd!$AX15)</f>
        <v>3</v>
      </c>
      <c r="P16" s="195"/>
      <c r="Q16" s="192"/>
      <c r="R16" s="79">
        <f ca="1">IF($K16="","",Mitspieler!$H15)</f>
        <v>0</v>
      </c>
      <c r="S16" s="79">
        <f ca="1">IF($K16="","",Mitspieler!$J15)</f>
        <v>0</v>
      </c>
      <c r="T16" s="191">
        <f ca="1">IF(Mitspieler!$AY15="","",Mitspieler!$AX15)</f>
        <v>0</v>
      </c>
      <c r="U16" s="195"/>
      <c r="V16" s="192"/>
      <c r="W16" s="79">
        <f ca="1">IF($K16="","",Random!$H15)</f>
        <v>4</v>
      </c>
      <c r="X16" s="79">
        <f ca="1">IF($K16="","",Random!$J15)</f>
        <v>2</v>
      </c>
      <c r="Y16" s="191">
        <f ca="1">IF(Random!$AY15="","",Random!$AX15)</f>
        <v>3</v>
      </c>
      <c r="Z16" s="195"/>
      <c r="AA16" s="192"/>
      <c r="AB16" s="79">
        <f ca="1">IF($K16="","",Rangliste!$H15)</f>
        <v>1</v>
      </c>
      <c r="AC16" s="79">
        <f ca="1">IF($K16="","",Rangliste!$J15)</f>
        <v>0</v>
      </c>
      <c r="AD16" s="191">
        <f ca="1">IF(Rangliste!$AY15="","",Rangliste!$AX15)</f>
        <v>2</v>
      </c>
      <c r="AE16" s="195"/>
      <c r="AF16" s="192"/>
      <c r="AG16" s="79">
        <f ca="1">IF($K16="","",Fest!$H15)</f>
        <v>2</v>
      </c>
      <c r="AH16" s="79">
        <f ca="1">IF($K16="","",Fest!$J15)</f>
        <v>1</v>
      </c>
      <c r="AI16" s="191">
        <f ca="1">IF(Fest!$AY15="","",Fest!$AX15)</f>
        <v>2</v>
      </c>
      <c r="AJ16" s="195"/>
      <c r="AK16" s="192"/>
      <c r="AL16" s="79">
        <f ca="1">IF($K16="","",Nobody!$H15)</f>
        <v>6</v>
      </c>
      <c r="AM16" s="79">
        <f ca="1">IF($K16="","",Nobody!$J15)</f>
        <v>2</v>
      </c>
      <c r="AN16" s="191">
        <f ca="1">IF(Nobody!$AY15="","",Nobody!$AX15)</f>
        <v>7</v>
      </c>
      <c r="AO16" s="195"/>
      <c r="AP16" s="192"/>
    </row>
    <row r="17" spans="1:42">
      <c r="A17" s="2">
        <f>Ergebnisse!A16</f>
        <v>26</v>
      </c>
      <c r="B17" s="6">
        <f>Ergebnisse!B16</f>
        <v>46191.5</v>
      </c>
      <c r="C17" s="4" t="str">
        <f>Ergebnisse!C16</f>
        <v>Los Angeles</v>
      </c>
      <c r="D17" s="56" t="str">
        <f>Ergebnisse!D16</f>
        <v>Schweiz</v>
      </c>
      <c r="E17" s="40" t="str">
        <f>Ergebnisse!E16</f>
        <v>-</v>
      </c>
      <c r="F17" s="56" t="str">
        <f>Ergebnisse!F16</f>
        <v>Bosnien/Herzg.</v>
      </c>
      <c r="G17" s="55">
        <f>Ergebnisse!G16</f>
        <v>0</v>
      </c>
      <c r="H17" s="57">
        <f ca="1">IF($K17="","",Ergebnisse!H16)</f>
        <v>2</v>
      </c>
      <c r="I17" s="80" t="str">
        <f>Ergebnisse!I16</f>
        <v>:</v>
      </c>
      <c r="J17" s="57">
        <f ca="1">IF($K17="","",Ergebnisse!J16)</f>
        <v>2</v>
      </c>
      <c r="K17" s="81" t="str">
        <f ca="1">IF(Ergebnisse!K16="","",Ergebnisse!K16)</f>
        <v>ok</v>
      </c>
      <c r="L17" s="192"/>
      <c r="M17" s="79">
        <f ca="1">IF($K17="","",Bernd!$H16)</f>
        <v>2</v>
      </c>
      <c r="N17" s="79">
        <f ca="1">IF($K17="","",Bernd!$J16)</f>
        <v>0</v>
      </c>
      <c r="O17" s="191">
        <f ca="1">IF(Bernd!$AY16="","",Bernd!$AX16)</f>
        <v>1</v>
      </c>
      <c r="P17" s="195"/>
      <c r="Q17" s="192"/>
      <c r="R17" s="79">
        <f ca="1">IF($K17="","",Mitspieler!$H16)</f>
        <v>5</v>
      </c>
      <c r="S17" s="79">
        <f ca="1">IF($K17="","",Mitspieler!$J16)</f>
        <v>4</v>
      </c>
      <c r="T17" s="191">
        <f ca="1">IF(Mitspieler!$AY16="","",Mitspieler!$AX16)</f>
        <v>0</v>
      </c>
      <c r="U17" s="195"/>
      <c r="V17" s="192"/>
      <c r="W17" s="79">
        <f ca="1">IF($K17="","",Random!$H16)</f>
        <v>3</v>
      </c>
      <c r="X17" s="79">
        <f ca="1">IF($K17="","",Random!$J16)</f>
        <v>1</v>
      </c>
      <c r="Y17" s="191">
        <f ca="1">IF(Random!$AY16="","",Random!$AX16)</f>
        <v>0</v>
      </c>
      <c r="Z17" s="195"/>
      <c r="AA17" s="192"/>
      <c r="AB17" s="79">
        <f ca="1">IF($K17="","",Rangliste!$H16)</f>
        <v>5</v>
      </c>
      <c r="AC17" s="79">
        <f ca="1">IF($K17="","",Rangliste!$J16)</f>
        <v>4</v>
      </c>
      <c r="AD17" s="191">
        <f ca="1">IF(Rangliste!$AY16="","",Rangliste!$AX16)</f>
        <v>0</v>
      </c>
      <c r="AE17" s="195"/>
      <c r="AF17" s="192"/>
      <c r="AG17" s="79">
        <f ca="1">IF($K17="","",Fest!$H16)</f>
        <v>2</v>
      </c>
      <c r="AH17" s="79">
        <f ca="1">IF($K17="","",Fest!$J16)</f>
        <v>1</v>
      </c>
      <c r="AI17" s="191">
        <f ca="1">IF(Fest!$AY16="","",Fest!$AX16)</f>
        <v>1</v>
      </c>
      <c r="AJ17" s="195"/>
      <c r="AK17" s="192"/>
      <c r="AL17" s="79">
        <f ca="1">IF($K17="","",Nobody!$H16)</f>
        <v>2</v>
      </c>
      <c r="AM17" s="79">
        <f ca="1">IF($K17="","",Nobody!$J16)</f>
        <v>2</v>
      </c>
      <c r="AN17" s="191">
        <f ca="1">IF(Nobody!$AY16="","",Nobody!$AX16)</f>
        <v>7</v>
      </c>
      <c r="AO17" s="195"/>
      <c r="AP17" s="192"/>
    </row>
    <row r="18" spans="1:42">
      <c r="A18" s="2">
        <f>Ergebnisse!A17</f>
        <v>51</v>
      </c>
      <c r="B18" s="6">
        <f>Ergebnisse!B17</f>
        <v>46197.5</v>
      </c>
      <c r="C18" s="4" t="str">
        <f>Ergebnisse!C17</f>
        <v>Vancouver</v>
      </c>
      <c r="D18" s="56" t="str">
        <f>Ergebnisse!D17</f>
        <v>Schweiz</v>
      </c>
      <c r="E18" s="40" t="str">
        <f>Ergebnisse!E17</f>
        <v>-</v>
      </c>
      <c r="F18" s="56" t="str">
        <f>Ergebnisse!F17</f>
        <v>Kanada</v>
      </c>
      <c r="G18" s="53">
        <f>Ergebnisse!G17</f>
        <v>0</v>
      </c>
      <c r="H18" s="57">
        <f ca="1">IF($K18="","",Ergebnisse!H17)</f>
        <v>0</v>
      </c>
      <c r="I18" s="80" t="str">
        <f>Ergebnisse!I17</f>
        <v>:</v>
      </c>
      <c r="J18" s="57">
        <f ca="1">IF($K18="","",Ergebnisse!J17)</f>
        <v>6</v>
      </c>
      <c r="K18" s="81" t="str">
        <f ca="1">IF(Ergebnisse!K17="","",Ergebnisse!K17)</f>
        <v>ok</v>
      </c>
      <c r="L18" s="30"/>
      <c r="M18" s="79">
        <f ca="1">IF($K18="","",Bernd!$H17)</f>
        <v>2</v>
      </c>
      <c r="N18" s="79">
        <f ca="1">IF($K18="","",Bernd!$J17)</f>
        <v>2</v>
      </c>
      <c r="O18" s="191">
        <f ca="1">IF(Bernd!$AY17="","",Bernd!$AX17)</f>
        <v>0</v>
      </c>
      <c r="P18" s="195"/>
      <c r="Q18" s="30"/>
      <c r="R18" s="79">
        <f ca="1">IF($K18="","",Mitspieler!$H17)</f>
        <v>4</v>
      </c>
      <c r="S18" s="79">
        <f ca="1">IF($K18="","",Mitspieler!$J17)</f>
        <v>3</v>
      </c>
      <c r="T18" s="191">
        <f ca="1">IF(Mitspieler!$AY17="","",Mitspieler!$AX17)</f>
        <v>0</v>
      </c>
      <c r="U18" s="195"/>
      <c r="V18" s="30"/>
      <c r="W18" s="79">
        <f ca="1">IF($K18="","",Random!$H17)</f>
        <v>4</v>
      </c>
      <c r="X18" s="79">
        <f ca="1">IF($K18="","",Random!$J17)</f>
        <v>1</v>
      </c>
      <c r="Y18" s="191">
        <f ca="1">IF(Random!$AY17="","",Random!$AX17)</f>
        <v>0</v>
      </c>
      <c r="Z18" s="195"/>
      <c r="AA18" s="30"/>
      <c r="AB18" s="79">
        <f ca="1">IF($K18="","",Rangliste!$H17)</f>
        <v>2</v>
      </c>
      <c r="AC18" s="79">
        <f ca="1">IF($K18="","",Rangliste!$J17)</f>
        <v>2</v>
      </c>
      <c r="AD18" s="191">
        <f ca="1">IF(Rangliste!$AY17="","",Rangliste!$AX17)</f>
        <v>0</v>
      </c>
      <c r="AE18" s="195"/>
      <c r="AF18" s="30"/>
      <c r="AG18" s="79">
        <f ca="1">IF($K18="","",Fest!$H17)</f>
        <v>2</v>
      </c>
      <c r="AH18" s="79">
        <f ca="1">IF($K18="","",Fest!$J17)</f>
        <v>1</v>
      </c>
      <c r="AI18" s="191">
        <f ca="1">IF(Fest!$AY17="","",Fest!$AX17)</f>
        <v>0</v>
      </c>
      <c r="AJ18" s="195"/>
      <c r="AK18" s="30"/>
      <c r="AL18" s="79">
        <f ca="1">IF($K18="","",Nobody!$H17)</f>
        <v>0</v>
      </c>
      <c r="AM18" s="79">
        <f ca="1">IF($K18="","",Nobody!$J17)</f>
        <v>6</v>
      </c>
      <c r="AN18" s="191">
        <f ca="1">IF(Nobody!$AY17="","",Nobody!$AX17)</f>
        <v>7</v>
      </c>
      <c r="AO18" s="195"/>
      <c r="AP18" s="30"/>
    </row>
    <row r="19" spans="1:42">
      <c r="A19" s="2">
        <f>Ergebnisse!A18</f>
        <v>52</v>
      </c>
      <c r="B19" s="6">
        <f>Ergebnisse!B18</f>
        <v>46197.5</v>
      </c>
      <c r="C19" s="4" t="str">
        <f>Ergebnisse!C18</f>
        <v>Seattle</v>
      </c>
      <c r="D19" s="56" t="str">
        <f>Ergebnisse!D18</f>
        <v>Bosnien/Herzg.</v>
      </c>
      <c r="E19" s="40" t="str">
        <f>Ergebnisse!E18</f>
        <v>-</v>
      </c>
      <c r="F19" s="56" t="str">
        <f>Ergebnisse!F18</f>
        <v>Katar</v>
      </c>
      <c r="G19" s="55">
        <f>Ergebnisse!G18</f>
        <v>0</v>
      </c>
      <c r="H19" s="57">
        <f ca="1">IF($K19="","",Ergebnisse!H18)</f>
        <v>2</v>
      </c>
      <c r="I19" s="80" t="str">
        <f>Ergebnisse!I18</f>
        <v>:</v>
      </c>
      <c r="J19" s="57">
        <f ca="1">IF($K19="","",Ergebnisse!J18)</f>
        <v>3</v>
      </c>
      <c r="K19" s="81" t="str">
        <f ca="1">IF(Ergebnisse!K18="","",Ergebnisse!K18)</f>
        <v>ok</v>
      </c>
      <c r="L19" s="30"/>
      <c r="M19" s="79">
        <f ca="1">IF($K19="","",Bernd!$H18)</f>
        <v>2</v>
      </c>
      <c r="N19" s="79">
        <f ca="1">IF($K19="","",Bernd!$J18)</f>
        <v>1</v>
      </c>
      <c r="O19" s="191">
        <f ca="1">IF(Bernd!$AY18="","",Bernd!$AX18)</f>
        <v>1</v>
      </c>
      <c r="P19" s="195"/>
      <c r="Q19" s="30"/>
      <c r="R19" s="79">
        <f ca="1">IF($K19="","",Mitspieler!$H18)</f>
        <v>1</v>
      </c>
      <c r="S19" s="79">
        <f ca="1">IF($K19="","",Mitspieler!$J18)</f>
        <v>1</v>
      </c>
      <c r="T19" s="191">
        <f ca="1">IF(Mitspieler!$AY18="","",Mitspieler!$AX18)</f>
        <v>0</v>
      </c>
      <c r="U19" s="195"/>
      <c r="V19" s="30"/>
      <c r="W19" s="79">
        <f ca="1">IF($K19="","",Random!$H18)</f>
        <v>1</v>
      </c>
      <c r="X19" s="79">
        <f ca="1">IF($K19="","",Random!$J18)</f>
        <v>1</v>
      </c>
      <c r="Y19" s="191">
        <f ca="1">IF(Random!$AY18="","",Random!$AX18)</f>
        <v>0</v>
      </c>
      <c r="Z19" s="195"/>
      <c r="AA19" s="30"/>
      <c r="AB19" s="79">
        <f ca="1">IF($K19="","",Rangliste!$H18)</f>
        <v>1</v>
      </c>
      <c r="AC19" s="79">
        <f ca="1">IF($K19="","",Rangliste!$J18)</f>
        <v>2</v>
      </c>
      <c r="AD19" s="191">
        <f ca="1">IF(Rangliste!$AY18="","",Rangliste!$AX18)</f>
        <v>4</v>
      </c>
      <c r="AE19" s="195"/>
      <c r="AF19" s="30"/>
      <c r="AG19" s="79">
        <f ca="1">IF($K19="","",Fest!$H18)</f>
        <v>2</v>
      </c>
      <c r="AH19" s="79">
        <f ca="1">IF($K19="","",Fest!$J18)</f>
        <v>1</v>
      </c>
      <c r="AI19" s="191">
        <f ca="1">IF(Fest!$AY18="","",Fest!$AX18)</f>
        <v>1</v>
      </c>
      <c r="AJ19" s="195"/>
      <c r="AK19" s="30"/>
      <c r="AL19" s="79">
        <f ca="1">IF($K19="","",Nobody!$H18)</f>
        <v>2</v>
      </c>
      <c r="AM19" s="79">
        <f ca="1">IF($K19="","",Nobody!$J18)</f>
        <v>3</v>
      </c>
      <c r="AN19" s="191">
        <f ca="1">IF(Nobody!$AY18="","",Nobody!$AX18)</f>
        <v>7</v>
      </c>
      <c r="AO19" s="195"/>
      <c r="AP19" s="30"/>
    </row>
    <row r="20" spans="1:42" s="55" customFormat="1">
      <c r="F20" s="37" t="str">
        <f ca="1">Ergebnisse!M19</f>
        <v>Katar</v>
      </c>
      <c r="H20" s="58"/>
      <c r="I20" s="58"/>
      <c r="J20" s="58"/>
      <c r="K20" s="196"/>
      <c r="L20" s="197"/>
      <c r="M20" s="37" t="str">
        <f>Bernd!$M19</f>
        <v>Bosnien/Herzg.</v>
      </c>
      <c r="N20" s="37"/>
      <c r="O20" s="191">
        <f ca="1">IF(Bernd!$AY19="","",Bernd!$AX19)</f>
        <v>0</v>
      </c>
      <c r="P20" s="198"/>
      <c r="Q20" s="197"/>
      <c r="R20" s="37" t="str">
        <f>Mitspieler!$M19</f>
        <v>Katar</v>
      </c>
      <c r="S20" s="37"/>
      <c r="T20" s="191">
        <f ca="1">IF(Mitspieler!$AY19="","",Mitspieler!$AX19)</f>
        <v>0</v>
      </c>
      <c r="U20" s="198"/>
      <c r="V20" s="197"/>
      <c r="W20" s="37" t="str">
        <f ca="1">Random!$M19</f>
        <v>Kanada</v>
      </c>
      <c r="X20" s="37"/>
      <c r="Y20" s="191">
        <f ca="1">IF(Random!$AY19="","",Random!$AX19)</f>
        <v>2</v>
      </c>
      <c r="Z20" s="198"/>
      <c r="AA20" s="197"/>
      <c r="AB20" s="37" t="str">
        <f>Rangliste!$M19</f>
        <v>Katar</v>
      </c>
      <c r="AC20" s="37"/>
      <c r="AD20" s="191">
        <f ca="1">IF(Rangliste!$AY19="","",Rangliste!$AX19)</f>
        <v>0</v>
      </c>
      <c r="AE20" s="198"/>
      <c r="AF20" s="197"/>
      <c r="AG20" s="37" t="str">
        <f ca="1">Fest!$M19</f>
        <v>Bosnien/Herzg.</v>
      </c>
      <c r="AH20" s="37"/>
      <c r="AI20" s="191">
        <f ca="1">IF(Fest!$AY19="","",Fest!$AX19)</f>
        <v>0</v>
      </c>
      <c r="AJ20" s="198"/>
      <c r="AK20" s="197"/>
      <c r="AL20" s="37" t="str">
        <f ca="1">Nobody!$M19</f>
        <v>Katar</v>
      </c>
      <c r="AM20" s="37"/>
      <c r="AN20" s="191">
        <f ca="1">IF(Nobody!$AY19="","",Nobody!$AX19)</f>
        <v>0</v>
      </c>
      <c r="AO20" s="198"/>
      <c r="AP20" s="197"/>
    </row>
    <row r="21" spans="1:42" ht="6" customHeight="1">
      <c r="D21" s="55"/>
      <c r="E21" s="58"/>
      <c r="F21" s="59"/>
      <c r="G21" s="59"/>
      <c r="H21" s="55"/>
      <c r="I21" s="55"/>
      <c r="J21" s="55"/>
      <c r="L21" s="30"/>
      <c r="M21" s="65"/>
      <c r="N21" s="65"/>
      <c r="O21" s="191"/>
      <c r="P21" s="195"/>
      <c r="Q21" s="30"/>
      <c r="R21" s="65"/>
      <c r="S21" s="65"/>
      <c r="T21" s="191"/>
      <c r="U21" s="195"/>
      <c r="V21" s="30"/>
      <c r="W21" s="65"/>
      <c r="X21" s="65"/>
      <c r="Y21" s="191"/>
      <c r="Z21" s="195"/>
      <c r="AA21" s="30"/>
      <c r="AB21" s="65"/>
      <c r="AC21" s="65"/>
      <c r="AD21" s="191"/>
      <c r="AE21" s="195"/>
      <c r="AF21" s="30"/>
      <c r="AG21" s="65"/>
      <c r="AH21" s="65"/>
      <c r="AI21" s="191"/>
      <c r="AJ21" s="195"/>
      <c r="AK21" s="30"/>
      <c r="AL21" s="65"/>
      <c r="AM21" s="65"/>
      <c r="AN21" s="191"/>
      <c r="AO21" s="195"/>
      <c r="AP21" s="30"/>
    </row>
    <row r="22" spans="1:42" s="10" customFormat="1">
      <c r="B22" s="27" t="str">
        <f>Ergebnisse!B21</f>
        <v>Vorrunde</v>
      </c>
      <c r="C22" s="25" t="str">
        <f>Ergebnisse!C21</f>
        <v>Gruppe C</v>
      </c>
      <c r="D22" s="53"/>
      <c r="E22" s="54"/>
      <c r="F22" s="38" t="str">
        <f ca="1">Ergebnisse!M27</f>
        <v>Schottland</v>
      </c>
      <c r="G22" s="53">
        <f>Ergebnisse!G21</f>
        <v>0</v>
      </c>
      <c r="H22" s="58"/>
      <c r="I22" s="58"/>
      <c r="J22" s="58"/>
      <c r="K22" s="81"/>
      <c r="L22" s="30"/>
      <c r="M22" s="38" t="str">
        <f>Bernd!$M27</f>
        <v>Brasilien</v>
      </c>
      <c r="N22" s="38"/>
      <c r="O22" s="191">
        <f ca="1">IF(Bernd!$AY21="","",Bernd!$AX21)</f>
        <v>2</v>
      </c>
      <c r="P22" s="195"/>
      <c r="Q22" s="190"/>
      <c r="R22" s="38" t="str">
        <f>Mitspieler!$M27</f>
        <v>Marokko</v>
      </c>
      <c r="S22" s="38"/>
      <c r="T22" s="191">
        <f ca="1">IF(Mitspieler!$AY21="","",Mitspieler!$AX21)</f>
        <v>0</v>
      </c>
      <c r="U22" s="195"/>
      <c r="V22" s="190"/>
      <c r="W22" s="38" t="str">
        <f ca="1">Random!$M27</f>
        <v>Haiti</v>
      </c>
      <c r="X22" s="38"/>
      <c r="Y22" s="191">
        <f ca="1">IF(Random!$AY21="","",Random!$AX21)</f>
        <v>2</v>
      </c>
      <c r="Z22" s="195"/>
      <c r="AA22" s="190"/>
      <c r="AB22" s="38" t="str">
        <f>Rangliste!$M27</f>
        <v>Brasilien</v>
      </c>
      <c r="AC22" s="38"/>
      <c r="AD22" s="191">
        <f ca="1">IF(Rangliste!$AY21="","",Rangliste!$AX21)</f>
        <v>2</v>
      </c>
      <c r="AE22" s="195"/>
      <c r="AF22" s="190"/>
      <c r="AG22" s="38" t="str">
        <f ca="1">Fest!$M27</f>
        <v>Schottland</v>
      </c>
      <c r="AH22" s="38"/>
      <c r="AI22" s="191">
        <f ca="1">IF(Fest!$AY21="","",Fest!$AX21)</f>
        <v>2</v>
      </c>
      <c r="AJ22" s="195"/>
      <c r="AK22" s="190"/>
      <c r="AL22" s="38" t="str">
        <f ca="1">Nobody!$M27</f>
        <v>Schottland</v>
      </c>
      <c r="AM22" s="38"/>
      <c r="AN22" s="191">
        <f ca="1">IF(Nobody!$AY21="","",Nobody!$AX21)</f>
        <v>2</v>
      </c>
      <c r="AO22" s="195"/>
      <c r="AP22" s="190"/>
    </row>
    <row r="23" spans="1:42">
      <c r="B23" s="3" t="str">
        <f>Ergebnisse!B22</f>
        <v>Datum/Zeit</v>
      </c>
      <c r="C23" s="3" t="str">
        <f>Ergebnisse!C22</f>
        <v>Spielort</v>
      </c>
      <c r="D23" s="55"/>
      <c r="E23" s="55"/>
      <c r="F23" s="38" t="str">
        <f ca="1">Ergebnisse!M28</f>
        <v>Haiti</v>
      </c>
      <c r="G23" s="55">
        <f>Ergebnisse!G22</f>
        <v>0</v>
      </c>
      <c r="L23" s="30"/>
      <c r="M23" s="38" t="str">
        <f>Bernd!$M28</f>
        <v>Marokko</v>
      </c>
      <c r="N23" s="38"/>
      <c r="O23" s="191">
        <f ca="1">IF(Bernd!$AY22="","",Bernd!$AX22)</f>
        <v>0</v>
      </c>
      <c r="P23" s="195"/>
      <c r="Q23" s="192"/>
      <c r="R23" s="38" t="str">
        <f>Mitspieler!$M28</f>
        <v>Brasilien</v>
      </c>
      <c r="S23" s="38"/>
      <c r="T23" s="191">
        <f ca="1">IF(Mitspieler!$AY22="","",Mitspieler!$AX22)</f>
        <v>2</v>
      </c>
      <c r="U23" s="195"/>
      <c r="V23" s="192"/>
      <c r="W23" s="38" t="str">
        <f ca="1">Random!$M28</f>
        <v>Schottland</v>
      </c>
      <c r="X23" s="38"/>
      <c r="Y23" s="191">
        <f ca="1">IF(Random!$AY22="","",Random!$AX22)</f>
        <v>2</v>
      </c>
      <c r="Z23" s="195"/>
      <c r="AA23" s="192"/>
      <c r="AB23" s="38" t="str">
        <f>Rangliste!$M28</f>
        <v>Marokko</v>
      </c>
      <c r="AC23" s="38"/>
      <c r="AD23" s="191">
        <f ca="1">IF(Rangliste!$AY22="","",Rangliste!$AX22)</f>
        <v>0</v>
      </c>
      <c r="AE23" s="195"/>
      <c r="AF23" s="192"/>
      <c r="AG23" s="38" t="str">
        <f ca="1">Fest!$M28</f>
        <v>Brasilien</v>
      </c>
      <c r="AH23" s="38"/>
      <c r="AI23" s="191">
        <f ca="1">IF(Fest!$AY22="","",Fest!$AX22)</f>
        <v>2</v>
      </c>
      <c r="AJ23" s="195"/>
      <c r="AK23" s="192"/>
      <c r="AL23" s="38" t="str">
        <f ca="1">Nobody!$M28</f>
        <v>Haiti</v>
      </c>
      <c r="AM23" s="38"/>
      <c r="AN23" s="191">
        <f ca="1">IF(Nobody!$AY22="","",Nobody!$AX22)</f>
        <v>2</v>
      </c>
      <c r="AO23" s="195"/>
      <c r="AP23" s="192"/>
    </row>
    <row r="24" spans="1:42">
      <c r="A24" s="2">
        <f>Ergebnisse!A23</f>
        <v>7</v>
      </c>
      <c r="B24" s="6">
        <f>Ergebnisse!B23</f>
        <v>46186.75</v>
      </c>
      <c r="C24" s="4" t="str">
        <f>Ergebnisse!C23</f>
        <v>New York</v>
      </c>
      <c r="D24" s="56" t="str">
        <f>Ergebnisse!D23</f>
        <v>Brasilien</v>
      </c>
      <c r="E24" s="40" t="str">
        <f>Ergebnisse!E23</f>
        <v>-</v>
      </c>
      <c r="F24" s="56" t="str">
        <f>Ergebnisse!F23</f>
        <v>Marokko</v>
      </c>
      <c r="G24" s="53">
        <f>Ergebnisse!G23</f>
        <v>0</v>
      </c>
      <c r="H24" s="57">
        <f ca="1">IF($K24="","",Ergebnisse!H23)</f>
        <v>3</v>
      </c>
      <c r="I24" s="80" t="str">
        <f>Ergebnisse!I23</f>
        <v>:</v>
      </c>
      <c r="J24" s="57">
        <f ca="1">IF($K24="","",Ergebnisse!J23)</f>
        <v>1</v>
      </c>
      <c r="K24" s="81" t="str">
        <f ca="1">IF(Ergebnisse!K23="","",Ergebnisse!K23)</f>
        <v>ok</v>
      </c>
      <c r="L24" s="192"/>
      <c r="M24" s="79">
        <f ca="1">IF($K24="","",Bernd!$H23)</f>
        <v>2</v>
      </c>
      <c r="N24" s="79">
        <f ca="1">IF($K24="","",Bernd!$J23)</f>
        <v>1</v>
      </c>
      <c r="O24" s="191">
        <f ca="1">IF(Bernd!$AY23="","",Bernd!$AX23)</f>
        <v>3</v>
      </c>
      <c r="P24" s="195"/>
      <c r="Q24" s="192"/>
      <c r="R24" s="79">
        <f ca="1">IF($K24="","",Mitspieler!$H23)</f>
        <v>0</v>
      </c>
      <c r="S24" s="79">
        <f ca="1">IF($K24="","",Mitspieler!$J23)</f>
        <v>0</v>
      </c>
      <c r="T24" s="191">
        <f ca="1">IF(Mitspieler!$AY23="","",Mitspieler!$AX23)</f>
        <v>0</v>
      </c>
      <c r="U24" s="195"/>
      <c r="V24" s="192"/>
      <c r="W24" s="79">
        <f ca="1">IF($K24="","",Random!$H23)</f>
        <v>4</v>
      </c>
      <c r="X24" s="79">
        <f ca="1">IF($K24="","",Random!$J23)</f>
        <v>2</v>
      </c>
      <c r="Y24" s="191">
        <f ca="1">IF(Random!$AY23="","",Random!$AX23)</f>
        <v>4</v>
      </c>
      <c r="Z24" s="195"/>
      <c r="AA24" s="192"/>
      <c r="AB24" s="79">
        <f ca="1">IF($K24="","",Rangliste!$H23)</f>
        <v>1</v>
      </c>
      <c r="AC24" s="79">
        <f ca="1">IF($K24="","",Rangliste!$J23)</f>
        <v>1</v>
      </c>
      <c r="AD24" s="191">
        <f ca="1">IF(Rangliste!$AY23="","",Rangliste!$AX23)</f>
        <v>1</v>
      </c>
      <c r="AE24" s="195"/>
      <c r="AF24" s="192"/>
      <c r="AG24" s="79">
        <f ca="1">IF($K24="","",Fest!$H23)</f>
        <v>2</v>
      </c>
      <c r="AH24" s="79">
        <f ca="1">IF($K24="","",Fest!$J23)</f>
        <v>1</v>
      </c>
      <c r="AI24" s="191">
        <f ca="1">IF(Fest!$AY23="","",Fest!$AX23)</f>
        <v>3</v>
      </c>
      <c r="AJ24" s="195"/>
      <c r="AK24" s="192"/>
      <c r="AL24" s="79">
        <f ca="1">IF($K24="","",Nobody!$H23)</f>
        <v>3</v>
      </c>
      <c r="AM24" s="79">
        <f ca="1">IF($K24="","",Nobody!$J23)</f>
        <v>1</v>
      </c>
      <c r="AN24" s="191">
        <f ca="1">IF(Nobody!$AY23="","",Nobody!$AX23)</f>
        <v>7</v>
      </c>
      <c r="AO24" s="195"/>
      <c r="AP24" s="192"/>
    </row>
    <row r="25" spans="1:42">
      <c r="A25" s="2">
        <f>Ergebnisse!A24</f>
        <v>5</v>
      </c>
      <c r="B25" s="6">
        <f>Ergebnisse!B24</f>
        <v>46186.875</v>
      </c>
      <c r="C25" s="4" t="str">
        <f>Ergebnisse!C24</f>
        <v>Boston</v>
      </c>
      <c r="D25" s="56" t="str">
        <f>Ergebnisse!D24</f>
        <v>Haiti</v>
      </c>
      <c r="E25" s="40" t="str">
        <f>Ergebnisse!E24</f>
        <v>-</v>
      </c>
      <c r="F25" s="56" t="str">
        <f>Ergebnisse!F24</f>
        <v>Schottland</v>
      </c>
      <c r="G25" s="53">
        <f>Ergebnisse!G24</f>
        <v>0</v>
      </c>
      <c r="H25" s="57">
        <f ca="1">IF($K25="","",Ergebnisse!H24)</f>
        <v>0</v>
      </c>
      <c r="I25" s="80" t="str">
        <f>Ergebnisse!I24</f>
        <v>:</v>
      </c>
      <c r="J25" s="57">
        <f ca="1">IF($K25="","",Ergebnisse!J24)</f>
        <v>5</v>
      </c>
      <c r="K25" s="81" t="str">
        <f ca="1">IF(Ergebnisse!K24="","",Ergebnisse!K24)</f>
        <v>ok</v>
      </c>
      <c r="L25" s="192"/>
      <c r="M25" s="79">
        <f ca="1">IF($K25="","",Bernd!$H24)</f>
        <v>0</v>
      </c>
      <c r="N25" s="79">
        <f ca="1">IF($K25="","",Bernd!$J24)</f>
        <v>2</v>
      </c>
      <c r="O25" s="191">
        <f ca="1">IF(Bernd!$AY24="","",Bernd!$AX24)</f>
        <v>3</v>
      </c>
      <c r="P25" s="195"/>
      <c r="Q25" s="192"/>
      <c r="R25" s="79">
        <f ca="1">IF($K25="","",Mitspieler!$H24)</f>
        <v>4</v>
      </c>
      <c r="S25" s="79">
        <f ca="1">IF($K25="","",Mitspieler!$J24)</f>
        <v>4</v>
      </c>
      <c r="T25" s="191">
        <f ca="1">IF(Mitspieler!$AY24="","",Mitspieler!$AX24)</f>
        <v>0</v>
      </c>
      <c r="U25" s="195"/>
      <c r="V25" s="192"/>
      <c r="W25" s="79">
        <f ca="1">IF($K25="","",Random!$H24)</f>
        <v>4</v>
      </c>
      <c r="X25" s="79">
        <f ca="1">IF($K25="","",Random!$J24)</f>
        <v>3</v>
      </c>
      <c r="Y25" s="191">
        <f ca="1">IF(Random!$AY24="","",Random!$AX24)</f>
        <v>0</v>
      </c>
      <c r="Z25" s="195"/>
      <c r="AA25" s="192"/>
      <c r="AB25" s="79">
        <f ca="1">IF($K25="","",Rangliste!$H24)</f>
        <v>3</v>
      </c>
      <c r="AC25" s="79">
        <f ca="1">IF($K25="","",Rangliste!$J24)</f>
        <v>4</v>
      </c>
      <c r="AD25" s="191">
        <f ca="1">IF(Rangliste!$AY24="","",Rangliste!$AX24)</f>
        <v>2</v>
      </c>
      <c r="AE25" s="195"/>
      <c r="AF25" s="192"/>
      <c r="AG25" s="79">
        <f ca="1">IF($K25="","",Fest!$H24)</f>
        <v>2</v>
      </c>
      <c r="AH25" s="79">
        <f ca="1">IF($K25="","",Fest!$J24)</f>
        <v>1</v>
      </c>
      <c r="AI25" s="191">
        <f ca="1">IF(Fest!$AY24="","",Fest!$AX24)</f>
        <v>0</v>
      </c>
      <c r="AJ25" s="195"/>
      <c r="AK25" s="192"/>
      <c r="AL25" s="79">
        <f ca="1">IF($K25="","",Nobody!$H24)</f>
        <v>0</v>
      </c>
      <c r="AM25" s="79">
        <f ca="1">IF($K25="","",Nobody!$J24)</f>
        <v>5</v>
      </c>
      <c r="AN25" s="191">
        <f ca="1">IF(Nobody!$AY24="","",Nobody!$AX24)</f>
        <v>7</v>
      </c>
      <c r="AO25" s="195"/>
      <c r="AP25" s="192"/>
    </row>
    <row r="26" spans="1:42">
      <c r="A26" s="2">
        <f>Ergebnisse!A25</f>
        <v>29</v>
      </c>
      <c r="B26" s="6">
        <f>Ergebnisse!B25</f>
        <v>46192.875</v>
      </c>
      <c r="C26" s="4" t="str">
        <f>Ergebnisse!C25</f>
        <v>Philadelphia</v>
      </c>
      <c r="D26" s="56" t="str">
        <f>Ergebnisse!D25</f>
        <v>Brasilien</v>
      </c>
      <c r="E26" s="40" t="str">
        <f>Ergebnisse!E25</f>
        <v>-</v>
      </c>
      <c r="F26" s="56" t="str">
        <f>Ergebnisse!F25</f>
        <v>Haiti</v>
      </c>
      <c r="G26" s="53">
        <f>Ergebnisse!G25</f>
        <v>0</v>
      </c>
      <c r="H26" s="57">
        <f ca="1">IF($K26="","",Ergebnisse!H25)</f>
        <v>3</v>
      </c>
      <c r="I26" s="80" t="str">
        <f>Ergebnisse!I25</f>
        <v>:</v>
      </c>
      <c r="J26" s="57">
        <f ca="1">IF($K26="","",Ergebnisse!J25)</f>
        <v>4</v>
      </c>
      <c r="K26" s="81" t="str">
        <f ca="1">IF(Ergebnisse!K25="","",Ergebnisse!K25)</f>
        <v>ok</v>
      </c>
      <c r="L26" s="192"/>
      <c r="M26" s="79">
        <f ca="1">IF($K26="","",Bernd!$H25)</f>
        <v>5</v>
      </c>
      <c r="N26" s="79">
        <f ca="1">IF($K26="","",Bernd!$J25)</f>
        <v>0</v>
      </c>
      <c r="O26" s="191">
        <f ca="1">IF(Bernd!$AY25="","",Bernd!$AX25)</f>
        <v>0</v>
      </c>
      <c r="P26" s="195"/>
      <c r="Q26" s="192"/>
      <c r="R26" s="79">
        <f ca="1">IF($K26="","",Mitspieler!$H25)</f>
        <v>3</v>
      </c>
      <c r="S26" s="79">
        <f ca="1">IF($K26="","",Mitspieler!$J25)</f>
        <v>1</v>
      </c>
      <c r="T26" s="191">
        <f ca="1">IF(Mitspieler!$AY25="","",Mitspieler!$AX25)</f>
        <v>1</v>
      </c>
      <c r="U26" s="195"/>
      <c r="V26" s="192"/>
      <c r="W26" s="79">
        <f ca="1">IF($K26="","",Random!$H25)</f>
        <v>2</v>
      </c>
      <c r="X26" s="79">
        <f ca="1">IF($K26="","",Random!$J25)</f>
        <v>5</v>
      </c>
      <c r="Y26" s="191">
        <f ca="1">IF(Random!$AY25="","",Random!$AX25)</f>
        <v>2</v>
      </c>
      <c r="Z26" s="195"/>
      <c r="AA26" s="192"/>
      <c r="AB26" s="79">
        <f ca="1">IF($K26="","",Rangliste!$H25)</f>
        <v>5</v>
      </c>
      <c r="AC26" s="79">
        <f ca="1">IF($K26="","",Rangliste!$J25)</f>
        <v>3</v>
      </c>
      <c r="AD26" s="191">
        <f ca="1">IF(Rangliste!$AY25="","",Rangliste!$AX25)</f>
        <v>0</v>
      </c>
      <c r="AE26" s="195"/>
      <c r="AF26" s="192"/>
      <c r="AG26" s="79">
        <f ca="1">IF($K26="","",Fest!$H25)</f>
        <v>2</v>
      </c>
      <c r="AH26" s="79">
        <f ca="1">IF($K26="","",Fest!$J25)</f>
        <v>1</v>
      </c>
      <c r="AI26" s="191">
        <f ca="1">IF(Fest!$AY25="","",Fest!$AX25)</f>
        <v>0</v>
      </c>
      <c r="AJ26" s="195"/>
      <c r="AK26" s="192"/>
      <c r="AL26" s="79">
        <f ca="1">IF($K26="","",Nobody!$H25)</f>
        <v>3</v>
      </c>
      <c r="AM26" s="79">
        <f ca="1">IF($K26="","",Nobody!$J25)</f>
        <v>4</v>
      </c>
      <c r="AN26" s="191">
        <f ca="1">IF(Nobody!$AY25="","",Nobody!$AX25)</f>
        <v>7</v>
      </c>
      <c r="AO26" s="195"/>
      <c r="AP26" s="192"/>
    </row>
    <row r="27" spans="1:42">
      <c r="A27" s="2">
        <f>Ergebnisse!A26</f>
        <v>30</v>
      </c>
      <c r="B27" s="6">
        <f>Ergebnisse!B26</f>
        <v>46192.75</v>
      </c>
      <c r="C27" s="4" t="str">
        <f>Ergebnisse!C26</f>
        <v>Boston</v>
      </c>
      <c r="D27" s="56" t="str">
        <f>Ergebnisse!D26</f>
        <v>Schottland</v>
      </c>
      <c r="E27" s="40" t="str">
        <f>Ergebnisse!E26</f>
        <v>-</v>
      </c>
      <c r="F27" s="56" t="str">
        <f>Ergebnisse!F26</f>
        <v>Marokko</v>
      </c>
      <c r="G27" s="55">
        <f>Ergebnisse!G26</f>
        <v>0</v>
      </c>
      <c r="H27" s="57">
        <f ca="1">IF($K27="","",Ergebnisse!H26)</f>
        <v>2</v>
      </c>
      <c r="I27" s="80" t="str">
        <f>Ergebnisse!I26</f>
        <v>:</v>
      </c>
      <c r="J27" s="57">
        <f ca="1">IF($K27="","",Ergebnisse!J26)</f>
        <v>3</v>
      </c>
      <c r="K27" s="81" t="str">
        <f ca="1">IF(Ergebnisse!K26="","",Ergebnisse!K26)</f>
        <v>ok</v>
      </c>
      <c r="L27" s="192"/>
      <c r="M27" s="79">
        <f ca="1">IF($K27="","",Bernd!$H26)</f>
        <v>1</v>
      </c>
      <c r="N27" s="79">
        <f ca="1">IF($K27="","",Bernd!$J26)</f>
        <v>2</v>
      </c>
      <c r="O27" s="191">
        <f ca="1">IF(Bernd!$AY26="","",Bernd!$AX26)</f>
        <v>4</v>
      </c>
      <c r="P27" s="195"/>
      <c r="Q27" s="192"/>
      <c r="R27" s="79">
        <f ca="1">IF($K27="","",Mitspieler!$H26)</f>
        <v>2</v>
      </c>
      <c r="S27" s="79">
        <f ca="1">IF($K27="","",Mitspieler!$J26)</f>
        <v>3</v>
      </c>
      <c r="T27" s="191">
        <f ca="1">IF(Mitspieler!$AY26="","",Mitspieler!$AX26)</f>
        <v>7</v>
      </c>
      <c r="U27" s="195"/>
      <c r="V27" s="192"/>
      <c r="W27" s="79">
        <f ca="1">IF($K27="","",Random!$H26)</f>
        <v>4</v>
      </c>
      <c r="X27" s="79">
        <f ca="1">IF($K27="","",Random!$J26)</f>
        <v>1</v>
      </c>
      <c r="Y27" s="191">
        <f ca="1">IF(Random!$AY26="","",Random!$AX26)</f>
        <v>0</v>
      </c>
      <c r="Z27" s="195"/>
      <c r="AA27" s="192"/>
      <c r="AB27" s="79">
        <f ca="1">IF($K27="","",Rangliste!$H26)</f>
        <v>4</v>
      </c>
      <c r="AC27" s="79">
        <f ca="1">IF($K27="","",Rangliste!$J26)</f>
        <v>4</v>
      </c>
      <c r="AD27" s="191">
        <f ca="1">IF(Rangliste!$AY26="","",Rangliste!$AX26)</f>
        <v>0</v>
      </c>
      <c r="AE27" s="195"/>
      <c r="AF27" s="192"/>
      <c r="AG27" s="79">
        <f ca="1">IF($K27="","",Fest!$H26)</f>
        <v>2</v>
      </c>
      <c r="AH27" s="79">
        <f ca="1">IF($K27="","",Fest!$J26)</f>
        <v>1</v>
      </c>
      <c r="AI27" s="191">
        <f ca="1">IF(Fest!$AY26="","",Fest!$AX26)</f>
        <v>1</v>
      </c>
      <c r="AJ27" s="195"/>
      <c r="AK27" s="192"/>
      <c r="AL27" s="79">
        <f ca="1">IF($K27="","",Nobody!$H26)</f>
        <v>2</v>
      </c>
      <c r="AM27" s="79">
        <f ca="1">IF($K27="","",Nobody!$J26)</f>
        <v>3</v>
      </c>
      <c r="AN27" s="191">
        <f ca="1">IF(Nobody!$AY26="","",Nobody!$AX26)</f>
        <v>7</v>
      </c>
      <c r="AO27" s="195"/>
      <c r="AP27" s="192"/>
    </row>
    <row r="28" spans="1:42">
      <c r="A28" s="2">
        <f>Ergebnisse!A27</f>
        <v>49</v>
      </c>
      <c r="B28" s="6">
        <f>Ergebnisse!B27</f>
        <v>46197.75</v>
      </c>
      <c r="C28" s="4" t="str">
        <f>Ergebnisse!C27</f>
        <v>Miami</v>
      </c>
      <c r="D28" s="56" t="str">
        <f>Ergebnisse!D27</f>
        <v>Schottland</v>
      </c>
      <c r="E28" s="40" t="str">
        <f>Ergebnisse!E27</f>
        <v>-</v>
      </c>
      <c r="F28" s="56" t="str">
        <f>Ergebnisse!F27</f>
        <v>Brasilien</v>
      </c>
      <c r="G28" s="53">
        <f>Ergebnisse!G27</f>
        <v>0</v>
      </c>
      <c r="H28" s="57">
        <f ca="1">IF($K28="","",Ergebnisse!H27)</f>
        <v>2</v>
      </c>
      <c r="I28" s="80" t="str">
        <f>Ergebnisse!I27</f>
        <v>:</v>
      </c>
      <c r="J28" s="57">
        <f ca="1">IF($K28="","",Ergebnisse!J27)</f>
        <v>1</v>
      </c>
      <c r="K28" s="81" t="str">
        <f ca="1">IF(Ergebnisse!K27="","",Ergebnisse!K27)</f>
        <v>ok</v>
      </c>
      <c r="L28" s="30"/>
      <c r="M28" s="79">
        <f ca="1">IF($K28="","",Bernd!$H27)</f>
        <v>1</v>
      </c>
      <c r="N28" s="79">
        <f ca="1">IF($K28="","",Bernd!$J27)</f>
        <v>4</v>
      </c>
      <c r="O28" s="191">
        <f ca="1">IF(Bernd!$AY27="","",Bernd!$AX27)</f>
        <v>0</v>
      </c>
      <c r="P28" s="195"/>
      <c r="Q28" s="30"/>
      <c r="R28" s="79">
        <f ca="1">IF($K28="","",Mitspieler!$H27)</f>
        <v>3</v>
      </c>
      <c r="S28" s="79">
        <f ca="1">IF($K28="","",Mitspieler!$J27)</f>
        <v>3</v>
      </c>
      <c r="T28" s="191">
        <f ca="1">IF(Mitspieler!$AY27="","",Mitspieler!$AX27)</f>
        <v>0</v>
      </c>
      <c r="U28" s="195"/>
      <c r="V28" s="30"/>
      <c r="W28" s="79">
        <f ca="1">IF($K28="","",Random!$H27)</f>
        <v>5</v>
      </c>
      <c r="X28" s="79">
        <f ca="1">IF($K28="","",Random!$J27)</f>
        <v>1</v>
      </c>
      <c r="Y28" s="191">
        <f ca="1">IF(Random!$AY27="","",Random!$AX27)</f>
        <v>3</v>
      </c>
      <c r="Z28" s="195"/>
      <c r="AA28" s="30"/>
      <c r="AB28" s="79">
        <f ca="1">IF($K28="","",Rangliste!$H27)</f>
        <v>4</v>
      </c>
      <c r="AC28" s="79">
        <f ca="1">IF($K28="","",Rangliste!$J27)</f>
        <v>5</v>
      </c>
      <c r="AD28" s="191">
        <f ca="1">IF(Rangliste!$AY27="","",Rangliste!$AX27)</f>
        <v>0</v>
      </c>
      <c r="AE28" s="195"/>
      <c r="AF28" s="30"/>
      <c r="AG28" s="79">
        <f ca="1">IF($K28="","",Fest!$H27)</f>
        <v>2</v>
      </c>
      <c r="AH28" s="79">
        <f ca="1">IF($K28="","",Fest!$J27)</f>
        <v>1</v>
      </c>
      <c r="AI28" s="191">
        <f ca="1">IF(Fest!$AY27="","",Fest!$AX27)</f>
        <v>7</v>
      </c>
      <c r="AJ28" s="195"/>
      <c r="AK28" s="30"/>
      <c r="AL28" s="79">
        <f ca="1">IF($K28="","",Nobody!$H27)</f>
        <v>2</v>
      </c>
      <c r="AM28" s="79">
        <f ca="1">IF($K28="","",Nobody!$J27)</f>
        <v>1</v>
      </c>
      <c r="AN28" s="191">
        <f ca="1">IF(Nobody!$AY27="","",Nobody!$AX27)</f>
        <v>7</v>
      </c>
      <c r="AO28" s="195"/>
      <c r="AP28" s="30"/>
    </row>
    <row r="29" spans="1:42">
      <c r="A29" s="2">
        <f>Ergebnisse!A28</f>
        <v>50</v>
      </c>
      <c r="B29" s="6">
        <f>Ergebnisse!B28</f>
        <v>46197.75</v>
      </c>
      <c r="C29" s="4" t="str">
        <f>Ergebnisse!C28</f>
        <v>Atlanta</v>
      </c>
      <c r="D29" s="56" t="str">
        <f>Ergebnisse!D28</f>
        <v>Marokko</v>
      </c>
      <c r="E29" s="40" t="str">
        <f>Ergebnisse!E28</f>
        <v>-</v>
      </c>
      <c r="F29" s="56" t="str">
        <f>Ergebnisse!F28</f>
        <v>Haiti</v>
      </c>
      <c r="G29" s="55">
        <f>Ergebnisse!G28</f>
        <v>0</v>
      </c>
      <c r="H29" s="57">
        <f ca="1">IF($K29="","",Ergebnisse!H28)</f>
        <v>2</v>
      </c>
      <c r="I29" s="80" t="str">
        <f>Ergebnisse!I28</f>
        <v>:</v>
      </c>
      <c r="J29" s="57">
        <f ca="1">IF($K29="","",Ergebnisse!J28)</f>
        <v>5</v>
      </c>
      <c r="K29" s="81" t="str">
        <f ca="1">IF(Ergebnisse!K28="","",Ergebnisse!K28)</f>
        <v>ok</v>
      </c>
      <c r="L29" s="30"/>
      <c r="M29" s="79">
        <f ca="1">IF($K29="","",Bernd!$H28)</f>
        <v>3</v>
      </c>
      <c r="N29" s="79">
        <f ca="1">IF($K29="","",Bernd!$J28)</f>
        <v>0</v>
      </c>
      <c r="O29" s="191">
        <f ca="1">IF(Bernd!$AY28="","",Bernd!$AX28)</f>
        <v>0</v>
      </c>
      <c r="P29" s="195"/>
      <c r="Q29" s="30"/>
      <c r="R29" s="79">
        <f ca="1">IF($K29="","",Mitspieler!$H28)</f>
        <v>2</v>
      </c>
      <c r="S29" s="79">
        <f ca="1">IF($K29="","",Mitspieler!$J28)</f>
        <v>0</v>
      </c>
      <c r="T29" s="191">
        <f ca="1">IF(Mitspieler!$AY28="","",Mitspieler!$AX28)</f>
        <v>1</v>
      </c>
      <c r="U29" s="195"/>
      <c r="V29" s="30"/>
      <c r="W29" s="79">
        <f ca="1">IF($K29="","",Random!$H28)</f>
        <v>3</v>
      </c>
      <c r="X29" s="79">
        <f ca="1">IF($K29="","",Random!$J28)</f>
        <v>3</v>
      </c>
      <c r="Y29" s="191">
        <f ca="1">IF(Random!$AY28="","",Random!$AX28)</f>
        <v>0</v>
      </c>
      <c r="Z29" s="195"/>
      <c r="AA29" s="30"/>
      <c r="AB29" s="79">
        <f ca="1">IF($K29="","",Rangliste!$H28)</f>
        <v>5</v>
      </c>
      <c r="AC29" s="79">
        <f ca="1">IF($K29="","",Rangliste!$J28)</f>
        <v>3</v>
      </c>
      <c r="AD29" s="191">
        <f ca="1">IF(Rangliste!$AY28="","",Rangliste!$AX28)</f>
        <v>0</v>
      </c>
      <c r="AE29" s="195"/>
      <c r="AF29" s="30"/>
      <c r="AG29" s="79">
        <f ca="1">IF($K29="","",Fest!$H28)</f>
        <v>2</v>
      </c>
      <c r="AH29" s="79">
        <f ca="1">IF($K29="","",Fest!$J28)</f>
        <v>1</v>
      </c>
      <c r="AI29" s="191">
        <f ca="1">IF(Fest!$AY28="","",Fest!$AX28)</f>
        <v>1</v>
      </c>
      <c r="AJ29" s="195"/>
      <c r="AK29" s="30"/>
      <c r="AL29" s="79">
        <f ca="1">IF($K29="","",Nobody!$H28)</f>
        <v>2</v>
      </c>
      <c r="AM29" s="79">
        <f ca="1">IF($K29="","",Nobody!$J28)</f>
        <v>5</v>
      </c>
      <c r="AN29" s="191">
        <f ca="1">IF(Nobody!$AY28="","",Nobody!$AX28)</f>
        <v>7</v>
      </c>
      <c r="AO29" s="195"/>
      <c r="AP29" s="30"/>
    </row>
    <row r="30" spans="1:42" s="55" customFormat="1">
      <c r="F30" s="38" t="str">
        <f ca="1">Ergebnisse!M29</f>
        <v>Brasilien</v>
      </c>
      <c r="H30" s="58"/>
      <c r="I30" s="58"/>
      <c r="J30" s="58"/>
      <c r="K30" s="196"/>
      <c r="L30" s="197"/>
      <c r="M30" s="38" t="str">
        <f>Bernd!$M29</f>
        <v>Schottland</v>
      </c>
      <c r="N30" s="38"/>
      <c r="O30" s="191">
        <f ca="1">IF(Bernd!$AY29="","",Bernd!$AX29)</f>
        <v>2</v>
      </c>
      <c r="P30" s="198"/>
      <c r="Q30" s="197"/>
      <c r="R30" s="38" t="str">
        <f>Mitspieler!$M29</f>
        <v>Schottland</v>
      </c>
      <c r="S30" s="38"/>
      <c r="T30" s="191">
        <f ca="1">IF(Mitspieler!$AY29="","",Mitspieler!$AX29)</f>
        <v>2</v>
      </c>
      <c r="U30" s="198"/>
      <c r="V30" s="197"/>
      <c r="W30" s="38" t="str">
        <f ca="1">Random!$M29</f>
        <v>Brasilien</v>
      </c>
      <c r="X30" s="38"/>
      <c r="Y30" s="191">
        <f ca="1">IF(Random!$AY29="","",Random!$AX29)</f>
        <v>2</v>
      </c>
      <c r="Z30" s="198"/>
      <c r="AA30" s="197"/>
      <c r="AB30" s="38" t="str">
        <f>Rangliste!$M29</f>
        <v>Schottland</v>
      </c>
      <c r="AC30" s="38"/>
      <c r="AD30" s="191">
        <f ca="1">IF(Rangliste!$AY29="","",Rangliste!$AX29)</f>
        <v>2</v>
      </c>
      <c r="AE30" s="198"/>
      <c r="AF30" s="197"/>
      <c r="AG30" s="38" t="str">
        <f ca="1">Fest!$M29</f>
        <v>Marokko</v>
      </c>
      <c r="AH30" s="38"/>
      <c r="AI30" s="191">
        <f ca="1">IF(Fest!$AY29="","",Fest!$AX29)</f>
        <v>0</v>
      </c>
      <c r="AJ30" s="198"/>
      <c r="AK30" s="197"/>
      <c r="AL30" s="38" t="str">
        <f ca="1">Nobody!$M29</f>
        <v>Brasilien</v>
      </c>
      <c r="AM30" s="38"/>
      <c r="AN30" s="191">
        <f ca="1">IF(Nobody!$AY29="","",Nobody!$AX29)</f>
        <v>2</v>
      </c>
      <c r="AO30" s="198"/>
      <c r="AP30" s="197"/>
    </row>
    <row r="31" spans="1:42" ht="6" customHeight="1">
      <c r="D31" s="55"/>
      <c r="E31" s="58"/>
      <c r="F31" s="59"/>
      <c r="G31" s="59"/>
      <c r="H31" s="55"/>
      <c r="I31" s="55"/>
      <c r="J31" s="55"/>
      <c r="L31" s="30"/>
      <c r="M31" s="65"/>
      <c r="N31" s="65"/>
      <c r="O31" s="191"/>
      <c r="P31" s="195"/>
      <c r="Q31" s="30"/>
      <c r="R31" s="65"/>
      <c r="S31" s="65"/>
      <c r="T31" s="191"/>
      <c r="U31" s="195"/>
      <c r="V31" s="30"/>
      <c r="W31" s="65"/>
      <c r="X31" s="65"/>
      <c r="Y31" s="191"/>
      <c r="Z31" s="195"/>
      <c r="AA31" s="30"/>
      <c r="AB31" s="65"/>
      <c r="AC31" s="65"/>
      <c r="AD31" s="191"/>
      <c r="AE31" s="195"/>
      <c r="AF31" s="30"/>
      <c r="AG31" s="65"/>
      <c r="AH31" s="65"/>
      <c r="AI31" s="191"/>
      <c r="AJ31" s="195"/>
      <c r="AK31" s="30"/>
      <c r="AL31" s="65"/>
      <c r="AM31" s="65"/>
      <c r="AN31" s="191"/>
      <c r="AO31" s="195"/>
      <c r="AP31" s="30"/>
    </row>
    <row r="32" spans="1:42" s="10" customFormat="1">
      <c r="B32" s="76" t="str">
        <f>Ergebnisse!BB1</f>
        <v>Vorrunde</v>
      </c>
      <c r="C32" s="76" t="str">
        <f>Ergebnisse!BC1</f>
        <v>Gruppe D</v>
      </c>
      <c r="D32" s="53"/>
      <c r="E32" s="54"/>
      <c r="F32" s="18" t="str">
        <f ca="1">Ergebnisse!BM7</f>
        <v>Türkei</v>
      </c>
      <c r="G32" s="56">
        <f>Ergebnisse!BG1</f>
        <v>0</v>
      </c>
      <c r="H32" s="40"/>
      <c r="I32" s="40"/>
      <c r="J32" s="40"/>
      <c r="K32" s="273"/>
      <c r="L32" s="200"/>
      <c r="M32" s="18" t="str">
        <f>Bernd!$BM7</f>
        <v>Paraguay</v>
      </c>
      <c r="N32" s="76"/>
      <c r="O32" s="191">
        <f ca="1">IF(Bernd!$CY1="","",Bernd!$CX1)</f>
        <v>0</v>
      </c>
      <c r="P32" s="195"/>
      <c r="Q32" s="190"/>
      <c r="R32" s="18" t="str">
        <f>Mitspieler!$BM7</f>
        <v>Türkei</v>
      </c>
      <c r="S32" s="76"/>
      <c r="T32" s="191">
        <f ca="1">IF(Mitspieler!$CY1="","",Mitspieler!$CX1)</f>
        <v>2</v>
      </c>
      <c r="U32" s="195"/>
      <c r="V32" s="190"/>
      <c r="W32" s="18" t="str">
        <f ca="1">Random!$BM7</f>
        <v>Australien</v>
      </c>
      <c r="X32" s="76"/>
      <c r="Y32" s="191">
        <f ca="1">IF(Random!$CY1="","",Random!$CX1)</f>
        <v>2</v>
      </c>
      <c r="Z32" s="195"/>
      <c r="AA32" s="190"/>
      <c r="AB32" s="18" t="str">
        <f>Rangliste!$BM7</f>
        <v>USA</v>
      </c>
      <c r="AC32" s="76"/>
      <c r="AD32" s="191">
        <f ca="1">IF(Rangliste!$CY1="","",Rangliste!$CX1)</f>
        <v>0</v>
      </c>
      <c r="AE32" s="195"/>
      <c r="AF32" s="190"/>
      <c r="AG32" s="18" t="str">
        <f ca="1">Fest!$BM7</f>
        <v>Türkei</v>
      </c>
      <c r="AH32" s="76"/>
      <c r="AI32" s="191">
        <f ca="1">IF(Fest!$CY1="","",Fest!$CX1)</f>
        <v>2</v>
      </c>
      <c r="AJ32" s="195"/>
      <c r="AK32" s="190"/>
      <c r="AL32" s="18" t="str">
        <f ca="1">Nobody!$BM7</f>
        <v>Türkei</v>
      </c>
      <c r="AM32" s="76"/>
      <c r="AN32" s="191">
        <f ca="1">IF(Nobody!$CY1="","",Nobody!$CX1)</f>
        <v>2</v>
      </c>
      <c r="AO32" s="195"/>
      <c r="AP32" s="190"/>
    </row>
    <row r="33" spans="1:42">
      <c r="B33" s="3" t="str">
        <f>Ergebnisse!BB2</f>
        <v>Datum/Zeit</v>
      </c>
      <c r="C33" s="3" t="str">
        <f>Ergebnisse!BC2</f>
        <v>Spielort</v>
      </c>
      <c r="D33" s="55"/>
      <c r="E33" s="55"/>
      <c r="F33" s="18" t="str">
        <f ca="1">Ergebnisse!BM8</f>
        <v>Australien</v>
      </c>
      <c r="G33" s="63">
        <f>Ergebnisse!BG2</f>
        <v>0</v>
      </c>
      <c r="H33" s="40"/>
      <c r="I33" s="40"/>
      <c r="J33" s="40"/>
      <c r="K33" s="273"/>
      <c r="L33" s="200"/>
      <c r="M33" s="18" t="str">
        <f>Bernd!$BM8</f>
        <v>USA</v>
      </c>
      <c r="N33" s="76"/>
      <c r="O33" s="191">
        <f ca="1">IF(Bernd!$CY2="","",Bernd!$CX2)</f>
        <v>0</v>
      </c>
      <c r="P33" s="195"/>
      <c r="Q33" s="192"/>
      <c r="R33" s="18" t="str">
        <f>Mitspieler!$BM8</f>
        <v>USA</v>
      </c>
      <c r="S33" s="76"/>
      <c r="T33" s="191">
        <f ca="1">IF(Mitspieler!$CY2="","",Mitspieler!$CX2)</f>
        <v>0</v>
      </c>
      <c r="U33" s="195"/>
      <c r="V33" s="192"/>
      <c r="W33" s="18" t="str">
        <f ca="1">Random!$BM8</f>
        <v>Paraguay</v>
      </c>
      <c r="X33" s="76"/>
      <c r="Y33" s="191">
        <f ca="1">IF(Random!$CY2="","",Random!$CX2)</f>
        <v>0</v>
      </c>
      <c r="Z33" s="195"/>
      <c r="AA33" s="192"/>
      <c r="AB33" s="18" t="str">
        <f>Rangliste!$BM8</f>
        <v>Australien</v>
      </c>
      <c r="AC33" s="76"/>
      <c r="AD33" s="191">
        <f ca="1">IF(Rangliste!$CY2="","",Rangliste!$CX2)</f>
        <v>2</v>
      </c>
      <c r="AE33" s="195"/>
      <c r="AF33" s="192"/>
      <c r="AG33" s="18" t="str">
        <f ca="1">Fest!$BM8</f>
        <v>USA</v>
      </c>
      <c r="AH33" s="76"/>
      <c r="AI33" s="191">
        <f ca="1">IF(Fest!$CY2="","",Fest!$CX2)</f>
        <v>0</v>
      </c>
      <c r="AJ33" s="195"/>
      <c r="AK33" s="192"/>
      <c r="AL33" s="18" t="str">
        <f ca="1">Nobody!$BM8</f>
        <v>Australien</v>
      </c>
      <c r="AM33" s="76"/>
      <c r="AN33" s="191">
        <f ca="1">IF(Nobody!$CY2="","",Nobody!$CX2)</f>
        <v>2</v>
      </c>
      <c r="AO33" s="195"/>
      <c r="AP33" s="192"/>
    </row>
    <row r="34" spans="1:42">
      <c r="A34" s="2">
        <f>Ergebnisse!BA3</f>
        <v>4</v>
      </c>
      <c r="B34" s="6">
        <f>Ergebnisse!BB3</f>
        <v>46185.75</v>
      </c>
      <c r="C34" s="4" t="str">
        <f>Ergebnisse!BC3</f>
        <v>Los Angeles</v>
      </c>
      <c r="D34" s="56" t="str">
        <f>Ergebnisse!BD3</f>
        <v>USA</v>
      </c>
      <c r="E34" s="40" t="str">
        <f>Ergebnisse!BE3</f>
        <v>-</v>
      </c>
      <c r="F34" s="56" t="str">
        <f>Ergebnisse!BF3</f>
        <v>Paraguay</v>
      </c>
      <c r="G34" s="53">
        <f>Ergebnisse!BG3</f>
        <v>0</v>
      </c>
      <c r="H34" s="57">
        <f ca="1">IF($K34="","",Ergebnisse!BH3)</f>
        <v>1</v>
      </c>
      <c r="I34" s="80" t="str">
        <f>Ergebnisse!BI3</f>
        <v>:</v>
      </c>
      <c r="J34" s="57">
        <f ca="1">IF($K34="","",Ergebnisse!BJ3)</f>
        <v>1</v>
      </c>
      <c r="K34" s="81" t="str">
        <f ca="1">IF(Ergebnisse!BK3="","",Ergebnisse!BK3)</f>
        <v>ok</v>
      </c>
      <c r="L34" s="192"/>
      <c r="M34" s="79">
        <f ca="1">IF($K34="","",Bernd!$BH3)</f>
        <v>1</v>
      </c>
      <c r="N34" s="79">
        <f ca="1">IF($K34="","",Bernd!$BJ3)</f>
        <v>1</v>
      </c>
      <c r="O34" s="191">
        <f ca="1">IF(Bernd!$CY3="","",Bernd!$CX3)</f>
        <v>7</v>
      </c>
      <c r="P34" s="195"/>
      <c r="Q34" s="192"/>
      <c r="R34" s="79">
        <f ca="1">IF($K34="","",Mitspieler!$BH3)</f>
        <v>5</v>
      </c>
      <c r="S34" s="79">
        <f ca="1">IF($K34="","",Mitspieler!$BJ3)</f>
        <v>5</v>
      </c>
      <c r="T34" s="191">
        <f ca="1">IF(Mitspieler!$CY3="","",Mitspieler!$CX3)</f>
        <v>4</v>
      </c>
      <c r="U34" s="195"/>
      <c r="V34" s="192"/>
      <c r="W34" s="79">
        <f ca="1">IF($K34="","",Random!$BH3)</f>
        <v>3</v>
      </c>
      <c r="X34" s="79">
        <f ca="1">IF($K34="","",Random!$BJ3)</f>
        <v>4</v>
      </c>
      <c r="Y34" s="191">
        <f ca="1">IF(Random!$CY3="","",Random!$CX3)</f>
        <v>0</v>
      </c>
      <c r="Z34" s="195"/>
      <c r="AA34" s="192"/>
      <c r="AB34" s="79">
        <f ca="1">IF($K34="","",Rangliste!$BH3)</f>
        <v>2</v>
      </c>
      <c r="AC34" s="79">
        <f ca="1">IF($K34="","",Rangliste!$BJ3)</f>
        <v>1</v>
      </c>
      <c r="AD34" s="191">
        <f ca="1">IF(Rangliste!$CY3="","",Rangliste!$CX3)</f>
        <v>1</v>
      </c>
      <c r="AE34" s="195"/>
      <c r="AF34" s="192"/>
      <c r="AG34" s="79">
        <f ca="1">IF($K34="","",Fest!$BH3)</f>
        <v>2</v>
      </c>
      <c r="AH34" s="79">
        <f ca="1">IF($K34="","",Fest!$BJ3)</f>
        <v>1</v>
      </c>
      <c r="AI34" s="191">
        <f ca="1">IF(Fest!$CY3="","",Fest!$CX3)</f>
        <v>1</v>
      </c>
      <c r="AJ34" s="195"/>
      <c r="AK34" s="192"/>
      <c r="AL34" s="79">
        <f ca="1">IF($K34="","",Nobody!$BH3)</f>
        <v>1</v>
      </c>
      <c r="AM34" s="79">
        <f ca="1">IF($K34="","",Nobody!$BJ3)</f>
        <v>1</v>
      </c>
      <c r="AN34" s="191">
        <f ca="1">IF(Nobody!$CY3="","",Nobody!$CX3)</f>
        <v>7</v>
      </c>
      <c r="AO34" s="195"/>
      <c r="AP34" s="192"/>
    </row>
    <row r="35" spans="1:42">
      <c r="A35" s="2">
        <f>Ergebnisse!BA4</f>
        <v>6</v>
      </c>
      <c r="B35" s="6">
        <f>Ergebnisse!BB4</f>
        <v>46186.875</v>
      </c>
      <c r="C35" s="4" t="str">
        <f>Ergebnisse!BC4</f>
        <v>Vancouver</v>
      </c>
      <c r="D35" s="56" t="str">
        <f>Ergebnisse!BD4</f>
        <v>Australien</v>
      </c>
      <c r="E35" s="40" t="str">
        <f>Ergebnisse!BE4</f>
        <v>-</v>
      </c>
      <c r="F35" s="56" t="str">
        <f>Ergebnisse!BF4</f>
        <v>Türkei</v>
      </c>
      <c r="G35" s="53">
        <f>Ergebnisse!BG4</f>
        <v>0</v>
      </c>
      <c r="H35" s="57">
        <f ca="1">IF($K35="","",Ergebnisse!BH4)</f>
        <v>6</v>
      </c>
      <c r="I35" s="80" t="str">
        <f>Ergebnisse!BI4</f>
        <v>:</v>
      </c>
      <c r="J35" s="57">
        <f ca="1">IF($K35="","",Ergebnisse!BJ4)</f>
        <v>2</v>
      </c>
      <c r="K35" s="81" t="str">
        <f ca="1">IF(Ergebnisse!BK4="","",Ergebnisse!BK4)</f>
        <v>ok</v>
      </c>
      <c r="L35" s="192"/>
      <c r="M35" s="79">
        <f ca="1">IF($K35="","",Bernd!$BH4)</f>
        <v>1</v>
      </c>
      <c r="N35" s="79">
        <f ca="1">IF($K35="","",Bernd!$BJ4)</f>
        <v>2</v>
      </c>
      <c r="O35" s="191">
        <f ca="1">IF(Bernd!$CY4="","",Bernd!$CX4)</f>
        <v>1</v>
      </c>
      <c r="P35" s="195"/>
      <c r="Q35" s="192"/>
      <c r="R35" s="79">
        <f ca="1">IF($K35="","",Mitspieler!$BH4)</f>
        <v>0</v>
      </c>
      <c r="S35" s="79">
        <f ca="1">IF($K35="","",Mitspieler!$BJ4)</f>
        <v>1</v>
      </c>
      <c r="T35" s="191">
        <f ca="1">IF(Mitspieler!$CY4="","",Mitspieler!$CX4)</f>
        <v>0</v>
      </c>
      <c r="U35" s="195"/>
      <c r="V35" s="192"/>
      <c r="W35" s="79">
        <f ca="1">IF($K35="","",Random!$BH4)</f>
        <v>0</v>
      </c>
      <c r="X35" s="79">
        <f ca="1">IF($K35="","",Random!$BJ4)</f>
        <v>1</v>
      </c>
      <c r="Y35" s="191">
        <f ca="1">IF(Random!$CY4="","",Random!$CX4)</f>
        <v>0</v>
      </c>
      <c r="Z35" s="195"/>
      <c r="AA35" s="192"/>
      <c r="AB35" s="79">
        <f ca="1">IF($K35="","",Rangliste!$BH4)</f>
        <v>1</v>
      </c>
      <c r="AC35" s="79">
        <f ca="1">IF($K35="","",Rangliste!$BJ4)</f>
        <v>1</v>
      </c>
      <c r="AD35" s="191">
        <f ca="1">IF(Rangliste!$CY4="","",Rangliste!$CX4)</f>
        <v>0</v>
      </c>
      <c r="AE35" s="195"/>
      <c r="AF35" s="192"/>
      <c r="AG35" s="79">
        <f ca="1">IF($K35="","",Fest!$BH4)</f>
        <v>2</v>
      </c>
      <c r="AH35" s="79">
        <f ca="1">IF($K35="","",Fest!$BJ4)</f>
        <v>1</v>
      </c>
      <c r="AI35" s="191">
        <f ca="1">IF(Fest!$CY4="","",Fest!$CX4)</f>
        <v>2</v>
      </c>
      <c r="AJ35" s="195"/>
      <c r="AK35" s="192"/>
      <c r="AL35" s="79">
        <f ca="1">IF($K35="","",Nobody!$BH4)</f>
        <v>6</v>
      </c>
      <c r="AM35" s="79">
        <f ca="1">IF($K35="","",Nobody!$BJ4)</f>
        <v>2</v>
      </c>
      <c r="AN35" s="191">
        <f ca="1">IF(Nobody!$CY4="","",Nobody!$CX4)</f>
        <v>7</v>
      </c>
      <c r="AO35" s="195"/>
      <c r="AP35" s="192"/>
    </row>
    <row r="36" spans="1:42">
      <c r="A36" s="2">
        <f>Ergebnisse!BA5</f>
        <v>32</v>
      </c>
      <c r="B36" s="6">
        <f>Ergebnisse!BB5</f>
        <v>46192.5</v>
      </c>
      <c r="C36" s="4" t="str">
        <f>Ergebnisse!BC5</f>
        <v>Seattle</v>
      </c>
      <c r="D36" s="56" t="str">
        <f>Ergebnisse!BD5</f>
        <v>USA</v>
      </c>
      <c r="E36" s="40" t="str">
        <f>Ergebnisse!BE5</f>
        <v>-</v>
      </c>
      <c r="F36" s="56" t="str">
        <f>Ergebnisse!BF5</f>
        <v>Australien</v>
      </c>
      <c r="G36" s="53">
        <f>Ergebnisse!BG5</f>
        <v>0</v>
      </c>
      <c r="H36" s="57">
        <f ca="1">IF($K36="","",Ergebnisse!BH5)</f>
        <v>1</v>
      </c>
      <c r="I36" s="80" t="str">
        <f>Ergebnisse!BI5</f>
        <v>:</v>
      </c>
      <c r="J36" s="57">
        <f ca="1">IF($K36="","",Ergebnisse!BJ5)</f>
        <v>1</v>
      </c>
      <c r="K36" s="81" t="str">
        <f ca="1">IF(Ergebnisse!BK5="","",Ergebnisse!BK5)</f>
        <v>ok</v>
      </c>
      <c r="L36" s="192"/>
      <c r="M36" s="79">
        <f ca="1">IF($K36="","",Bernd!$BH5)</f>
        <v>3</v>
      </c>
      <c r="N36" s="79">
        <f ca="1">IF($K36="","",Bernd!$BJ5)</f>
        <v>1</v>
      </c>
      <c r="O36" s="191">
        <f ca="1">IF(Bernd!$CY5="","",Bernd!$CX5)</f>
        <v>1</v>
      </c>
      <c r="P36" s="195"/>
      <c r="Q36" s="192"/>
      <c r="R36" s="79">
        <f ca="1">IF($K36="","",Mitspieler!$BH5)</f>
        <v>5</v>
      </c>
      <c r="S36" s="79">
        <f ca="1">IF($K36="","",Mitspieler!$BJ5)</f>
        <v>4</v>
      </c>
      <c r="T36" s="191">
        <f ca="1">IF(Mitspieler!$CY5="","",Mitspieler!$CX5)</f>
        <v>0</v>
      </c>
      <c r="U36" s="195"/>
      <c r="V36" s="192"/>
      <c r="W36" s="79">
        <f ca="1">IF($K36="","",Random!$BH5)</f>
        <v>2</v>
      </c>
      <c r="X36" s="79">
        <f ca="1">IF($K36="","",Random!$BJ5)</f>
        <v>3</v>
      </c>
      <c r="Y36" s="191">
        <f ca="1">IF(Random!$CY5="","",Random!$CX5)</f>
        <v>0</v>
      </c>
      <c r="Z36" s="195"/>
      <c r="AA36" s="192"/>
      <c r="AB36" s="79">
        <f ca="1">IF($K36="","",Rangliste!$BH5)</f>
        <v>2</v>
      </c>
      <c r="AC36" s="79">
        <f ca="1">IF($K36="","",Rangliste!$BJ5)</f>
        <v>2</v>
      </c>
      <c r="AD36" s="191">
        <f ca="1">IF(Rangliste!$CY5="","",Rangliste!$CX5)</f>
        <v>4</v>
      </c>
      <c r="AE36" s="195"/>
      <c r="AF36" s="192"/>
      <c r="AG36" s="79">
        <f ca="1">IF($K36="","",Fest!$BH5)</f>
        <v>2</v>
      </c>
      <c r="AH36" s="79">
        <f ca="1">IF($K36="","",Fest!$BJ5)</f>
        <v>1</v>
      </c>
      <c r="AI36" s="191">
        <f ca="1">IF(Fest!$CY5="","",Fest!$CX5)</f>
        <v>1</v>
      </c>
      <c r="AJ36" s="195"/>
      <c r="AK36" s="192"/>
      <c r="AL36" s="79">
        <f ca="1">IF($K36="","",Nobody!$BH5)</f>
        <v>1</v>
      </c>
      <c r="AM36" s="79">
        <f ca="1">IF($K36="","",Nobody!$BJ5)</f>
        <v>1</v>
      </c>
      <c r="AN36" s="191">
        <f ca="1">IF(Nobody!$CY5="","",Nobody!$CX5)</f>
        <v>7</v>
      </c>
      <c r="AO36" s="195"/>
      <c r="AP36" s="192"/>
    </row>
    <row r="37" spans="1:42">
      <c r="A37" s="2">
        <f>Ergebnisse!BA6</f>
        <v>31</v>
      </c>
      <c r="B37" s="6">
        <f>Ergebnisse!BB6</f>
        <v>46192.875</v>
      </c>
      <c r="C37" s="4" t="str">
        <f>Ergebnisse!BC6</f>
        <v>San Francisco</v>
      </c>
      <c r="D37" s="56" t="str">
        <f>Ergebnisse!BD6</f>
        <v>Türkei</v>
      </c>
      <c r="E37" s="40" t="str">
        <f>Ergebnisse!BE6</f>
        <v>-</v>
      </c>
      <c r="F37" s="56" t="str">
        <f>Ergebnisse!BF6</f>
        <v>Paraguay</v>
      </c>
      <c r="G37" s="55">
        <f>Ergebnisse!BG6</f>
        <v>0</v>
      </c>
      <c r="H37" s="57">
        <f ca="1">IF($K37="","",Ergebnisse!BH6)</f>
        <v>4</v>
      </c>
      <c r="I37" s="80" t="str">
        <f>Ergebnisse!BI6</f>
        <v>:</v>
      </c>
      <c r="J37" s="57">
        <f ca="1">IF($K37="","",Ergebnisse!BJ6)</f>
        <v>1</v>
      </c>
      <c r="K37" s="81" t="str">
        <f ca="1">IF(Ergebnisse!BK6="","",Ergebnisse!BK6)</f>
        <v>ok</v>
      </c>
      <c r="L37" s="192"/>
      <c r="M37" s="79">
        <f ca="1">IF($K37="","",Bernd!$BH6)</f>
        <v>0</v>
      </c>
      <c r="N37" s="79">
        <f ca="1">IF($K37="","",Bernd!$BJ6)</f>
        <v>2</v>
      </c>
      <c r="O37" s="191">
        <f ca="1">IF(Bernd!$CY6="","",Bernd!$CX6)</f>
        <v>0</v>
      </c>
      <c r="P37" s="195"/>
      <c r="Q37" s="192"/>
      <c r="R37" s="79">
        <f ca="1">IF($K37="","",Mitspieler!$BH6)</f>
        <v>1</v>
      </c>
      <c r="S37" s="79">
        <f ca="1">IF($K37="","",Mitspieler!$BJ6)</f>
        <v>0</v>
      </c>
      <c r="T37" s="191">
        <f ca="1">IF(Mitspieler!$CY6="","",Mitspieler!$CX6)</f>
        <v>2</v>
      </c>
      <c r="U37" s="195"/>
      <c r="V37" s="192"/>
      <c r="W37" s="79">
        <f ca="1">IF($K37="","",Random!$BH6)</f>
        <v>4</v>
      </c>
      <c r="X37" s="79">
        <f ca="1">IF($K37="","",Random!$BJ6)</f>
        <v>4</v>
      </c>
      <c r="Y37" s="191">
        <f ca="1">IF(Random!$CY6="","",Random!$CX6)</f>
        <v>1</v>
      </c>
      <c r="Z37" s="195"/>
      <c r="AA37" s="192"/>
      <c r="AB37" s="79">
        <f ca="1">IF($K37="","",Rangliste!$BH6)</f>
        <v>2</v>
      </c>
      <c r="AC37" s="79">
        <f ca="1">IF($K37="","",Rangliste!$BJ6)</f>
        <v>2</v>
      </c>
      <c r="AD37" s="191">
        <f ca="1">IF(Rangliste!$CY6="","",Rangliste!$CX6)</f>
        <v>0</v>
      </c>
      <c r="AE37" s="195"/>
      <c r="AF37" s="192"/>
      <c r="AG37" s="79">
        <f ca="1">IF($K37="","",Fest!$BH6)</f>
        <v>2</v>
      </c>
      <c r="AH37" s="79">
        <f ca="1">IF($K37="","",Fest!$BJ6)</f>
        <v>1</v>
      </c>
      <c r="AI37" s="191">
        <f ca="1">IF(Fest!$CY6="","",Fest!$CX6)</f>
        <v>3</v>
      </c>
      <c r="AJ37" s="195"/>
      <c r="AK37" s="192"/>
      <c r="AL37" s="79">
        <f ca="1">IF($K37="","",Nobody!$BH6)</f>
        <v>4</v>
      </c>
      <c r="AM37" s="79">
        <f ca="1">IF($K37="","",Nobody!$BJ6)</f>
        <v>1</v>
      </c>
      <c r="AN37" s="191">
        <f ca="1">IF(Nobody!$CY6="","",Nobody!$CX6)</f>
        <v>7</v>
      </c>
      <c r="AO37" s="195"/>
      <c r="AP37" s="192"/>
    </row>
    <row r="38" spans="1:42">
      <c r="A38" s="2">
        <f>Ergebnisse!BA7</f>
        <v>59</v>
      </c>
      <c r="B38" s="6">
        <f>Ergebnisse!BB7</f>
        <v>46198.791666666664</v>
      </c>
      <c r="C38" s="4" t="str">
        <f>Ergebnisse!BC7</f>
        <v>Los Angeles</v>
      </c>
      <c r="D38" s="56" t="str">
        <f>Ergebnisse!BD7</f>
        <v>Türkei</v>
      </c>
      <c r="E38" s="40" t="str">
        <f>Ergebnisse!BE7</f>
        <v>-</v>
      </c>
      <c r="F38" s="56" t="str">
        <f>Ergebnisse!BF7</f>
        <v>USA</v>
      </c>
      <c r="G38" s="53">
        <f>Ergebnisse!BG7</f>
        <v>0</v>
      </c>
      <c r="H38" s="57">
        <f ca="1">IF($K38="","",Ergebnisse!BH7)</f>
        <v>2</v>
      </c>
      <c r="I38" s="80" t="str">
        <f>Ergebnisse!BI7</f>
        <v>:</v>
      </c>
      <c r="J38" s="57">
        <f ca="1">IF($K38="","",Ergebnisse!BJ7)</f>
        <v>1</v>
      </c>
      <c r="K38" s="81" t="str">
        <f ca="1">IF(Ergebnisse!BK7="","",Ergebnisse!BK7)</f>
        <v>ok</v>
      </c>
      <c r="L38" s="30"/>
      <c r="M38" s="79">
        <f ca="1">IF($K38="","",Bernd!$BH7)</f>
        <v>1</v>
      </c>
      <c r="N38" s="79">
        <f ca="1">IF($K38="","",Bernd!$BJ7)</f>
        <v>2</v>
      </c>
      <c r="O38" s="191">
        <f ca="1">IF(Bernd!$CY7="","",Bernd!$CX7)</f>
        <v>0</v>
      </c>
      <c r="P38" s="195"/>
      <c r="Q38" s="30"/>
      <c r="R38" s="79">
        <f ca="1">IF($K38="","",Mitspieler!$BH7)</f>
        <v>4</v>
      </c>
      <c r="S38" s="79">
        <f ca="1">IF($K38="","",Mitspieler!$BJ7)</f>
        <v>4</v>
      </c>
      <c r="T38" s="191">
        <f ca="1">IF(Mitspieler!$CY7="","",Mitspieler!$CX7)</f>
        <v>0</v>
      </c>
      <c r="U38" s="195"/>
      <c r="V38" s="30"/>
      <c r="W38" s="79">
        <f ca="1">IF($K38="","",Random!$BH7)</f>
        <v>0</v>
      </c>
      <c r="X38" s="79">
        <f ca="1">IF($K38="","",Random!$BJ7)</f>
        <v>4</v>
      </c>
      <c r="Y38" s="191">
        <f ca="1">IF(Random!$CY7="","",Random!$CX7)</f>
        <v>0</v>
      </c>
      <c r="Z38" s="195"/>
      <c r="AA38" s="30"/>
      <c r="AB38" s="79">
        <f ca="1">IF($K38="","",Rangliste!$BH7)</f>
        <v>1</v>
      </c>
      <c r="AC38" s="79">
        <f ca="1">IF($K38="","",Rangliste!$BJ7)</f>
        <v>2</v>
      </c>
      <c r="AD38" s="191">
        <f ca="1">IF(Rangliste!$CY7="","",Rangliste!$CX7)</f>
        <v>0</v>
      </c>
      <c r="AE38" s="195"/>
      <c r="AF38" s="30"/>
      <c r="AG38" s="79">
        <f ca="1">IF($K38="","",Fest!$BH7)</f>
        <v>2</v>
      </c>
      <c r="AH38" s="79">
        <f ca="1">IF($K38="","",Fest!$BJ7)</f>
        <v>1</v>
      </c>
      <c r="AI38" s="191">
        <f ca="1">IF(Fest!$CY7="","",Fest!$CX7)</f>
        <v>7</v>
      </c>
      <c r="AJ38" s="195"/>
      <c r="AK38" s="30"/>
      <c r="AL38" s="79">
        <f ca="1">IF($K38="","",Nobody!$BH7)</f>
        <v>2</v>
      </c>
      <c r="AM38" s="79">
        <f ca="1">IF($K38="","",Nobody!$BJ7)</f>
        <v>1</v>
      </c>
      <c r="AN38" s="191">
        <f ca="1">IF(Nobody!$CY7="","",Nobody!$CX7)</f>
        <v>7</v>
      </c>
      <c r="AO38" s="195"/>
      <c r="AP38" s="30"/>
    </row>
    <row r="39" spans="1:42">
      <c r="A39" s="2">
        <f>Ergebnisse!BA8</f>
        <v>60</v>
      </c>
      <c r="B39" s="6">
        <f>Ergebnisse!BB8</f>
        <v>46198.791666666664</v>
      </c>
      <c r="C39" s="4" t="str">
        <f>Ergebnisse!BC8</f>
        <v>San Francisco</v>
      </c>
      <c r="D39" s="56" t="str">
        <f>Ergebnisse!BD8</f>
        <v>Paraguay</v>
      </c>
      <c r="E39" s="40" t="str">
        <f>Ergebnisse!BE8</f>
        <v>-</v>
      </c>
      <c r="F39" s="56" t="str">
        <f>Ergebnisse!BF8</f>
        <v>Australien</v>
      </c>
      <c r="G39" s="55">
        <f>Ergebnisse!BG8</f>
        <v>0</v>
      </c>
      <c r="H39" s="57">
        <f ca="1">IF($K39="","",Ergebnisse!BH8)</f>
        <v>0</v>
      </c>
      <c r="I39" s="80" t="str">
        <f>Ergebnisse!BI8</f>
        <v>:</v>
      </c>
      <c r="J39" s="57">
        <f ca="1">IF($K39="","",Ergebnisse!BJ8)</f>
        <v>0</v>
      </c>
      <c r="K39" s="81" t="str">
        <f ca="1">IF(Ergebnisse!BK8="","",Ergebnisse!BK8)</f>
        <v>ok</v>
      </c>
      <c r="L39" s="30"/>
      <c r="M39" s="79">
        <f ca="1">IF($K39="","",Bernd!$BH8)</f>
        <v>3</v>
      </c>
      <c r="N39" s="79">
        <f ca="1">IF($K39="","",Bernd!$BJ8)</f>
        <v>1</v>
      </c>
      <c r="O39" s="191">
        <f ca="1">IF(Bernd!$CY8="","",Bernd!$CX8)</f>
        <v>0</v>
      </c>
      <c r="P39" s="195"/>
      <c r="Q39" s="30"/>
      <c r="R39" s="79">
        <f ca="1">IF($K39="","",Mitspieler!$BH8)</f>
        <v>0</v>
      </c>
      <c r="S39" s="79">
        <f ca="1">IF($K39="","",Mitspieler!$BJ8)</f>
        <v>1</v>
      </c>
      <c r="T39" s="191">
        <f ca="1">IF(Mitspieler!$CY8="","",Mitspieler!$CX8)</f>
        <v>1</v>
      </c>
      <c r="U39" s="195"/>
      <c r="V39" s="30"/>
      <c r="W39" s="79">
        <f ca="1">IF($K39="","",Random!$BH8)</f>
        <v>4</v>
      </c>
      <c r="X39" s="79">
        <f ca="1">IF($K39="","",Random!$BJ8)</f>
        <v>6</v>
      </c>
      <c r="Y39" s="191">
        <f ca="1">IF(Random!$CY8="","",Random!$CX8)</f>
        <v>0</v>
      </c>
      <c r="Z39" s="195"/>
      <c r="AA39" s="30"/>
      <c r="AB39" s="79">
        <f ca="1">IF($K39="","",Rangliste!$BH8)</f>
        <v>1</v>
      </c>
      <c r="AC39" s="79">
        <f ca="1">IF($K39="","",Rangliste!$BJ8)</f>
        <v>2</v>
      </c>
      <c r="AD39" s="191">
        <f ca="1">IF(Rangliste!$CY8="","",Rangliste!$CX8)</f>
        <v>0</v>
      </c>
      <c r="AE39" s="195"/>
      <c r="AF39" s="30"/>
      <c r="AG39" s="79">
        <f ca="1">IF($K39="","",Fest!$BH8)</f>
        <v>2</v>
      </c>
      <c r="AH39" s="79">
        <f ca="1">IF($K39="","",Fest!$BJ8)</f>
        <v>1</v>
      </c>
      <c r="AI39" s="191">
        <f ca="1">IF(Fest!$CY8="","",Fest!$CX8)</f>
        <v>0</v>
      </c>
      <c r="AJ39" s="195"/>
      <c r="AK39" s="30"/>
      <c r="AL39" s="79">
        <f ca="1">IF($K39="","",Nobody!$BH8)</f>
        <v>0</v>
      </c>
      <c r="AM39" s="79">
        <f ca="1">IF($K39="","",Nobody!$BJ8)</f>
        <v>0</v>
      </c>
      <c r="AN39" s="191">
        <f ca="1">IF(Nobody!$CY8="","",Nobody!$CX8)</f>
        <v>7</v>
      </c>
      <c r="AO39" s="195"/>
      <c r="AP39" s="30"/>
    </row>
    <row r="40" spans="1:42" s="55" customFormat="1">
      <c r="F40" s="18" t="str">
        <f ca="1">Ergebnisse!BM9</f>
        <v>USA</v>
      </c>
      <c r="G40" s="63"/>
      <c r="H40" s="40"/>
      <c r="I40" s="40"/>
      <c r="J40" s="40"/>
      <c r="K40" s="274"/>
      <c r="L40" s="275"/>
      <c r="M40" s="18" t="str">
        <f>Bernd!$BM9</f>
        <v>Türkei</v>
      </c>
      <c r="N40" s="76"/>
      <c r="O40" s="191">
        <f ca="1">IF(Bernd!$CY9="","",Bernd!$CX9)</f>
        <v>2</v>
      </c>
      <c r="P40" s="198"/>
      <c r="Q40" s="197"/>
      <c r="R40" s="18" t="str">
        <f>Mitspieler!$BM9</f>
        <v>Australien</v>
      </c>
      <c r="S40" s="76"/>
      <c r="T40" s="191">
        <f ca="1">IF(Mitspieler!$CY9="","",Mitspieler!$CX9)</f>
        <v>2</v>
      </c>
      <c r="U40" s="198"/>
      <c r="V40" s="197"/>
      <c r="W40" s="18" t="str">
        <f ca="1">Random!$BM9</f>
        <v>Türkei</v>
      </c>
      <c r="X40" s="76"/>
      <c r="Y40" s="191">
        <f ca="1">IF(Random!$CY9="","",Random!$CX9)</f>
        <v>2</v>
      </c>
      <c r="Z40" s="198"/>
      <c r="AA40" s="197"/>
      <c r="AB40" s="18" t="str">
        <f>Rangliste!$BM9</f>
        <v>Türkei</v>
      </c>
      <c r="AC40" s="76"/>
      <c r="AD40" s="191">
        <f ca="1">IF(Rangliste!$CY9="","",Rangliste!$CX9)</f>
        <v>2</v>
      </c>
      <c r="AE40" s="198"/>
      <c r="AF40" s="197"/>
      <c r="AG40" s="18" t="str">
        <f ca="1">Fest!$BM9</f>
        <v>Paraguay</v>
      </c>
      <c r="AH40" s="76"/>
      <c r="AI40" s="191">
        <f ca="1">IF(Fest!$CY9="","",Fest!$CX9)</f>
        <v>0</v>
      </c>
      <c r="AJ40" s="198"/>
      <c r="AK40" s="197"/>
      <c r="AL40" s="18" t="str">
        <f ca="1">Nobody!$BM9</f>
        <v>USA</v>
      </c>
      <c r="AM40" s="76"/>
      <c r="AN40" s="191">
        <f ca="1">IF(Nobody!$CY9="","",Nobody!$CX9)</f>
        <v>0</v>
      </c>
      <c r="AO40" s="198"/>
      <c r="AP40" s="197"/>
    </row>
    <row r="41" spans="1:42" s="10" customFormat="1" ht="5.25" customHeight="1">
      <c r="A41" s="2"/>
      <c r="B41" s="2"/>
      <c r="C41" s="2"/>
      <c r="D41" s="55"/>
      <c r="E41" s="58"/>
      <c r="F41" s="63"/>
      <c r="G41" s="56"/>
      <c r="H41" s="63"/>
      <c r="I41" s="63"/>
      <c r="J41" s="63"/>
      <c r="K41" s="273"/>
      <c r="L41" s="200"/>
      <c r="M41" s="273"/>
      <c r="N41" s="65"/>
      <c r="O41" s="191"/>
      <c r="P41" s="195"/>
      <c r="Q41" s="30"/>
      <c r="R41" s="273"/>
      <c r="S41" s="65"/>
      <c r="T41" s="191"/>
      <c r="U41" s="195"/>
      <c r="V41" s="30"/>
      <c r="W41" s="273"/>
      <c r="X41" s="65"/>
      <c r="Y41" s="191"/>
      <c r="Z41" s="195"/>
      <c r="AA41" s="30"/>
      <c r="AB41" s="273"/>
      <c r="AC41" s="65"/>
      <c r="AD41" s="191"/>
      <c r="AE41" s="195"/>
      <c r="AF41" s="30"/>
      <c r="AG41" s="273"/>
      <c r="AH41" s="65"/>
      <c r="AI41" s="191"/>
      <c r="AJ41" s="195"/>
      <c r="AK41" s="30"/>
      <c r="AL41" s="273"/>
      <c r="AM41" s="65"/>
      <c r="AN41" s="191"/>
      <c r="AO41" s="195"/>
      <c r="AP41" s="30"/>
    </row>
    <row r="42" spans="1:42">
      <c r="A42" s="10"/>
      <c r="B42" s="72" t="str">
        <f>Ergebnisse!BB11</f>
        <v>Vorrunde</v>
      </c>
      <c r="C42" s="73" t="str">
        <f>Ergebnisse!BC11</f>
        <v>Gruppe E</v>
      </c>
      <c r="D42" s="53"/>
      <c r="E42" s="54"/>
      <c r="F42" s="73" t="str">
        <f ca="1">Ergebnisse!BM17</f>
        <v>Ecuador</v>
      </c>
      <c r="G42" s="53">
        <f>Ergebnisse!BG11</f>
        <v>0</v>
      </c>
      <c r="L42" s="30"/>
      <c r="M42" s="73" t="str">
        <f>Bernd!$BM17</f>
        <v>Deutschland</v>
      </c>
      <c r="N42" s="73"/>
      <c r="O42" s="191">
        <f ca="1">IF(Bernd!$CY11="","",Bernd!$CX11)</f>
        <v>0</v>
      </c>
      <c r="P42" s="195"/>
      <c r="Q42" s="190"/>
      <c r="R42" s="73" t="str">
        <f>Mitspieler!$BM17</f>
        <v>Deutschland</v>
      </c>
      <c r="S42" s="73"/>
      <c r="T42" s="191">
        <f ca="1">IF(Mitspieler!$CY11="","",Mitspieler!$CX11)</f>
        <v>0</v>
      </c>
      <c r="U42" s="195"/>
      <c r="V42" s="190"/>
      <c r="W42" s="73" t="str">
        <f ca="1">Random!$BM17</f>
        <v>Ecuador</v>
      </c>
      <c r="X42" s="73"/>
      <c r="Y42" s="191">
        <f ca="1">IF(Random!$CY11="","",Random!$CX11)</f>
        <v>2</v>
      </c>
      <c r="Z42" s="195"/>
      <c r="AA42" s="190"/>
      <c r="AB42" s="73" t="str">
        <f>Rangliste!$BM17</f>
        <v>Deutschland</v>
      </c>
      <c r="AC42" s="73"/>
      <c r="AD42" s="191">
        <f ca="1">IF(Rangliste!$CY11="","",Rangliste!$CX11)</f>
        <v>0</v>
      </c>
      <c r="AE42" s="195"/>
      <c r="AF42" s="190"/>
      <c r="AG42" s="73" t="str">
        <f ca="1">Fest!$BM17</f>
        <v>Ecuador</v>
      </c>
      <c r="AH42" s="73"/>
      <c r="AI42" s="191">
        <f ca="1">IF(Fest!$CY11="","",Fest!$CX11)</f>
        <v>2</v>
      </c>
      <c r="AJ42" s="195"/>
      <c r="AK42" s="190"/>
      <c r="AL42" s="73" t="str">
        <f ca="1">Nobody!$BM17</f>
        <v>Ecuador</v>
      </c>
      <c r="AM42" s="73"/>
      <c r="AN42" s="191">
        <f ca="1">IF(Nobody!$CY11="","",Nobody!$CX11)</f>
        <v>2</v>
      </c>
      <c r="AO42" s="195"/>
      <c r="AP42" s="190"/>
    </row>
    <row r="43" spans="1:42">
      <c r="B43" s="3" t="str">
        <f>Ergebnisse!BB12</f>
        <v>Datum/Zeit</v>
      </c>
      <c r="C43" s="3" t="str">
        <f>Ergebnisse!BC12</f>
        <v>Spielort</v>
      </c>
      <c r="D43" s="55"/>
      <c r="E43" s="55"/>
      <c r="F43" s="73" t="str">
        <f ca="1">Ergebnisse!BM18</f>
        <v>Elfenbeinküste</v>
      </c>
      <c r="G43" s="55">
        <f>Ergebnisse!BG12</f>
        <v>0</v>
      </c>
      <c r="L43" s="30"/>
      <c r="M43" s="73" t="str">
        <f>Bernd!$BM18</f>
        <v>Ecuador</v>
      </c>
      <c r="N43" s="73"/>
      <c r="O43" s="191">
        <f ca="1">IF(Bernd!$CY12="","",Bernd!$CX12)</f>
        <v>2</v>
      </c>
      <c r="P43" s="195"/>
      <c r="Q43" s="192"/>
      <c r="R43" s="73" t="str">
        <f>Mitspieler!$BM18</f>
        <v>Elfenbeinküste</v>
      </c>
      <c r="S43" s="73"/>
      <c r="T43" s="191">
        <f ca="1">IF(Mitspieler!$CY12="","",Mitspieler!$CX12)</f>
        <v>2</v>
      </c>
      <c r="U43" s="195"/>
      <c r="V43" s="192"/>
      <c r="W43" s="73" t="str">
        <f ca="1">Random!$BM18</f>
        <v>Curaçao</v>
      </c>
      <c r="X43" s="73"/>
      <c r="Y43" s="191">
        <f ca="1">IF(Random!$CY12="","",Random!$CX12)</f>
        <v>2</v>
      </c>
      <c r="Z43" s="195"/>
      <c r="AA43" s="192"/>
      <c r="AB43" s="73" t="str">
        <f>Rangliste!$BM18</f>
        <v>Ecuador</v>
      </c>
      <c r="AC43" s="73"/>
      <c r="AD43" s="191">
        <f ca="1">IF(Rangliste!$CY12="","",Rangliste!$CX12)</f>
        <v>2</v>
      </c>
      <c r="AE43" s="195"/>
      <c r="AF43" s="192"/>
      <c r="AG43" s="73" t="str">
        <f ca="1">Fest!$BM18</f>
        <v>Deutschland</v>
      </c>
      <c r="AH43" s="73"/>
      <c r="AI43" s="191">
        <f ca="1">IF(Fest!$CY12="","",Fest!$CX12)</f>
        <v>0</v>
      </c>
      <c r="AJ43" s="195"/>
      <c r="AK43" s="192"/>
      <c r="AL43" s="73" t="str">
        <f ca="1">Nobody!$BM18</f>
        <v>Elfenbeinküste</v>
      </c>
      <c r="AM43" s="73"/>
      <c r="AN43" s="191">
        <f ca="1">IF(Nobody!$CY12="","",Nobody!$CX12)</f>
        <v>2</v>
      </c>
      <c r="AO43" s="195"/>
      <c r="AP43" s="192"/>
    </row>
    <row r="44" spans="1:42">
      <c r="A44" s="2">
        <f>Ergebnisse!BA13</f>
        <v>10</v>
      </c>
      <c r="B44" s="6">
        <f>Ergebnisse!BB13</f>
        <v>46187.5</v>
      </c>
      <c r="C44" s="4" t="str">
        <f>Ergebnisse!BC13</f>
        <v>Houston</v>
      </c>
      <c r="D44" s="56" t="str">
        <f>Ergebnisse!BD13</f>
        <v>Deutschland</v>
      </c>
      <c r="E44" s="40" t="str">
        <f>Ergebnisse!BE13</f>
        <v>-</v>
      </c>
      <c r="F44" s="56" t="str">
        <f>Ergebnisse!BF13</f>
        <v>Curaçao</v>
      </c>
      <c r="G44" s="53">
        <f>Ergebnisse!BG13</f>
        <v>0</v>
      </c>
      <c r="H44" s="57">
        <f ca="1">IF($K44="","",Ergebnisse!BH13)</f>
        <v>2</v>
      </c>
      <c r="I44" s="80" t="str">
        <f>Ergebnisse!BI13</f>
        <v>:</v>
      </c>
      <c r="J44" s="57">
        <f ca="1">IF($K44="","",Ergebnisse!BJ13)</f>
        <v>6</v>
      </c>
      <c r="K44" s="81" t="str">
        <f ca="1">IF(Ergebnisse!BK13="","",Ergebnisse!BK13)</f>
        <v>ok</v>
      </c>
      <c r="L44" s="192"/>
      <c r="M44" s="79">
        <f ca="1">IF($K44="","",Bernd!$BH13)</f>
        <v>4</v>
      </c>
      <c r="N44" s="79">
        <f ca="1">IF($K44="","",Bernd!$BJ13)</f>
        <v>0</v>
      </c>
      <c r="O44" s="191">
        <f ca="1">IF(Bernd!$CY13="","",Bernd!$CX13)</f>
        <v>0</v>
      </c>
      <c r="P44" s="195"/>
      <c r="Q44" s="192"/>
      <c r="R44" s="79">
        <f ca="1">IF($K44="","",Mitspieler!$BH13)</f>
        <v>5</v>
      </c>
      <c r="S44" s="79">
        <f ca="1">IF($K44="","",Mitspieler!$BJ13)</f>
        <v>2</v>
      </c>
      <c r="T44" s="191">
        <f ca="1">IF(Mitspieler!$CY13="","",Mitspieler!$CX13)</f>
        <v>0</v>
      </c>
      <c r="U44" s="195"/>
      <c r="V44" s="192"/>
      <c r="W44" s="79">
        <f ca="1">IF($K44="","",Random!$BH13)</f>
        <v>1</v>
      </c>
      <c r="X44" s="79">
        <f ca="1">IF($K44="","",Random!$BJ13)</f>
        <v>3</v>
      </c>
      <c r="Y44" s="191">
        <f ca="1">IF(Random!$CY13="","",Random!$CX13)</f>
        <v>2</v>
      </c>
      <c r="Z44" s="195"/>
      <c r="AA44" s="192"/>
      <c r="AB44" s="79">
        <f ca="1">IF($K44="","",Rangliste!$BH13)</f>
        <v>4</v>
      </c>
      <c r="AC44" s="79">
        <f ca="1">IF($K44="","",Rangliste!$BJ13)</f>
        <v>2</v>
      </c>
      <c r="AD44" s="191">
        <f ca="1">IF(Rangliste!$CY13="","",Rangliste!$CX13)</f>
        <v>0</v>
      </c>
      <c r="AE44" s="195"/>
      <c r="AF44" s="192"/>
      <c r="AG44" s="79">
        <f ca="1">IF($K44="","",Fest!$BH13)</f>
        <v>2</v>
      </c>
      <c r="AH44" s="79">
        <f ca="1">IF($K44="","",Fest!$BJ13)</f>
        <v>1</v>
      </c>
      <c r="AI44" s="191">
        <f ca="1">IF(Fest!$CY13="","",Fest!$CX13)</f>
        <v>1</v>
      </c>
      <c r="AJ44" s="195"/>
      <c r="AK44" s="192"/>
      <c r="AL44" s="79">
        <f ca="1">IF($K44="","",Nobody!$BH13)</f>
        <v>2</v>
      </c>
      <c r="AM44" s="79">
        <f ca="1">IF($K44="","",Nobody!$BJ13)</f>
        <v>6</v>
      </c>
      <c r="AN44" s="191">
        <f ca="1">IF(Nobody!$CY13="","",Nobody!$CX13)</f>
        <v>7</v>
      </c>
      <c r="AO44" s="195"/>
      <c r="AP44" s="192"/>
    </row>
    <row r="45" spans="1:42">
      <c r="A45" s="2">
        <f>Ergebnisse!BA14</f>
        <v>9</v>
      </c>
      <c r="B45" s="6">
        <f>Ergebnisse!BB14</f>
        <v>46187.791666666664</v>
      </c>
      <c r="C45" s="4" t="str">
        <f>Ergebnisse!BC14</f>
        <v>Philadelphia</v>
      </c>
      <c r="D45" s="56" t="str">
        <f>Ergebnisse!BD14</f>
        <v>Elfenbeinküste</v>
      </c>
      <c r="E45" s="40" t="str">
        <f>Ergebnisse!BE14</f>
        <v>-</v>
      </c>
      <c r="F45" s="56" t="str">
        <f>Ergebnisse!BF14</f>
        <v>Ecuador</v>
      </c>
      <c r="G45" s="53">
        <f>Ergebnisse!BG14</f>
        <v>0</v>
      </c>
      <c r="H45" s="57">
        <f ca="1">IF($K45="","",Ergebnisse!BH14)</f>
        <v>1</v>
      </c>
      <c r="I45" s="80" t="str">
        <f>Ergebnisse!BI14</f>
        <v>:</v>
      </c>
      <c r="J45" s="57">
        <f ca="1">IF($K45="","",Ergebnisse!BJ14)</f>
        <v>3</v>
      </c>
      <c r="K45" s="81" t="str">
        <f ca="1">IF(Ergebnisse!BK14="","",Ergebnisse!BK14)</f>
        <v>ok</v>
      </c>
      <c r="L45" s="192"/>
      <c r="M45" s="79">
        <f ca="1">IF($K45="","",Bernd!$BH14)</f>
        <v>1</v>
      </c>
      <c r="N45" s="79">
        <f ca="1">IF($K45="","",Bernd!$BJ14)</f>
        <v>2</v>
      </c>
      <c r="O45" s="191">
        <f ca="1">IF(Bernd!$CY14="","",Bernd!$CX14)</f>
        <v>3</v>
      </c>
      <c r="P45" s="195"/>
      <c r="Q45" s="192"/>
      <c r="R45" s="79">
        <f ca="1">IF($K45="","",Mitspieler!$BH14)</f>
        <v>1</v>
      </c>
      <c r="S45" s="79">
        <f ca="1">IF($K45="","",Mitspieler!$BJ14)</f>
        <v>1</v>
      </c>
      <c r="T45" s="191">
        <f ca="1">IF(Mitspieler!$CY14="","",Mitspieler!$CX14)</f>
        <v>1</v>
      </c>
      <c r="U45" s="195"/>
      <c r="V45" s="192"/>
      <c r="W45" s="79">
        <f ca="1">IF($K45="","",Random!$BH14)</f>
        <v>2</v>
      </c>
      <c r="X45" s="79">
        <f ca="1">IF($K45="","",Random!$BJ14)</f>
        <v>0</v>
      </c>
      <c r="Y45" s="191">
        <f ca="1">IF(Random!$CY14="","",Random!$CX14)</f>
        <v>0</v>
      </c>
      <c r="Z45" s="195"/>
      <c r="AA45" s="192"/>
      <c r="AB45" s="79">
        <f ca="1">IF($K45="","",Rangliste!$BH14)</f>
        <v>1</v>
      </c>
      <c r="AC45" s="79">
        <f ca="1">IF($K45="","",Rangliste!$BJ14)</f>
        <v>2</v>
      </c>
      <c r="AD45" s="191">
        <f ca="1">IF(Rangliste!$CY14="","",Rangliste!$CX14)</f>
        <v>3</v>
      </c>
      <c r="AE45" s="195"/>
      <c r="AF45" s="192"/>
      <c r="AG45" s="79">
        <f ca="1">IF($K45="","",Fest!$BH14)</f>
        <v>2</v>
      </c>
      <c r="AH45" s="79">
        <f ca="1">IF($K45="","",Fest!$BJ14)</f>
        <v>1</v>
      </c>
      <c r="AI45" s="191">
        <f ca="1">IF(Fest!$CY14="","",Fest!$CX14)</f>
        <v>0</v>
      </c>
      <c r="AJ45" s="195"/>
      <c r="AK45" s="192"/>
      <c r="AL45" s="79">
        <f ca="1">IF($K45="","",Nobody!$BH14)</f>
        <v>1</v>
      </c>
      <c r="AM45" s="79">
        <f ca="1">IF($K45="","",Nobody!$BJ14)</f>
        <v>3</v>
      </c>
      <c r="AN45" s="191">
        <f ca="1">IF(Nobody!$CY14="","",Nobody!$CX14)</f>
        <v>7</v>
      </c>
      <c r="AO45" s="195"/>
      <c r="AP45" s="192"/>
    </row>
    <row r="46" spans="1:42">
      <c r="A46" s="2">
        <f>Ergebnisse!BA15</f>
        <v>33</v>
      </c>
      <c r="B46" s="6">
        <f>Ergebnisse!BB15</f>
        <v>46193.666666666664</v>
      </c>
      <c r="C46" s="4" t="str">
        <f>Ergebnisse!BC15</f>
        <v>Toronto</v>
      </c>
      <c r="D46" s="56" t="str">
        <f>Ergebnisse!BD15</f>
        <v>Deutschland</v>
      </c>
      <c r="E46" s="40" t="str">
        <f>Ergebnisse!BE15</f>
        <v>-</v>
      </c>
      <c r="F46" s="56" t="str">
        <f>Ergebnisse!BF15</f>
        <v>Elfenbeinküste</v>
      </c>
      <c r="G46" s="53">
        <f>Ergebnisse!BG15</f>
        <v>0</v>
      </c>
      <c r="H46" s="57">
        <f ca="1">IF($K46="","",Ergebnisse!BH15)</f>
        <v>2</v>
      </c>
      <c r="I46" s="80" t="str">
        <f>Ergebnisse!BI15</f>
        <v>:</v>
      </c>
      <c r="J46" s="57">
        <f ca="1">IF($K46="","",Ergebnisse!BJ15)</f>
        <v>3</v>
      </c>
      <c r="K46" s="81" t="str">
        <f ca="1">IF(Ergebnisse!BK15="","",Ergebnisse!BK15)</f>
        <v>ok</v>
      </c>
      <c r="L46" s="192"/>
      <c r="M46" s="79">
        <f ca="1">IF($K46="","",Bernd!$BH15)</f>
        <v>2</v>
      </c>
      <c r="N46" s="79">
        <f ca="1">IF($K46="","",Bernd!$BJ15)</f>
        <v>1</v>
      </c>
      <c r="O46" s="191">
        <f ca="1">IF(Bernd!$CY15="","",Bernd!$CX15)</f>
        <v>1</v>
      </c>
      <c r="P46" s="195"/>
      <c r="Q46" s="192"/>
      <c r="R46" s="79">
        <f ca="1">IF($K46="","",Mitspieler!$BH15)</f>
        <v>2</v>
      </c>
      <c r="S46" s="79">
        <f ca="1">IF($K46="","",Mitspieler!$BJ15)</f>
        <v>2</v>
      </c>
      <c r="T46" s="191">
        <f ca="1">IF(Mitspieler!$CY15="","",Mitspieler!$CX15)</f>
        <v>1</v>
      </c>
      <c r="U46" s="195"/>
      <c r="V46" s="192"/>
      <c r="W46" s="79">
        <f ca="1">IF($K46="","",Random!$BH15)</f>
        <v>5</v>
      </c>
      <c r="X46" s="79">
        <f ca="1">IF($K46="","",Random!$BJ15)</f>
        <v>5</v>
      </c>
      <c r="Y46" s="191">
        <f ca="1">IF(Random!$CY15="","",Random!$CX15)</f>
        <v>0</v>
      </c>
      <c r="Z46" s="195"/>
      <c r="AA46" s="192"/>
      <c r="AB46" s="79">
        <f ca="1">IF($K46="","",Rangliste!$BH15)</f>
        <v>3</v>
      </c>
      <c r="AC46" s="79">
        <f ca="1">IF($K46="","",Rangliste!$BJ15)</f>
        <v>2</v>
      </c>
      <c r="AD46" s="191">
        <f ca="1">IF(Rangliste!$CY15="","",Rangliste!$CX15)</f>
        <v>0</v>
      </c>
      <c r="AE46" s="195"/>
      <c r="AF46" s="192"/>
      <c r="AG46" s="79">
        <f ca="1">IF($K46="","",Fest!$BH15)</f>
        <v>2</v>
      </c>
      <c r="AH46" s="79">
        <f ca="1">IF($K46="","",Fest!$BJ15)</f>
        <v>1</v>
      </c>
      <c r="AI46" s="191">
        <f ca="1">IF(Fest!$CY15="","",Fest!$CX15)</f>
        <v>1</v>
      </c>
      <c r="AJ46" s="195"/>
      <c r="AK46" s="192"/>
      <c r="AL46" s="79">
        <f ca="1">IF($K46="","",Nobody!$BH15)</f>
        <v>2</v>
      </c>
      <c r="AM46" s="79">
        <f ca="1">IF($K46="","",Nobody!$BJ15)</f>
        <v>3</v>
      </c>
      <c r="AN46" s="191">
        <f ca="1">IF(Nobody!$CY15="","",Nobody!$CX15)</f>
        <v>7</v>
      </c>
      <c r="AO46" s="195"/>
      <c r="AP46" s="192"/>
    </row>
    <row r="47" spans="1:42">
      <c r="A47" s="2">
        <f>Ergebnisse!BA16</f>
        <v>34</v>
      </c>
      <c r="B47" s="6">
        <f>Ergebnisse!BB16</f>
        <v>46193.791666666672</v>
      </c>
      <c r="C47" s="4" t="str">
        <f>Ergebnisse!BC16</f>
        <v>Kansas City</v>
      </c>
      <c r="D47" s="56" t="str">
        <f>Ergebnisse!BD16</f>
        <v>Ecuador</v>
      </c>
      <c r="E47" s="40" t="str">
        <f>Ergebnisse!BE16</f>
        <v>-</v>
      </c>
      <c r="F47" s="56" t="str">
        <f>Ergebnisse!BF16</f>
        <v>Curaçao</v>
      </c>
      <c r="G47" s="55">
        <f>Ergebnisse!BG16</f>
        <v>0</v>
      </c>
      <c r="H47" s="57">
        <f ca="1">IF($K47="","",Ergebnisse!BH16)</f>
        <v>5</v>
      </c>
      <c r="I47" s="80" t="str">
        <f>Ergebnisse!BI16</f>
        <v>:</v>
      </c>
      <c r="J47" s="57">
        <f ca="1">IF($K47="","",Ergebnisse!BJ16)</f>
        <v>3</v>
      </c>
      <c r="K47" s="81" t="str">
        <f ca="1">IF(Ergebnisse!BK16="","",Ergebnisse!BK16)</f>
        <v>ok</v>
      </c>
      <c r="L47" s="192"/>
      <c r="M47" s="79">
        <f ca="1">IF($K47="","",Bernd!$BH16)</f>
        <v>3</v>
      </c>
      <c r="N47" s="79">
        <f ca="1">IF($K47="","",Bernd!$BJ16)</f>
        <v>0</v>
      </c>
      <c r="O47" s="191">
        <f ca="1">IF(Bernd!$CY16="","",Bernd!$CX16)</f>
        <v>2</v>
      </c>
      <c r="P47" s="195"/>
      <c r="Q47" s="192"/>
      <c r="R47" s="79">
        <f ca="1">IF($K47="","",Mitspieler!$BH16)</f>
        <v>3</v>
      </c>
      <c r="S47" s="79">
        <f ca="1">IF($K47="","",Mitspieler!$BJ16)</f>
        <v>0</v>
      </c>
      <c r="T47" s="191">
        <f ca="1">IF(Mitspieler!$CY16="","",Mitspieler!$CX16)</f>
        <v>2</v>
      </c>
      <c r="U47" s="195"/>
      <c r="V47" s="192"/>
      <c r="W47" s="79">
        <f ca="1">IF($K47="","",Random!$BH16)</f>
        <v>3</v>
      </c>
      <c r="X47" s="79">
        <f ca="1">IF($K47="","",Random!$BJ16)</f>
        <v>0</v>
      </c>
      <c r="Y47" s="191">
        <f ca="1">IF(Random!$CY16="","",Random!$CX16)</f>
        <v>2</v>
      </c>
      <c r="Z47" s="195"/>
      <c r="AA47" s="192"/>
      <c r="AB47" s="79">
        <f ca="1">IF($K47="","",Rangliste!$BH16)</f>
        <v>5</v>
      </c>
      <c r="AC47" s="79">
        <f ca="1">IF($K47="","",Rangliste!$BJ16)</f>
        <v>5</v>
      </c>
      <c r="AD47" s="191">
        <f ca="1">IF(Rangliste!$CY16="","",Rangliste!$CX16)</f>
        <v>1</v>
      </c>
      <c r="AE47" s="195"/>
      <c r="AF47" s="192"/>
      <c r="AG47" s="79">
        <f ca="1">IF($K47="","",Fest!$BH16)</f>
        <v>2</v>
      </c>
      <c r="AH47" s="79">
        <f ca="1">IF($K47="","",Fest!$BJ16)</f>
        <v>1</v>
      </c>
      <c r="AI47" s="191">
        <f ca="1">IF(Fest!$CY16="","",Fest!$CX16)</f>
        <v>2</v>
      </c>
      <c r="AJ47" s="195"/>
      <c r="AK47" s="192"/>
      <c r="AL47" s="79">
        <f ca="1">IF($K47="","",Nobody!$BH16)</f>
        <v>5</v>
      </c>
      <c r="AM47" s="79">
        <f ca="1">IF($K47="","",Nobody!$BJ16)</f>
        <v>3</v>
      </c>
      <c r="AN47" s="191">
        <f ca="1">IF(Nobody!$CY16="","",Nobody!$CX16)</f>
        <v>7</v>
      </c>
      <c r="AO47" s="195"/>
      <c r="AP47" s="192"/>
    </row>
    <row r="48" spans="1:42">
      <c r="A48" s="2">
        <f>Ergebnisse!BA17</f>
        <v>57</v>
      </c>
      <c r="B48" s="6">
        <f>Ergebnisse!BB17</f>
        <v>46198.75</v>
      </c>
      <c r="C48" s="4" t="str">
        <f>Ergebnisse!BC17</f>
        <v>Dallas</v>
      </c>
      <c r="D48" s="56" t="str">
        <f>Ergebnisse!BD17</f>
        <v>Ecuador</v>
      </c>
      <c r="E48" s="40" t="str">
        <f>Ergebnisse!BE17</f>
        <v>-</v>
      </c>
      <c r="F48" s="56" t="str">
        <f>Ergebnisse!BF17</f>
        <v>Deutschland</v>
      </c>
      <c r="G48" s="53">
        <f>Ergebnisse!BG17</f>
        <v>0</v>
      </c>
      <c r="H48" s="57">
        <f ca="1">IF($K48="","",Ergebnisse!BH17)</f>
        <v>4</v>
      </c>
      <c r="I48" s="80" t="str">
        <f>Ergebnisse!BI17</f>
        <v>:</v>
      </c>
      <c r="J48" s="57">
        <f ca="1">IF($K48="","",Ergebnisse!BJ17)</f>
        <v>3</v>
      </c>
      <c r="K48" s="81" t="str">
        <f ca="1">IF(Ergebnisse!BK17="","",Ergebnisse!BK17)</f>
        <v>ok</v>
      </c>
      <c r="L48" s="30"/>
      <c r="M48" s="79">
        <f ca="1">IF($K48="","",Bernd!$BH17)</f>
        <v>1</v>
      </c>
      <c r="N48" s="79">
        <f ca="1">IF($K48="","",Bernd!$BJ17)</f>
        <v>2</v>
      </c>
      <c r="O48" s="191">
        <f ca="1">IF(Bernd!$CY17="","",Bernd!$CX17)</f>
        <v>0</v>
      </c>
      <c r="P48" s="195"/>
      <c r="Q48" s="30"/>
      <c r="R48" s="79">
        <f ca="1">IF($K48="","",Mitspieler!$BH17)</f>
        <v>1</v>
      </c>
      <c r="S48" s="79">
        <f ca="1">IF($K48="","",Mitspieler!$BJ17)</f>
        <v>2</v>
      </c>
      <c r="T48" s="191">
        <f ca="1">IF(Mitspieler!$CY17="","",Mitspieler!$CX17)</f>
        <v>0</v>
      </c>
      <c r="U48" s="195"/>
      <c r="V48" s="30"/>
      <c r="W48" s="79">
        <f ca="1">IF($K48="","",Random!$BH17)</f>
        <v>3</v>
      </c>
      <c r="X48" s="79">
        <f ca="1">IF($K48="","",Random!$BJ17)</f>
        <v>1</v>
      </c>
      <c r="Y48" s="191">
        <f ca="1">IF(Random!$CY17="","",Random!$CX17)</f>
        <v>2</v>
      </c>
      <c r="Z48" s="195"/>
      <c r="AA48" s="30"/>
      <c r="AB48" s="79">
        <f ca="1">IF($K48="","",Rangliste!$BH17)</f>
        <v>2</v>
      </c>
      <c r="AC48" s="79">
        <f ca="1">IF($K48="","",Rangliste!$BJ17)</f>
        <v>3</v>
      </c>
      <c r="AD48" s="191">
        <f ca="1">IF(Rangliste!$CY17="","",Rangliste!$CX17)</f>
        <v>1</v>
      </c>
      <c r="AE48" s="195"/>
      <c r="AF48" s="30"/>
      <c r="AG48" s="79">
        <f ca="1">IF($K48="","",Fest!$BH17)</f>
        <v>2</v>
      </c>
      <c r="AH48" s="79">
        <f ca="1">IF($K48="","",Fest!$BJ17)</f>
        <v>1</v>
      </c>
      <c r="AI48" s="191">
        <f ca="1">IF(Fest!$CY17="","",Fest!$CX17)</f>
        <v>4</v>
      </c>
      <c r="AJ48" s="195"/>
      <c r="AK48" s="30"/>
      <c r="AL48" s="79">
        <f ca="1">IF($K48="","",Nobody!$BH17)</f>
        <v>4</v>
      </c>
      <c r="AM48" s="79">
        <f ca="1">IF($K48="","",Nobody!$BJ17)</f>
        <v>3</v>
      </c>
      <c r="AN48" s="191">
        <f ca="1">IF(Nobody!$CY17="","",Nobody!$CX17)</f>
        <v>7</v>
      </c>
      <c r="AO48" s="195"/>
      <c r="AP48" s="30"/>
    </row>
    <row r="49" spans="1:42">
      <c r="A49" s="2">
        <f>Ergebnisse!BA18</f>
        <v>58</v>
      </c>
      <c r="B49" s="6">
        <f>Ergebnisse!BB18</f>
        <v>46198.75</v>
      </c>
      <c r="C49" s="4" t="str">
        <f>Ergebnisse!BC18</f>
        <v>Kansas City</v>
      </c>
      <c r="D49" s="56" t="str">
        <f>Ergebnisse!BD18</f>
        <v>Curaçao</v>
      </c>
      <c r="E49" s="40" t="str">
        <f>Ergebnisse!BE18</f>
        <v>-</v>
      </c>
      <c r="F49" s="56" t="str">
        <f>Ergebnisse!BF18</f>
        <v>Elfenbeinküste</v>
      </c>
      <c r="G49" s="55">
        <f>Ergebnisse!BG18</f>
        <v>0</v>
      </c>
      <c r="H49" s="57">
        <f ca="1">IF($K49="","",Ergebnisse!BH18)</f>
        <v>2</v>
      </c>
      <c r="I49" s="80" t="str">
        <f>Ergebnisse!BI18</f>
        <v>:</v>
      </c>
      <c r="J49" s="57">
        <f ca="1">IF($K49="","",Ergebnisse!BJ18)</f>
        <v>3</v>
      </c>
      <c r="K49" s="81" t="str">
        <f ca="1">IF(Ergebnisse!BK18="","",Ergebnisse!BK18)</f>
        <v>ok</v>
      </c>
      <c r="L49" s="30"/>
      <c r="M49" s="79">
        <f ca="1">IF($K49="","",Bernd!$BH18)</f>
        <v>1</v>
      </c>
      <c r="N49" s="79">
        <f ca="1">IF($K49="","",Bernd!$BJ18)</f>
        <v>4</v>
      </c>
      <c r="O49" s="191">
        <f ca="1">IF(Bernd!$CY18="","",Bernd!$CX18)</f>
        <v>2</v>
      </c>
      <c r="P49" s="195"/>
      <c r="Q49" s="30"/>
      <c r="R49" s="79">
        <f ca="1">IF($K49="","",Mitspieler!$BH18)</f>
        <v>1</v>
      </c>
      <c r="S49" s="79">
        <f ca="1">IF($K49="","",Mitspieler!$BJ18)</f>
        <v>4</v>
      </c>
      <c r="T49" s="191">
        <f ca="1">IF(Mitspieler!$CY18="","",Mitspieler!$CX18)</f>
        <v>2</v>
      </c>
      <c r="U49" s="195"/>
      <c r="V49" s="30"/>
      <c r="W49" s="79">
        <f ca="1">IF($K49="","",Random!$BH18)</f>
        <v>3</v>
      </c>
      <c r="X49" s="79">
        <f ca="1">IF($K49="","",Random!$BJ18)</f>
        <v>2</v>
      </c>
      <c r="Y49" s="191">
        <f ca="1">IF(Random!$CY18="","",Random!$CX18)</f>
        <v>0</v>
      </c>
      <c r="Z49" s="195"/>
      <c r="AA49" s="30"/>
      <c r="AB49" s="79">
        <f ca="1">IF($K49="","",Rangliste!$BH18)</f>
        <v>4</v>
      </c>
      <c r="AC49" s="79">
        <f ca="1">IF($K49="","",Rangliste!$BJ18)</f>
        <v>4</v>
      </c>
      <c r="AD49" s="191">
        <f ca="1">IF(Rangliste!$CY18="","",Rangliste!$CX18)</f>
        <v>0</v>
      </c>
      <c r="AE49" s="195"/>
      <c r="AF49" s="30"/>
      <c r="AG49" s="79">
        <f ca="1">IF($K49="","",Fest!$BH18)</f>
        <v>2</v>
      </c>
      <c r="AH49" s="79">
        <f ca="1">IF($K49="","",Fest!$BJ18)</f>
        <v>1</v>
      </c>
      <c r="AI49" s="191">
        <f ca="1">IF(Fest!$CY18="","",Fest!$CX18)</f>
        <v>1</v>
      </c>
      <c r="AJ49" s="195"/>
      <c r="AK49" s="30"/>
      <c r="AL49" s="79">
        <f ca="1">IF($K49="","",Nobody!$BH18)</f>
        <v>2</v>
      </c>
      <c r="AM49" s="79">
        <f ca="1">IF($K49="","",Nobody!$BJ18)</f>
        <v>3</v>
      </c>
      <c r="AN49" s="191">
        <f ca="1">IF(Nobody!$CY18="","",Nobody!$CX18)</f>
        <v>7</v>
      </c>
      <c r="AO49" s="195"/>
      <c r="AP49" s="30"/>
    </row>
    <row r="50" spans="1:42" s="55" customFormat="1">
      <c r="F50" s="73" t="str">
        <f ca="1">Ergebnisse!BM19</f>
        <v>Curaçao</v>
      </c>
      <c r="H50" s="58"/>
      <c r="I50" s="58"/>
      <c r="J50" s="58"/>
      <c r="K50" s="196"/>
      <c r="L50" s="197"/>
      <c r="M50" s="73" t="str">
        <f>Bernd!$BM19</f>
        <v>Elfenbeinküste</v>
      </c>
      <c r="N50" s="73"/>
      <c r="O50" s="191">
        <f ca="1">IF(Bernd!$CY19="","",Bernd!$CX19)</f>
        <v>2</v>
      </c>
      <c r="P50" s="198"/>
      <c r="Q50" s="197"/>
      <c r="R50" s="73" t="str">
        <f>Mitspieler!$BM19</f>
        <v>Ecuador</v>
      </c>
      <c r="S50" s="73"/>
      <c r="T50" s="191">
        <f ca="1">IF(Mitspieler!$CY19="","",Mitspieler!$CX19)</f>
        <v>2</v>
      </c>
      <c r="U50" s="198"/>
      <c r="V50" s="197"/>
      <c r="W50" s="73" t="str">
        <f ca="1">Random!$BM19</f>
        <v>Elfenbeinküste</v>
      </c>
      <c r="X50" s="73"/>
      <c r="Y50" s="191">
        <f ca="1">IF(Random!$CY19="","",Random!$CX19)</f>
        <v>2</v>
      </c>
      <c r="Z50" s="198"/>
      <c r="AA50" s="197"/>
      <c r="AB50" s="73" t="str">
        <f>Rangliste!$BM19</f>
        <v>Curaçao</v>
      </c>
      <c r="AC50" s="73"/>
      <c r="AD50" s="191">
        <f ca="1">IF(Rangliste!$CY19="","",Rangliste!$CX19)</f>
        <v>2</v>
      </c>
      <c r="AE50" s="198"/>
      <c r="AF50" s="197"/>
      <c r="AG50" s="73" t="str">
        <f ca="1">Fest!$BM19</f>
        <v>Curaçao</v>
      </c>
      <c r="AH50" s="73"/>
      <c r="AI50" s="191">
        <f ca="1">IF(Fest!$CY19="","",Fest!$CX19)</f>
        <v>2</v>
      </c>
      <c r="AJ50" s="198"/>
      <c r="AK50" s="197"/>
      <c r="AL50" s="73" t="str">
        <f ca="1">Nobody!$BM19</f>
        <v>Curaçao</v>
      </c>
      <c r="AM50" s="73"/>
      <c r="AN50" s="191">
        <f ca="1">IF(Nobody!$CY19="","",Nobody!$CX19)</f>
        <v>2</v>
      </c>
      <c r="AO50" s="198"/>
      <c r="AP50" s="197"/>
    </row>
    <row r="51" spans="1:42" ht="6.75" customHeight="1">
      <c r="D51" s="55"/>
      <c r="E51" s="58"/>
      <c r="F51" s="59"/>
      <c r="G51" s="59"/>
      <c r="H51" s="55"/>
      <c r="I51" s="55"/>
      <c r="J51" s="55"/>
      <c r="L51" s="30"/>
      <c r="M51" s="65"/>
      <c r="N51" s="65"/>
      <c r="O51" s="191"/>
      <c r="P51" s="195"/>
      <c r="Q51" s="30"/>
      <c r="R51" s="65"/>
      <c r="S51" s="65"/>
      <c r="T51" s="191"/>
      <c r="U51" s="195"/>
      <c r="V51" s="30"/>
      <c r="W51" s="65"/>
      <c r="X51" s="65"/>
      <c r="Y51" s="191"/>
      <c r="Z51" s="195"/>
      <c r="AA51" s="30"/>
      <c r="AB51" s="65"/>
      <c r="AC51" s="65"/>
      <c r="AD51" s="191"/>
      <c r="AE51" s="195"/>
      <c r="AF51" s="30"/>
      <c r="AG51" s="65"/>
      <c r="AH51" s="65"/>
      <c r="AI51" s="191"/>
      <c r="AJ51" s="195"/>
      <c r="AK51" s="30"/>
      <c r="AL51" s="65"/>
      <c r="AM51" s="65"/>
      <c r="AN51" s="191"/>
      <c r="AO51" s="195"/>
      <c r="AP51" s="30"/>
    </row>
    <row r="52" spans="1:42">
      <c r="A52" s="10"/>
      <c r="B52" s="221" t="str">
        <f>Ergebnisse!BB21</f>
        <v>Vorrunde</v>
      </c>
      <c r="C52" s="221" t="str">
        <f>Ergebnisse!BC21</f>
        <v>Gruppe F</v>
      </c>
      <c r="D52" s="53"/>
      <c r="E52" s="54"/>
      <c r="F52" s="222" t="str">
        <f ca="1">Ergebnisse!BM27</f>
        <v>Niederlande</v>
      </c>
      <c r="G52" s="56">
        <f>Ergebnisse!BG21</f>
        <v>0</v>
      </c>
      <c r="H52" s="40"/>
      <c r="I52" s="40"/>
      <c r="J52" s="40"/>
      <c r="K52" s="273"/>
      <c r="L52" s="200"/>
      <c r="M52" s="222" t="str">
        <f>Bernd!$BM27</f>
        <v>Japan</v>
      </c>
      <c r="N52" s="221"/>
      <c r="O52" s="191">
        <f ca="1">IF(Bernd!$CY21="","",Bernd!$CX21)</f>
        <v>0</v>
      </c>
      <c r="P52" s="195"/>
      <c r="Q52" s="190"/>
      <c r="R52" s="222" t="str">
        <f>Mitspieler!$BM27</f>
        <v>Niederlande</v>
      </c>
      <c r="S52" s="221"/>
      <c r="T52" s="191">
        <f ca="1">IF(Mitspieler!$CY21="","",Mitspieler!$CX21)</f>
        <v>2</v>
      </c>
      <c r="U52" s="195"/>
      <c r="V52" s="190"/>
      <c r="W52" s="222" t="str">
        <f ca="1">Random!$BM27</f>
        <v>Tunesien</v>
      </c>
      <c r="X52" s="221"/>
      <c r="Y52" s="191">
        <f ca="1">IF(Random!$CY21="","",Random!$CX21)</f>
        <v>2</v>
      </c>
      <c r="Z52" s="195"/>
      <c r="AA52" s="190"/>
      <c r="AB52" s="222" t="str">
        <f>Rangliste!$BM27</f>
        <v>Niederlande</v>
      </c>
      <c r="AC52" s="221"/>
      <c r="AD52" s="191">
        <f ca="1">IF(Rangliste!$CY21="","",Rangliste!$CX21)</f>
        <v>2</v>
      </c>
      <c r="AE52" s="195"/>
      <c r="AF52" s="190"/>
      <c r="AG52" s="222" t="str">
        <f ca="1">Fest!$BM27</f>
        <v>Tunesien</v>
      </c>
      <c r="AH52" s="221"/>
      <c r="AI52" s="191">
        <f ca="1">IF(Fest!$CY21="","",Fest!$CX21)</f>
        <v>2</v>
      </c>
      <c r="AJ52" s="195"/>
      <c r="AK52" s="190"/>
      <c r="AL52" s="222" t="str">
        <f ca="1">Nobody!$BM27</f>
        <v>Niederlande</v>
      </c>
      <c r="AM52" s="221"/>
      <c r="AN52" s="191">
        <f ca="1">IF(Nobody!$CY21="","",Nobody!$CX21)</f>
        <v>2</v>
      </c>
      <c r="AO52" s="195"/>
      <c r="AP52" s="190"/>
    </row>
    <row r="53" spans="1:42">
      <c r="B53" s="3" t="str">
        <f>Ergebnisse!BB22</f>
        <v>Datum/Zeit</v>
      </c>
      <c r="C53" s="3" t="str">
        <f>Ergebnisse!BC22</f>
        <v>Spielort</v>
      </c>
      <c r="D53" s="55"/>
      <c r="E53" s="55"/>
      <c r="F53" s="222" t="str">
        <f ca="1">Ergebnisse!BM28</f>
        <v>Schweden</v>
      </c>
      <c r="G53" s="63">
        <f>Ergebnisse!BG22</f>
        <v>0</v>
      </c>
      <c r="H53" s="40"/>
      <c r="I53" s="40"/>
      <c r="J53" s="40"/>
      <c r="K53" s="273"/>
      <c r="L53" s="200"/>
      <c r="M53" s="222" t="str">
        <f>Bernd!$BM28</f>
        <v>Niederlande</v>
      </c>
      <c r="N53" s="221"/>
      <c r="O53" s="191">
        <f ca="1">IF(Bernd!$CY22="","",Bernd!$CX22)</f>
        <v>2</v>
      </c>
      <c r="P53" s="195"/>
      <c r="Q53" s="192"/>
      <c r="R53" s="222" t="str">
        <f>Mitspieler!$BM28</f>
        <v>Japan</v>
      </c>
      <c r="S53" s="221"/>
      <c r="T53" s="191">
        <f ca="1">IF(Mitspieler!$CY22="","",Mitspieler!$CX22)</f>
        <v>0</v>
      </c>
      <c r="U53" s="195"/>
      <c r="V53" s="192"/>
      <c r="W53" s="222" t="str">
        <f ca="1">Random!$BM28</f>
        <v>Niederlande</v>
      </c>
      <c r="X53" s="221"/>
      <c r="Y53" s="191">
        <f ca="1">IF(Random!$CY22="","",Random!$CX22)</f>
        <v>2</v>
      </c>
      <c r="Z53" s="195"/>
      <c r="AA53" s="192"/>
      <c r="AB53" s="222" t="str">
        <f>Rangliste!$BM28</f>
        <v>Japan</v>
      </c>
      <c r="AC53" s="221"/>
      <c r="AD53" s="191">
        <f ca="1">IF(Rangliste!$CY22="","",Rangliste!$CX22)</f>
        <v>0</v>
      </c>
      <c r="AE53" s="195"/>
      <c r="AF53" s="192"/>
      <c r="AG53" s="222" t="str">
        <f ca="1">Fest!$BM28</f>
        <v>Niederlande</v>
      </c>
      <c r="AH53" s="221"/>
      <c r="AI53" s="191">
        <f ca="1">IF(Fest!$CY22="","",Fest!$CX22)</f>
        <v>2</v>
      </c>
      <c r="AJ53" s="195"/>
      <c r="AK53" s="192"/>
      <c r="AL53" s="222" t="str">
        <f ca="1">Nobody!$BM28</f>
        <v>Schweden</v>
      </c>
      <c r="AM53" s="221"/>
      <c r="AN53" s="191">
        <f ca="1">IF(Nobody!$CY22="","",Nobody!$CX22)</f>
        <v>2</v>
      </c>
      <c r="AO53" s="195"/>
      <c r="AP53" s="192"/>
    </row>
    <row r="54" spans="1:42">
      <c r="A54" s="2">
        <f>Ergebnisse!BA23</f>
        <v>11</v>
      </c>
      <c r="B54" s="6">
        <f>Ergebnisse!BB23</f>
        <v>46187.625</v>
      </c>
      <c r="C54" s="4" t="str">
        <f>Ergebnisse!BC23</f>
        <v>Dallas</v>
      </c>
      <c r="D54" s="56" t="str">
        <f>Ergebnisse!BD23</f>
        <v>Niederlande</v>
      </c>
      <c r="E54" s="40" t="str">
        <f>Ergebnisse!BE23</f>
        <v>-</v>
      </c>
      <c r="F54" s="56" t="str">
        <f>Ergebnisse!BF23</f>
        <v>Japan</v>
      </c>
      <c r="G54" s="53">
        <f>Ergebnisse!BG23</f>
        <v>0</v>
      </c>
      <c r="H54" s="57">
        <f ca="1">IF($K54="","",Ergebnisse!BH23)</f>
        <v>4</v>
      </c>
      <c r="I54" s="80" t="str">
        <f>Ergebnisse!BI23</f>
        <v>:</v>
      </c>
      <c r="J54" s="57">
        <f ca="1">IF($K54="","",Ergebnisse!BJ23)</f>
        <v>2</v>
      </c>
      <c r="K54" s="81" t="str">
        <f ca="1">IF(Ergebnisse!BK23="","",Ergebnisse!BK23)</f>
        <v>ok</v>
      </c>
      <c r="L54" s="192"/>
      <c r="M54" s="79">
        <f ca="1">IF($K54="","",Bernd!$BH23)</f>
        <v>1</v>
      </c>
      <c r="N54" s="79">
        <f ca="1">IF($K54="","",Bernd!$BJ23)</f>
        <v>1</v>
      </c>
      <c r="O54" s="191">
        <f ca="1">IF(Bernd!$CY23="","",Bernd!$CX23)</f>
        <v>0</v>
      </c>
      <c r="P54" s="195"/>
      <c r="Q54" s="192"/>
      <c r="R54" s="79">
        <f ca="1">IF($K54="","",Mitspieler!$BH23)</f>
        <v>1</v>
      </c>
      <c r="S54" s="79">
        <f ca="1">IF($K54="","",Mitspieler!$BJ23)</f>
        <v>0</v>
      </c>
      <c r="T54" s="191">
        <f ca="1">IF(Mitspieler!$CY23="","",Mitspieler!$CX23)</f>
        <v>2</v>
      </c>
      <c r="U54" s="195"/>
      <c r="V54" s="192"/>
      <c r="W54" s="79">
        <f ca="1">IF($K54="","",Random!$BH23)</f>
        <v>4</v>
      </c>
      <c r="X54" s="79">
        <f ca="1">IF($K54="","",Random!$BJ23)</f>
        <v>3</v>
      </c>
      <c r="Y54" s="191">
        <f ca="1">IF(Random!$CY23="","",Random!$CX23)</f>
        <v>3</v>
      </c>
      <c r="Z54" s="195"/>
      <c r="AA54" s="192"/>
      <c r="AB54" s="79">
        <f ca="1">IF($K54="","",Rangliste!$BH23)</f>
        <v>2</v>
      </c>
      <c r="AC54" s="79">
        <f ca="1">IF($K54="","",Rangliste!$BJ23)</f>
        <v>2</v>
      </c>
      <c r="AD54" s="191">
        <f ca="1">IF(Rangliste!$CY23="","",Rangliste!$CX23)</f>
        <v>1</v>
      </c>
      <c r="AE54" s="195"/>
      <c r="AF54" s="192"/>
      <c r="AG54" s="79">
        <f ca="1">IF($K54="","",Fest!$BH23)</f>
        <v>2</v>
      </c>
      <c r="AH54" s="79">
        <f ca="1">IF($K54="","",Fest!$BJ23)</f>
        <v>1</v>
      </c>
      <c r="AI54" s="191">
        <f ca="1">IF(Fest!$CY23="","",Fest!$CX23)</f>
        <v>2</v>
      </c>
      <c r="AJ54" s="195"/>
      <c r="AK54" s="192"/>
      <c r="AL54" s="79">
        <f ca="1">IF($K54="","",Nobody!$BH23)</f>
        <v>4</v>
      </c>
      <c r="AM54" s="79">
        <f ca="1">IF($K54="","",Nobody!$BJ23)</f>
        <v>2</v>
      </c>
      <c r="AN54" s="191">
        <f ca="1">IF(Nobody!$CY23="","",Nobody!$CX23)</f>
        <v>7</v>
      </c>
      <c r="AO54" s="195"/>
      <c r="AP54" s="192"/>
    </row>
    <row r="55" spans="1:42">
      <c r="A55" s="2">
        <f>Ergebnisse!BA24</f>
        <v>12</v>
      </c>
      <c r="B55" s="6">
        <f>Ergebnisse!BB24</f>
        <v>46187.875</v>
      </c>
      <c r="C55" s="4" t="str">
        <f>Ergebnisse!BC24</f>
        <v>Monterrey</v>
      </c>
      <c r="D55" s="56" t="str">
        <f>Ergebnisse!BD24</f>
        <v>Schweden</v>
      </c>
      <c r="E55" s="40" t="str">
        <f>Ergebnisse!BE24</f>
        <v>-</v>
      </c>
      <c r="F55" s="56" t="str">
        <f>Ergebnisse!BF24</f>
        <v>Tunesien</v>
      </c>
      <c r="G55" s="53">
        <f>Ergebnisse!BG24</f>
        <v>0</v>
      </c>
      <c r="H55" s="57">
        <f ca="1">IF($K55="","",Ergebnisse!BH24)</f>
        <v>6</v>
      </c>
      <c r="I55" s="80" t="str">
        <f>Ergebnisse!BI24</f>
        <v>:</v>
      </c>
      <c r="J55" s="57">
        <f ca="1">IF($K55="","",Ergebnisse!BJ24)</f>
        <v>4</v>
      </c>
      <c r="K55" s="81" t="str">
        <f ca="1">IF(Ergebnisse!BK24="","",Ergebnisse!BK24)</f>
        <v>ok</v>
      </c>
      <c r="L55" s="192"/>
      <c r="M55" s="79">
        <f ca="1">IF($K55="","",Bernd!$BH24)</f>
        <v>2</v>
      </c>
      <c r="N55" s="79">
        <f ca="1">IF($K55="","",Bernd!$BJ24)</f>
        <v>1</v>
      </c>
      <c r="O55" s="191">
        <f ca="1">IF(Bernd!$CY24="","",Bernd!$CX24)</f>
        <v>2</v>
      </c>
      <c r="P55" s="195"/>
      <c r="Q55" s="192"/>
      <c r="R55" s="79">
        <f ca="1">IF($K55="","",Mitspieler!$BH24)</f>
        <v>0</v>
      </c>
      <c r="S55" s="79">
        <f ca="1">IF($K55="","",Mitspieler!$BJ24)</f>
        <v>1</v>
      </c>
      <c r="T55" s="191">
        <f ca="1">IF(Mitspieler!$CY24="","",Mitspieler!$CX24)</f>
        <v>0</v>
      </c>
      <c r="U55" s="195"/>
      <c r="V55" s="192"/>
      <c r="W55" s="79">
        <f ca="1">IF($K55="","",Random!$BH24)</f>
        <v>0</v>
      </c>
      <c r="X55" s="79">
        <f ca="1">IF($K55="","",Random!$BJ24)</f>
        <v>4</v>
      </c>
      <c r="Y55" s="191">
        <f ca="1">IF(Random!$CY24="","",Random!$CX24)</f>
        <v>1</v>
      </c>
      <c r="Z55" s="195"/>
      <c r="AA55" s="192"/>
      <c r="AB55" s="79">
        <f ca="1">IF($K55="","",Rangliste!$BH24)</f>
        <v>0</v>
      </c>
      <c r="AC55" s="79">
        <f ca="1">IF($K55="","",Rangliste!$BJ24)</f>
        <v>0</v>
      </c>
      <c r="AD55" s="191">
        <f ca="1">IF(Rangliste!$CY24="","",Rangliste!$CX24)</f>
        <v>0</v>
      </c>
      <c r="AE55" s="195"/>
      <c r="AF55" s="192"/>
      <c r="AG55" s="79">
        <f ca="1">IF($K55="","",Fest!$BH24)</f>
        <v>2</v>
      </c>
      <c r="AH55" s="79">
        <f ca="1">IF($K55="","",Fest!$BJ24)</f>
        <v>1</v>
      </c>
      <c r="AI55" s="191">
        <f ca="1">IF(Fest!$CY24="","",Fest!$CX24)</f>
        <v>2</v>
      </c>
      <c r="AJ55" s="195"/>
      <c r="AK55" s="192"/>
      <c r="AL55" s="79">
        <f ca="1">IF($K55="","",Nobody!$BH24)</f>
        <v>6</v>
      </c>
      <c r="AM55" s="79">
        <f ca="1">IF($K55="","",Nobody!$BJ24)</f>
        <v>4</v>
      </c>
      <c r="AN55" s="191">
        <f ca="1">IF(Nobody!$CY24="","",Nobody!$CX24)</f>
        <v>7</v>
      </c>
      <c r="AO55" s="195"/>
      <c r="AP55" s="192"/>
    </row>
    <row r="56" spans="1:42">
      <c r="A56" s="2">
        <f>Ergebnisse!BA25</f>
        <v>35</v>
      </c>
      <c r="B56" s="6">
        <f>Ergebnisse!BB25</f>
        <v>46193.5</v>
      </c>
      <c r="C56" s="4" t="str">
        <f>Ergebnisse!BC25</f>
        <v>Houston</v>
      </c>
      <c r="D56" s="56" t="str">
        <f>Ergebnisse!BD25</f>
        <v>Niederlande</v>
      </c>
      <c r="E56" s="40" t="str">
        <f>Ergebnisse!BE25</f>
        <v>-</v>
      </c>
      <c r="F56" s="56" t="str">
        <f>Ergebnisse!BF25</f>
        <v>Schweden</v>
      </c>
      <c r="G56" s="53">
        <f>Ergebnisse!BG25</f>
        <v>0</v>
      </c>
      <c r="H56" s="57">
        <f ca="1">IF($K56="","",Ergebnisse!BH25)</f>
        <v>2</v>
      </c>
      <c r="I56" s="80" t="str">
        <f>Ergebnisse!BI25</f>
        <v>:</v>
      </c>
      <c r="J56" s="57">
        <f ca="1">IF($K56="","",Ergebnisse!BJ25)</f>
        <v>0</v>
      </c>
      <c r="K56" s="81" t="str">
        <f ca="1">IF(Ergebnisse!BK25="","",Ergebnisse!BK25)</f>
        <v>ok</v>
      </c>
      <c r="L56" s="192"/>
      <c r="M56" s="79">
        <f ca="1">IF($K56="","",Bernd!$BH25)</f>
        <v>3</v>
      </c>
      <c r="N56" s="79">
        <f ca="1">IF($K56="","",Bernd!$BJ25)</f>
        <v>1</v>
      </c>
      <c r="O56" s="191">
        <f ca="1">IF(Bernd!$CY25="","",Bernd!$CX25)</f>
        <v>4</v>
      </c>
      <c r="P56" s="195"/>
      <c r="Q56" s="192"/>
      <c r="R56" s="79">
        <f ca="1">IF($K56="","",Mitspieler!$BH25)</f>
        <v>2</v>
      </c>
      <c r="S56" s="79">
        <f ca="1">IF($K56="","",Mitspieler!$BJ25)</f>
        <v>0</v>
      </c>
      <c r="T56" s="191">
        <f ca="1">IF(Mitspieler!$CY25="","",Mitspieler!$CX25)</f>
        <v>7</v>
      </c>
      <c r="U56" s="195"/>
      <c r="V56" s="192"/>
      <c r="W56" s="79">
        <f ca="1">IF($K56="","",Random!$BH25)</f>
        <v>3</v>
      </c>
      <c r="X56" s="79">
        <f ca="1">IF($K56="","",Random!$BJ25)</f>
        <v>0</v>
      </c>
      <c r="Y56" s="191">
        <f ca="1">IF(Random!$CY25="","",Random!$CX25)</f>
        <v>3</v>
      </c>
      <c r="Z56" s="195"/>
      <c r="AA56" s="192"/>
      <c r="AB56" s="79">
        <f ca="1">IF($K56="","",Rangliste!$BH25)</f>
        <v>4</v>
      </c>
      <c r="AC56" s="79">
        <f ca="1">IF($K56="","",Rangliste!$BJ25)</f>
        <v>3</v>
      </c>
      <c r="AD56" s="191">
        <f ca="1">IF(Rangliste!$CY25="","",Rangliste!$CX25)</f>
        <v>2</v>
      </c>
      <c r="AE56" s="195"/>
      <c r="AF56" s="192"/>
      <c r="AG56" s="79">
        <f ca="1">IF($K56="","",Fest!$BH25)</f>
        <v>2</v>
      </c>
      <c r="AH56" s="79">
        <f ca="1">IF($K56="","",Fest!$BJ25)</f>
        <v>1</v>
      </c>
      <c r="AI56" s="191">
        <f ca="1">IF(Fest!$CY25="","",Fest!$CX25)</f>
        <v>3</v>
      </c>
      <c r="AJ56" s="195"/>
      <c r="AK56" s="192"/>
      <c r="AL56" s="79">
        <f ca="1">IF($K56="","",Nobody!$BH25)</f>
        <v>2</v>
      </c>
      <c r="AM56" s="79">
        <f ca="1">IF($K56="","",Nobody!$BJ25)</f>
        <v>0</v>
      </c>
      <c r="AN56" s="191">
        <f ca="1">IF(Nobody!$CY25="","",Nobody!$CX25)</f>
        <v>7</v>
      </c>
      <c r="AO56" s="195"/>
      <c r="AP56" s="192"/>
    </row>
    <row r="57" spans="1:42" s="1" customFormat="1">
      <c r="A57" s="2">
        <f>Ergebnisse!BA26</f>
        <v>36</v>
      </c>
      <c r="B57" s="6">
        <f>Ergebnisse!BB26</f>
        <v>46193.958333333336</v>
      </c>
      <c r="C57" s="4" t="str">
        <f>Ergebnisse!BC26</f>
        <v>Monterrey</v>
      </c>
      <c r="D57" s="56" t="str">
        <f>Ergebnisse!BD26</f>
        <v>Tunesien</v>
      </c>
      <c r="E57" s="40" t="str">
        <f>Ergebnisse!BE26</f>
        <v>-</v>
      </c>
      <c r="F57" s="56" t="str">
        <f>Ergebnisse!BF26</f>
        <v>Japan</v>
      </c>
      <c r="G57" s="55">
        <f>Ergebnisse!BG26</f>
        <v>0</v>
      </c>
      <c r="H57" s="57">
        <f ca="1">IF($K57="","",Ergebnisse!BH26)</f>
        <v>3</v>
      </c>
      <c r="I57" s="80" t="str">
        <f>Ergebnisse!BI26</f>
        <v>:</v>
      </c>
      <c r="J57" s="57">
        <f ca="1">IF($K57="","",Ergebnisse!BJ26)</f>
        <v>2</v>
      </c>
      <c r="K57" s="81" t="str">
        <f ca="1">IF(Ergebnisse!BK26="","",Ergebnisse!BK26)</f>
        <v>ok</v>
      </c>
      <c r="L57" s="192"/>
      <c r="M57" s="79">
        <f ca="1">IF($K57="","",Bernd!$BH26)</f>
        <v>0</v>
      </c>
      <c r="N57" s="79">
        <f ca="1">IF($K57="","",Bernd!$BJ26)</f>
        <v>3</v>
      </c>
      <c r="O57" s="191">
        <f ca="1">IF(Bernd!$CY26="","",Bernd!$CX26)</f>
        <v>0</v>
      </c>
      <c r="P57" s="195"/>
      <c r="Q57" s="192"/>
      <c r="R57" s="79">
        <f ca="1">IF($K57="","",Mitspieler!$BH26)</f>
        <v>4</v>
      </c>
      <c r="S57" s="79">
        <f ca="1">IF($K57="","",Mitspieler!$BJ26)</f>
        <v>4</v>
      </c>
      <c r="T57" s="191">
        <f ca="1">IF(Mitspieler!$CY26="","",Mitspieler!$CX26)</f>
        <v>0</v>
      </c>
      <c r="U57" s="195"/>
      <c r="V57" s="192"/>
      <c r="W57" s="79">
        <f ca="1">IF($K57="","",Random!$BH26)</f>
        <v>3</v>
      </c>
      <c r="X57" s="79">
        <f ca="1">IF($K57="","",Random!$BJ26)</f>
        <v>2</v>
      </c>
      <c r="Y57" s="191">
        <f ca="1">IF(Random!$CY26="","",Random!$CX26)</f>
        <v>7</v>
      </c>
      <c r="Z57" s="195"/>
      <c r="AA57" s="192"/>
      <c r="AB57" s="79">
        <f ca="1">IF($K57="","",Rangliste!$BH26)</f>
        <v>3</v>
      </c>
      <c r="AC57" s="79">
        <f ca="1">IF($K57="","",Rangliste!$BJ26)</f>
        <v>3</v>
      </c>
      <c r="AD57" s="191">
        <f ca="1">IF(Rangliste!$CY26="","",Rangliste!$CX26)</f>
        <v>1</v>
      </c>
      <c r="AE57" s="195"/>
      <c r="AF57" s="192"/>
      <c r="AG57" s="79">
        <f ca="1">IF($K57="","",Fest!$BH26)</f>
        <v>2</v>
      </c>
      <c r="AH57" s="79">
        <f ca="1">IF($K57="","",Fest!$BJ26)</f>
        <v>1</v>
      </c>
      <c r="AI57" s="191">
        <f ca="1">IF(Fest!$CY26="","",Fest!$CX26)</f>
        <v>4</v>
      </c>
      <c r="AJ57" s="195"/>
      <c r="AK57" s="192"/>
      <c r="AL57" s="79">
        <f ca="1">IF($K57="","",Nobody!$BH26)</f>
        <v>3</v>
      </c>
      <c r="AM57" s="79">
        <f ca="1">IF($K57="","",Nobody!$BJ26)</f>
        <v>2</v>
      </c>
      <c r="AN57" s="191">
        <f ca="1">IF(Nobody!$CY26="","",Nobody!$CX26)</f>
        <v>7</v>
      </c>
      <c r="AO57" s="195"/>
      <c r="AP57" s="192"/>
    </row>
    <row r="58" spans="1:42">
      <c r="A58" s="2">
        <f>Ergebnisse!BA27</f>
        <v>55</v>
      </c>
      <c r="B58" s="6">
        <f>Ergebnisse!BB27</f>
        <v>46198.666666666664</v>
      </c>
      <c r="C58" s="4" t="str">
        <f>Ergebnisse!BC27</f>
        <v>Philadelphia</v>
      </c>
      <c r="D58" s="56" t="str">
        <f>Ergebnisse!BD27</f>
        <v>Tunesien</v>
      </c>
      <c r="E58" s="40" t="str">
        <f>Ergebnisse!BE27</f>
        <v>-</v>
      </c>
      <c r="F58" s="56" t="str">
        <f>Ergebnisse!BF27</f>
        <v>Niederlande</v>
      </c>
      <c r="G58" s="53">
        <f>Ergebnisse!BG27</f>
        <v>0</v>
      </c>
      <c r="H58" s="57">
        <f ca="1">IF($K58="","",Ergebnisse!BH27)</f>
        <v>2</v>
      </c>
      <c r="I58" s="80" t="str">
        <f>Ergebnisse!BI27</f>
        <v>:</v>
      </c>
      <c r="J58" s="57">
        <f ca="1">IF($K58="","",Ergebnisse!BJ27)</f>
        <v>1</v>
      </c>
      <c r="K58" s="81" t="str">
        <f ca="1">IF(Ergebnisse!BK27="","",Ergebnisse!BK27)</f>
        <v>ok</v>
      </c>
      <c r="L58" s="30"/>
      <c r="M58" s="79">
        <f ca="1">IF($K58="","",Bernd!$BH27)</f>
        <v>1</v>
      </c>
      <c r="N58" s="79">
        <f ca="1">IF($K58="","",Bernd!$BJ27)</f>
        <v>1</v>
      </c>
      <c r="O58" s="191">
        <f ca="1">IF(Bernd!$CY27="","",Bernd!$CX27)</f>
        <v>1</v>
      </c>
      <c r="P58" s="195"/>
      <c r="Q58" s="30"/>
      <c r="R58" s="79">
        <f ca="1">IF($K58="","",Mitspieler!$BH27)</f>
        <v>3</v>
      </c>
      <c r="S58" s="79">
        <f ca="1">IF($K58="","",Mitspieler!$BJ27)</f>
        <v>5</v>
      </c>
      <c r="T58" s="191">
        <f ca="1">IF(Mitspieler!$CY27="","",Mitspieler!$CX27)</f>
        <v>0</v>
      </c>
      <c r="U58" s="195"/>
      <c r="V58" s="30"/>
      <c r="W58" s="79">
        <f ca="1">IF($K58="","",Random!$BH27)</f>
        <v>2</v>
      </c>
      <c r="X58" s="79">
        <f ca="1">IF($K58="","",Random!$BJ27)</f>
        <v>2</v>
      </c>
      <c r="Y58" s="191">
        <f ca="1">IF(Random!$CY27="","",Random!$CX27)</f>
        <v>1</v>
      </c>
      <c r="Z58" s="195"/>
      <c r="AA58" s="30"/>
      <c r="AB58" s="79">
        <f ca="1">IF($K58="","",Rangliste!$BH27)</f>
        <v>4</v>
      </c>
      <c r="AC58" s="79">
        <f ca="1">IF($K58="","",Rangliste!$BJ27)</f>
        <v>5</v>
      </c>
      <c r="AD58" s="191">
        <f ca="1">IF(Rangliste!$CY27="","",Rangliste!$CX27)</f>
        <v>0</v>
      </c>
      <c r="AE58" s="195"/>
      <c r="AF58" s="30"/>
      <c r="AG58" s="79">
        <f ca="1">IF($K58="","",Fest!$BH27)</f>
        <v>2</v>
      </c>
      <c r="AH58" s="79">
        <f ca="1">IF($K58="","",Fest!$BJ27)</f>
        <v>1</v>
      </c>
      <c r="AI58" s="191">
        <f ca="1">IF(Fest!$CY27="","",Fest!$CX27)</f>
        <v>7</v>
      </c>
      <c r="AJ58" s="195"/>
      <c r="AK58" s="30"/>
      <c r="AL58" s="79">
        <f ca="1">IF($K58="","",Nobody!$BH27)</f>
        <v>2</v>
      </c>
      <c r="AM58" s="79">
        <f ca="1">IF($K58="","",Nobody!$BJ27)</f>
        <v>1</v>
      </c>
      <c r="AN58" s="191">
        <f ca="1">IF(Nobody!$CY27="","",Nobody!$CX27)</f>
        <v>7</v>
      </c>
      <c r="AO58" s="195"/>
      <c r="AP58" s="30"/>
    </row>
    <row r="59" spans="1:42">
      <c r="A59" s="2">
        <f>Ergebnisse!BA28</f>
        <v>56</v>
      </c>
      <c r="B59" s="6">
        <f>Ergebnisse!BB28</f>
        <v>46198.666666666664</v>
      </c>
      <c r="C59" s="4" t="str">
        <f>Ergebnisse!BC28</f>
        <v>New York</v>
      </c>
      <c r="D59" s="56" t="str">
        <f>Ergebnisse!BD28</f>
        <v>Japan</v>
      </c>
      <c r="E59" s="40" t="str">
        <f>Ergebnisse!BE28</f>
        <v>-</v>
      </c>
      <c r="F59" s="56" t="str">
        <f>Ergebnisse!BF28</f>
        <v>Schweden</v>
      </c>
      <c r="G59" s="55">
        <f>Ergebnisse!BG28</f>
        <v>0</v>
      </c>
      <c r="H59" s="57">
        <f ca="1">IF($K59="","",Ergebnisse!BH28)</f>
        <v>1</v>
      </c>
      <c r="I59" s="80" t="str">
        <f>Ergebnisse!BI28</f>
        <v>:</v>
      </c>
      <c r="J59" s="57">
        <f ca="1">IF($K59="","",Ergebnisse!BJ28)</f>
        <v>2</v>
      </c>
      <c r="K59" s="81" t="str">
        <f ca="1">IF(Ergebnisse!BK28="","",Ergebnisse!BK28)</f>
        <v>ok</v>
      </c>
      <c r="L59" s="30"/>
      <c r="M59" s="79">
        <f ca="1">IF($K59="","",Bernd!$BH28)</f>
        <v>2</v>
      </c>
      <c r="N59" s="79">
        <f ca="1">IF($K59="","",Bernd!$BJ28)</f>
        <v>0</v>
      </c>
      <c r="O59" s="191">
        <f ca="1">IF(Bernd!$CY28="","",Bernd!$CX28)</f>
        <v>0</v>
      </c>
      <c r="P59" s="195"/>
      <c r="Q59" s="30"/>
      <c r="R59" s="79">
        <f ca="1">IF($K59="","",Mitspieler!$BH28)</f>
        <v>5</v>
      </c>
      <c r="S59" s="79">
        <f ca="1">IF($K59="","",Mitspieler!$BJ28)</f>
        <v>4</v>
      </c>
      <c r="T59" s="191">
        <f ca="1">IF(Mitspieler!$CY28="","",Mitspieler!$CX28)</f>
        <v>0</v>
      </c>
      <c r="U59" s="195"/>
      <c r="V59" s="30"/>
      <c r="W59" s="79">
        <f ca="1">IF($K59="","",Random!$BH28)</f>
        <v>2</v>
      </c>
      <c r="X59" s="79">
        <f ca="1">IF($K59="","",Random!$BJ28)</f>
        <v>3</v>
      </c>
      <c r="Y59" s="191">
        <f ca="1">IF(Random!$CY28="","",Random!$CX28)</f>
        <v>4</v>
      </c>
      <c r="Z59" s="195"/>
      <c r="AA59" s="30"/>
      <c r="AB59" s="79">
        <f ca="1">IF($K59="","",Rangliste!$BH28)</f>
        <v>2</v>
      </c>
      <c r="AC59" s="79">
        <f ca="1">IF($K59="","",Rangliste!$BJ28)</f>
        <v>1</v>
      </c>
      <c r="AD59" s="191">
        <f ca="1">IF(Rangliste!$CY28="","",Rangliste!$CX28)</f>
        <v>0</v>
      </c>
      <c r="AE59" s="195"/>
      <c r="AF59" s="30"/>
      <c r="AG59" s="79">
        <f ca="1">IF($K59="","",Fest!$BH28)</f>
        <v>2</v>
      </c>
      <c r="AH59" s="79">
        <f ca="1">IF($K59="","",Fest!$BJ28)</f>
        <v>1</v>
      </c>
      <c r="AI59" s="191">
        <f ca="1">IF(Fest!$CY28="","",Fest!$CX28)</f>
        <v>0</v>
      </c>
      <c r="AJ59" s="195"/>
      <c r="AK59" s="30"/>
      <c r="AL59" s="79">
        <f ca="1">IF($K59="","",Nobody!$BH28)</f>
        <v>1</v>
      </c>
      <c r="AM59" s="79">
        <f ca="1">IF($K59="","",Nobody!$BJ28)</f>
        <v>2</v>
      </c>
      <c r="AN59" s="191">
        <f ca="1">IF(Nobody!$CY28="","",Nobody!$CX28)</f>
        <v>7</v>
      </c>
      <c r="AO59" s="195"/>
      <c r="AP59" s="30"/>
    </row>
    <row r="60" spans="1:42" s="55" customFormat="1">
      <c r="F60" s="222" t="str">
        <f ca="1">Ergebnisse!BM29</f>
        <v>Tunesien</v>
      </c>
      <c r="G60" s="63"/>
      <c r="H60" s="40"/>
      <c r="I60" s="40"/>
      <c r="J60" s="40"/>
      <c r="K60" s="274"/>
      <c r="L60" s="275"/>
      <c r="M60" s="222" t="str">
        <f>Bernd!$BM29</f>
        <v>Schweden</v>
      </c>
      <c r="N60" s="110"/>
      <c r="O60" s="191">
        <f ca="1">IF(Bernd!$CY29="","",Bernd!$CX29)</f>
        <v>2</v>
      </c>
      <c r="P60" s="198"/>
      <c r="Q60" s="197"/>
      <c r="R60" s="222" t="str">
        <f>Mitspieler!$BM29</f>
        <v>Tunesien</v>
      </c>
      <c r="S60" s="110"/>
      <c r="T60" s="191">
        <f ca="1">IF(Mitspieler!$CY29="","",Mitspieler!$CX29)</f>
        <v>2</v>
      </c>
      <c r="U60" s="198"/>
      <c r="V60" s="197"/>
      <c r="W60" s="222" t="str">
        <f ca="1">Random!$BM29</f>
        <v>Schweden</v>
      </c>
      <c r="X60" s="110"/>
      <c r="Y60" s="191">
        <f ca="1">IF(Random!$CY29="","",Random!$CX29)</f>
        <v>2</v>
      </c>
      <c r="Z60" s="198"/>
      <c r="AA60" s="197"/>
      <c r="AB60" s="222" t="str">
        <f>Rangliste!$BM29</f>
        <v>Tunesien</v>
      </c>
      <c r="AC60" s="110"/>
      <c r="AD60" s="191">
        <f ca="1">IF(Rangliste!$CY29="","",Rangliste!$CX29)</f>
        <v>2</v>
      </c>
      <c r="AE60" s="198"/>
      <c r="AF60" s="197"/>
      <c r="AG60" s="222" t="str">
        <f ca="1">Fest!$BM29</f>
        <v>Japan</v>
      </c>
      <c r="AH60" s="110"/>
      <c r="AI60" s="191">
        <f ca="1">IF(Fest!$CY29="","",Fest!$CX29)</f>
        <v>0</v>
      </c>
      <c r="AJ60" s="198"/>
      <c r="AK60" s="197"/>
      <c r="AL60" s="222" t="str">
        <f ca="1">Nobody!$BM29</f>
        <v>Tunesien</v>
      </c>
      <c r="AM60" s="110"/>
      <c r="AN60" s="191">
        <f ca="1">IF(Nobody!$CY29="","",Nobody!$CX29)</f>
        <v>2</v>
      </c>
      <c r="AO60" s="198"/>
      <c r="AP60" s="197"/>
    </row>
    <row r="61" spans="1:42">
      <c r="G61" s="55">
        <f>Ergebnisse!G30</f>
        <v>0</v>
      </c>
      <c r="L61" s="30"/>
      <c r="M61" s="189"/>
      <c r="O61" s="190"/>
      <c r="P61" s="195"/>
      <c r="Q61" s="30"/>
      <c r="R61" s="189"/>
      <c r="T61" s="190"/>
      <c r="U61" s="195"/>
      <c r="V61" s="30"/>
      <c r="W61" s="189"/>
      <c r="Y61" s="190"/>
      <c r="Z61" s="195"/>
      <c r="AA61" s="30"/>
      <c r="AB61" s="189"/>
      <c r="AD61" s="190"/>
      <c r="AE61" s="195"/>
      <c r="AF61" s="30"/>
      <c r="AG61" s="189"/>
      <c r="AI61" s="190"/>
      <c r="AJ61" s="195"/>
      <c r="AK61" s="30"/>
      <c r="AL61" s="189"/>
      <c r="AN61" s="190"/>
      <c r="AO61" s="195"/>
      <c r="AP61" s="30"/>
    </row>
    <row r="62" spans="1:42" s="10" customFormat="1">
      <c r="B62" s="224" t="str">
        <f>Ergebnisse!B31</f>
        <v>Vorrunde</v>
      </c>
      <c r="C62" s="225" t="str">
        <f>Ergebnisse!C31</f>
        <v>Gruppe G</v>
      </c>
      <c r="D62" s="53"/>
      <c r="E62" s="54"/>
      <c r="F62" s="225" t="str">
        <f ca="1">Ergebnisse!M37</f>
        <v>Neuseeland</v>
      </c>
      <c r="G62" s="55">
        <f>Ergebnisse!G31</f>
        <v>0</v>
      </c>
      <c r="H62" s="58"/>
      <c r="I62" s="58"/>
      <c r="J62" s="58"/>
      <c r="K62" s="58"/>
      <c r="L62" s="58"/>
      <c r="M62" s="225" t="str">
        <f>Bernd!$M37</f>
        <v>Belgien</v>
      </c>
      <c r="N62" s="225"/>
      <c r="O62" s="191">
        <f ca="1">IF(Bernd!$AY31="","",Bernd!$AX31)</f>
        <v>2</v>
      </c>
      <c r="P62" s="195"/>
      <c r="Q62" s="190"/>
      <c r="R62" s="225" t="str">
        <f>Mitspieler!$M37</f>
        <v>Belgien</v>
      </c>
      <c r="S62" s="225"/>
      <c r="T62" s="191">
        <f ca="1">IF(Mitspieler!$AY31="","",Mitspieler!$AX31)</f>
        <v>2</v>
      </c>
      <c r="U62" s="195"/>
      <c r="V62" s="190"/>
      <c r="W62" s="225" t="str">
        <f ca="1">Random!$M37</f>
        <v>Belgien</v>
      </c>
      <c r="X62" s="225"/>
      <c r="Y62" s="191">
        <f ca="1">IF(Random!$AY31="","",Random!$AX31)</f>
        <v>2</v>
      </c>
      <c r="Z62" s="195"/>
      <c r="AA62" s="190"/>
      <c r="AB62" s="225" t="str">
        <f>Rangliste!$M37</f>
        <v>Belgien</v>
      </c>
      <c r="AC62" s="225"/>
      <c r="AD62" s="191">
        <f ca="1">IF(Rangliste!$AY31="","",Rangliste!$AX31)</f>
        <v>2</v>
      </c>
      <c r="AE62" s="195"/>
      <c r="AF62" s="190"/>
      <c r="AG62" s="225" t="str">
        <f ca="1">Fest!$M37</f>
        <v>Neuseeland</v>
      </c>
      <c r="AH62" s="225"/>
      <c r="AI62" s="191">
        <f ca="1">IF(Fest!$AY31="","",Fest!$AX31)</f>
        <v>2</v>
      </c>
      <c r="AJ62" s="195"/>
      <c r="AK62" s="190"/>
      <c r="AL62" s="225" t="str">
        <f ca="1">Nobody!$M37</f>
        <v>Neuseeland</v>
      </c>
      <c r="AM62" s="225"/>
      <c r="AN62" s="191">
        <f ca="1">IF(Nobody!$AY31="","",Nobody!$AX31)</f>
        <v>2</v>
      </c>
      <c r="AO62" s="195"/>
      <c r="AP62" s="190"/>
    </row>
    <row r="63" spans="1:42">
      <c r="B63" s="3" t="str">
        <f>Ergebnisse!B32</f>
        <v>Datum/Zeit</v>
      </c>
      <c r="C63" s="3" t="str">
        <f>Ergebnisse!C32</f>
        <v>Spielort</v>
      </c>
      <c r="D63" s="55"/>
      <c r="E63" s="55"/>
      <c r="F63" s="225" t="str">
        <f ca="1">Ergebnisse!M38</f>
        <v>IR Iran</v>
      </c>
      <c r="G63" s="55">
        <f>Ergebnisse!G32</f>
        <v>0</v>
      </c>
      <c r="K63" s="58"/>
      <c r="L63" s="58"/>
      <c r="M63" s="225" t="str">
        <f>Bernd!$M38</f>
        <v>IR Iran</v>
      </c>
      <c r="N63" s="225"/>
      <c r="O63" s="191">
        <f ca="1">IF(Bernd!$AY32="","",Bernd!$AX32)</f>
        <v>2</v>
      </c>
      <c r="P63" s="195"/>
      <c r="Q63" s="192"/>
      <c r="R63" s="225" t="str">
        <f>Mitspieler!$M38</f>
        <v>IR Iran</v>
      </c>
      <c r="S63" s="225"/>
      <c r="T63" s="191">
        <f ca="1">IF(Mitspieler!$AY32="","",Mitspieler!$AX32)</f>
        <v>2</v>
      </c>
      <c r="U63" s="195"/>
      <c r="V63" s="192"/>
      <c r="W63" s="225" t="str">
        <f ca="1">Random!$M38</f>
        <v>Neuseeland</v>
      </c>
      <c r="X63" s="225"/>
      <c r="Y63" s="191">
        <f ca="1">IF(Random!$AY32="","",Random!$AX32)</f>
        <v>2</v>
      </c>
      <c r="Z63" s="195"/>
      <c r="AA63" s="192"/>
      <c r="AB63" s="225" t="str">
        <f>Rangliste!$M38</f>
        <v>IR Iran</v>
      </c>
      <c r="AC63" s="225"/>
      <c r="AD63" s="191">
        <f ca="1">IF(Rangliste!$AY32="","",Rangliste!$AX32)</f>
        <v>2</v>
      </c>
      <c r="AE63" s="195"/>
      <c r="AF63" s="192"/>
      <c r="AG63" s="225" t="str">
        <f ca="1">Fest!$M38</f>
        <v>Belgien</v>
      </c>
      <c r="AH63" s="225"/>
      <c r="AI63" s="191">
        <f ca="1">IF(Fest!$AY32="","",Fest!$AX32)</f>
        <v>2</v>
      </c>
      <c r="AJ63" s="195"/>
      <c r="AK63" s="192"/>
      <c r="AL63" s="225" t="str">
        <f ca="1">Nobody!$M38</f>
        <v>IR Iran</v>
      </c>
      <c r="AM63" s="225"/>
      <c r="AN63" s="191">
        <f ca="1">IF(Nobody!$AY32="","",Nobody!$AX32)</f>
        <v>2</v>
      </c>
      <c r="AO63" s="195"/>
      <c r="AP63" s="192"/>
    </row>
    <row r="64" spans="1:42">
      <c r="A64" s="2">
        <f>Ergebnisse!A33</f>
        <v>16</v>
      </c>
      <c r="B64" s="6">
        <f>Ergebnisse!B33</f>
        <v>46188.5</v>
      </c>
      <c r="C64" s="4" t="str">
        <f>Ergebnisse!C33</f>
        <v>Seattle</v>
      </c>
      <c r="D64" s="56" t="str">
        <f>Ergebnisse!D33</f>
        <v>Belgien</v>
      </c>
      <c r="E64" s="40" t="str">
        <f>Ergebnisse!E33</f>
        <v>-</v>
      </c>
      <c r="F64" s="56" t="str">
        <f>Ergebnisse!F33</f>
        <v>Ägypten</v>
      </c>
      <c r="G64" s="55">
        <f>Ergebnisse!G33</f>
        <v>0</v>
      </c>
      <c r="H64" s="57">
        <f ca="1">Ergebnisse!H33</f>
        <v>3</v>
      </c>
      <c r="I64" s="80" t="str">
        <f>Ergebnisse!I33</f>
        <v>:</v>
      </c>
      <c r="J64" s="57">
        <f ca="1">Ergebnisse!J33</f>
        <v>1</v>
      </c>
      <c r="K64" s="81" t="str">
        <f ca="1">IF(Ergebnisse!K33="","",Ergebnisse!K33)</f>
        <v>ok</v>
      </c>
      <c r="L64" s="192"/>
      <c r="M64" s="79">
        <f ca="1">IF($K34="","",Bernd!$H33)</f>
        <v>1</v>
      </c>
      <c r="N64" s="79">
        <f ca="1">IF($K34="","",Bernd!$J33)</f>
        <v>1</v>
      </c>
      <c r="O64" s="191">
        <f ca="1">IF(Bernd!$AY33="","",Bernd!$AX33)</f>
        <v>1</v>
      </c>
      <c r="P64" s="195"/>
      <c r="Q64" s="192"/>
      <c r="R64" s="79">
        <f ca="1">IF($K34="","",Mitspieler!$H33)</f>
        <v>4</v>
      </c>
      <c r="S64" s="79">
        <f ca="1">IF($K34="","",Mitspieler!$J33)</f>
        <v>3</v>
      </c>
      <c r="T64" s="191">
        <f ca="1">IF(Mitspieler!$AY33="","",Mitspieler!$AX33)</f>
        <v>2</v>
      </c>
      <c r="U64" s="195"/>
      <c r="V64" s="192"/>
      <c r="W64" s="79">
        <f ca="1">IF($K34="","",Random!$H33)</f>
        <v>4</v>
      </c>
      <c r="X64" s="79">
        <f ca="1">IF($K34="","",Random!$J33)</f>
        <v>3</v>
      </c>
      <c r="Y64" s="191">
        <f ca="1">IF(Random!$AY33="","",Random!$AX33)</f>
        <v>2</v>
      </c>
      <c r="Z64" s="195"/>
      <c r="AA64" s="192"/>
      <c r="AB64" s="79">
        <f ca="1">IF($K34="","",Rangliste!$H33)</f>
        <v>2</v>
      </c>
      <c r="AC64" s="79">
        <f ca="1">IF($K34="","",Rangliste!$J33)</f>
        <v>1</v>
      </c>
      <c r="AD64" s="191">
        <f ca="1">IF(Rangliste!$AY33="","",Rangliste!$AX33)</f>
        <v>3</v>
      </c>
      <c r="AE64" s="195"/>
      <c r="AF64" s="192"/>
      <c r="AG64" s="79">
        <f ca="1">IF($K34="","",Fest!$H33)</f>
        <v>2</v>
      </c>
      <c r="AH64" s="79">
        <f ca="1">IF($K34="","",Fest!$J33)</f>
        <v>1</v>
      </c>
      <c r="AI64" s="191">
        <f ca="1">IF(Fest!$AY33="","",Fest!$AX33)</f>
        <v>3</v>
      </c>
      <c r="AJ64" s="195"/>
      <c r="AK64" s="192"/>
      <c r="AL64" s="79">
        <f ca="1">IF($K34="","",Nobody!$H33)</f>
        <v>3</v>
      </c>
      <c r="AM64" s="79">
        <f ca="1">IF($K34="","",Nobody!$J33)</f>
        <v>1</v>
      </c>
      <c r="AN64" s="191">
        <f ca="1">IF(Nobody!$AY33="","",Nobody!$AX33)</f>
        <v>7</v>
      </c>
      <c r="AO64" s="195"/>
      <c r="AP64" s="192"/>
    </row>
    <row r="65" spans="1:42">
      <c r="A65" s="2">
        <f>Ergebnisse!A34</f>
        <v>15</v>
      </c>
      <c r="B65" s="6">
        <f>Ergebnisse!B34</f>
        <v>46188.75</v>
      </c>
      <c r="C65" s="4" t="str">
        <f>Ergebnisse!C34</f>
        <v>Los Angeles</v>
      </c>
      <c r="D65" s="56" t="str">
        <f>Ergebnisse!D34</f>
        <v>IR Iran</v>
      </c>
      <c r="E65" s="40" t="str">
        <f>Ergebnisse!E34</f>
        <v>-</v>
      </c>
      <c r="F65" s="56" t="str">
        <f>Ergebnisse!F34</f>
        <v>Neuseeland</v>
      </c>
      <c r="G65" s="55">
        <f>Ergebnisse!G34</f>
        <v>0</v>
      </c>
      <c r="H65" s="57">
        <f ca="1">Ergebnisse!H34</f>
        <v>1</v>
      </c>
      <c r="I65" s="80" t="str">
        <f>Ergebnisse!I34</f>
        <v>:</v>
      </c>
      <c r="J65" s="57">
        <f ca="1">Ergebnisse!J34</f>
        <v>3</v>
      </c>
      <c r="K65" s="81" t="str">
        <f ca="1">IF(Ergebnisse!K34="","",Ergebnisse!K34)</f>
        <v>ok</v>
      </c>
      <c r="L65" s="192"/>
      <c r="M65" s="79">
        <f ca="1">IF($K35="","",Bernd!$H34)</f>
        <v>1</v>
      </c>
      <c r="N65" s="79">
        <f ca="1">IF($K35="","",Bernd!$J34)</f>
        <v>0</v>
      </c>
      <c r="O65" s="191">
        <f ca="1">IF(Bernd!$AY34="","",Bernd!$AX34)</f>
        <v>1</v>
      </c>
      <c r="P65" s="195"/>
      <c r="Q65" s="192"/>
      <c r="R65" s="79">
        <f ca="1">IF($K35="","",Mitspieler!$H34)</f>
        <v>2</v>
      </c>
      <c r="S65" s="79">
        <f ca="1">IF($K35="","",Mitspieler!$J34)</f>
        <v>1</v>
      </c>
      <c r="T65" s="191">
        <f ca="1">IF(Mitspieler!$AY34="","",Mitspieler!$AX34)</f>
        <v>0</v>
      </c>
      <c r="U65" s="195"/>
      <c r="V65" s="192"/>
      <c r="W65" s="79">
        <f ca="1">IF($K35="","",Random!$H34)</f>
        <v>3</v>
      </c>
      <c r="X65" s="79">
        <f ca="1">IF($K35="","",Random!$J34)</f>
        <v>3</v>
      </c>
      <c r="Y65" s="191">
        <f ca="1">IF(Random!$AY34="","",Random!$AX34)</f>
        <v>1</v>
      </c>
      <c r="Z65" s="195"/>
      <c r="AA65" s="192"/>
      <c r="AB65" s="79">
        <f ca="1">IF($K35="","",Rangliste!$H34)</f>
        <v>5</v>
      </c>
      <c r="AC65" s="79">
        <f ca="1">IF($K35="","",Rangliste!$J34)</f>
        <v>5</v>
      </c>
      <c r="AD65" s="191">
        <f ca="1">IF(Rangliste!$AY34="","",Rangliste!$AX34)</f>
        <v>0</v>
      </c>
      <c r="AE65" s="195"/>
      <c r="AF65" s="192"/>
      <c r="AG65" s="79">
        <f ca="1">IF($K35="","",Fest!$H34)</f>
        <v>2</v>
      </c>
      <c r="AH65" s="79">
        <f ca="1">IF($K35="","",Fest!$J34)</f>
        <v>1</v>
      </c>
      <c r="AI65" s="191">
        <f ca="1">IF(Fest!$AY34="","",Fest!$AX34)</f>
        <v>0</v>
      </c>
      <c r="AJ65" s="195"/>
      <c r="AK65" s="192"/>
      <c r="AL65" s="79">
        <f ca="1">IF($K35="","",Nobody!$H34)</f>
        <v>1</v>
      </c>
      <c r="AM65" s="79">
        <f ca="1">IF($K35="","",Nobody!$J34)</f>
        <v>3</v>
      </c>
      <c r="AN65" s="191">
        <f ca="1">IF(Nobody!$AY34="","",Nobody!$AX34)</f>
        <v>7</v>
      </c>
      <c r="AO65" s="195"/>
      <c r="AP65" s="192"/>
    </row>
    <row r="66" spans="1:42">
      <c r="A66" s="2">
        <f>Ergebnisse!A35</f>
        <v>39</v>
      </c>
      <c r="B66" s="6">
        <f>Ergebnisse!B35</f>
        <v>46194.5</v>
      </c>
      <c r="C66" s="4" t="str">
        <f>Ergebnisse!C35</f>
        <v>Los Angeles</v>
      </c>
      <c r="D66" s="56" t="str">
        <f>Ergebnisse!D35</f>
        <v>Belgien</v>
      </c>
      <c r="E66" s="40" t="str">
        <f>Ergebnisse!E35</f>
        <v>-</v>
      </c>
      <c r="F66" s="56" t="str">
        <f>Ergebnisse!F35</f>
        <v>IR Iran</v>
      </c>
      <c r="G66" s="55">
        <f>Ergebnisse!G35</f>
        <v>0</v>
      </c>
      <c r="H66" s="57">
        <f ca="1">Ergebnisse!H35</f>
        <v>2</v>
      </c>
      <c r="I66" s="80" t="str">
        <f>Ergebnisse!I35</f>
        <v>:</v>
      </c>
      <c r="J66" s="57">
        <f ca="1">Ergebnisse!J35</f>
        <v>5</v>
      </c>
      <c r="K66" s="81" t="str">
        <f ca="1">IF(Ergebnisse!K35="","",Ergebnisse!K35)</f>
        <v>ok</v>
      </c>
      <c r="L66" s="192"/>
      <c r="M66" s="79">
        <f ca="1">IF($K36="","",Bernd!$H35)</f>
        <v>3</v>
      </c>
      <c r="N66" s="79">
        <f ca="1">IF($K36="","",Bernd!$J35)</f>
        <v>1</v>
      </c>
      <c r="O66" s="191">
        <f ca="1">IF(Bernd!$AY35="","",Bernd!$AX35)</f>
        <v>0</v>
      </c>
      <c r="P66" s="195"/>
      <c r="Q66" s="192"/>
      <c r="R66" s="79">
        <f ca="1">IF($K36="","",Mitspieler!$H35)</f>
        <v>3</v>
      </c>
      <c r="S66" s="79">
        <f ca="1">IF($K36="","",Mitspieler!$J35)</f>
        <v>2</v>
      </c>
      <c r="T66" s="191">
        <f ca="1">IF(Mitspieler!$AY35="","",Mitspieler!$AX35)</f>
        <v>0</v>
      </c>
      <c r="U66" s="195"/>
      <c r="V66" s="192"/>
      <c r="W66" s="79">
        <f ca="1">IF($K36="","",Random!$H35)</f>
        <v>3</v>
      </c>
      <c r="X66" s="79">
        <f ca="1">IF($K36="","",Random!$J35)</f>
        <v>4</v>
      </c>
      <c r="Y66" s="191">
        <f ca="1">IF(Random!$AY35="","",Random!$AX35)</f>
        <v>2</v>
      </c>
      <c r="Z66" s="195"/>
      <c r="AA66" s="192"/>
      <c r="AB66" s="79">
        <f ca="1">IF($K36="","",Rangliste!$H35)</f>
        <v>1</v>
      </c>
      <c r="AC66" s="79">
        <f ca="1">IF($K36="","",Rangliste!$J35)</f>
        <v>0</v>
      </c>
      <c r="AD66" s="191">
        <f ca="1">IF(Rangliste!$AY35="","",Rangliste!$AX35)</f>
        <v>0</v>
      </c>
      <c r="AE66" s="195"/>
      <c r="AF66" s="192"/>
      <c r="AG66" s="79">
        <f ca="1">IF($K36="","",Fest!$H35)</f>
        <v>2</v>
      </c>
      <c r="AH66" s="79">
        <f ca="1">IF($K36="","",Fest!$J35)</f>
        <v>1</v>
      </c>
      <c r="AI66" s="191">
        <f ca="1">IF(Fest!$AY35="","",Fest!$AX35)</f>
        <v>1</v>
      </c>
      <c r="AJ66" s="195"/>
      <c r="AK66" s="192"/>
      <c r="AL66" s="79">
        <f ca="1">IF($K36="","",Nobody!$H35)</f>
        <v>2</v>
      </c>
      <c r="AM66" s="79">
        <f ca="1">IF($K36="","",Nobody!$J35)</f>
        <v>5</v>
      </c>
      <c r="AN66" s="191">
        <f ca="1">IF(Nobody!$AY35="","",Nobody!$AX35)</f>
        <v>7</v>
      </c>
      <c r="AO66" s="195"/>
      <c r="AP66" s="192"/>
    </row>
    <row r="67" spans="1:42">
      <c r="A67" s="2">
        <f>Ergebnisse!A36</f>
        <v>40</v>
      </c>
      <c r="B67" s="6">
        <f>Ergebnisse!B36</f>
        <v>46194.75</v>
      </c>
      <c r="C67" s="4" t="str">
        <f>Ergebnisse!C36</f>
        <v>Vancouver</v>
      </c>
      <c r="D67" s="56" t="str">
        <f>Ergebnisse!D36</f>
        <v>Neuseeland</v>
      </c>
      <c r="E67" s="40" t="str">
        <f>Ergebnisse!E36</f>
        <v>-</v>
      </c>
      <c r="F67" s="56" t="str">
        <f>Ergebnisse!F36</f>
        <v>Ägypten</v>
      </c>
      <c r="G67" s="55">
        <f>Ergebnisse!G36</f>
        <v>0</v>
      </c>
      <c r="H67" s="57">
        <f ca="1">Ergebnisse!H36</f>
        <v>3</v>
      </c>
      <c r="I67" s="80" t="str">
        <f>Ergebnisse!I36</f>
        <v>:</v>
      </c>
      <c r="J67" s="57">
        <f ca="1">Ergebnisse!J36</f>
        <v>0</v>
      </c>
      <c r="K67" s="81" t="str">
        <f ca="1">IF(Ergebnisse!K36="","",Ergebnisse!K36)</f>
        <v>ok</v>
      </c>
      <c r="L67" s="192"/>
      <c r="M67" s="79">
        <f ca="1">IF($K37="","",Bernd!$H36)</f>
        <v>2</v>
      </c>
      <c r="N67" s="79">
        <f ca="1">IF($K37="","",Bernd!$J36)</f>
        <v>2</v>
      </c>
      <c r="O67" s="191">
        <f ca="1">IF(Bernd!$AY36="","",Bernd!$AX36)</f>
        <v>0</v>
      </c>
      <c r="P67" s="195"/>
      <c r="Q67" s="192"/>
      <c r="R67" s="79">
        <f ca="1">IF($K37="","",Mitspieler!$H36)</f>
        <v>2</v>
      </c>
      <c r="S67" s="79">
        <f ca="1">IF($K37="","",Mitspieler!$J36)</f>
        <v>3</v>
      </c>
      <c r="T67" s="191">
        <f ca="1">IF(Mitspieler!$AY36="","",Mitspieler!$AX36)</f>
        <v>0</v>
      </c>
      <c r="U67" s="195"/>
      <c r="V67" s="192"/>
      <c r="W67" s="79">
        <f ca="1">IF($K37="","",Random!$H36)</f>
        <v>4</v>
      </c>
      <c r="X67" s="79">
        <f ca="1">IF($K37="","",Random!$J36)</f>
        <v>0</v>
      </c>
      <c r="Y67" s="191">
        <f ca="1">IF(Random!$AY36="","",Random!$AX36)</f>
        <v>3</v>
      </c>
      <c r="Z67" s="195"/>
      <c r="AA67" s="192"/>
      <c r="AB67" s="79">
        <f ca="1">IF($K37="","",Rangliste!$H36)</f>
        <v>4</v>
      </c>
      <c r="AC67" s="79">
        <f ca="1">IF($K37="","",Rangliste!$J36)</f>
        <v>5</v>
      </c>
      <c r="AD67" s="191">
        <f ca="1">IF(Rangliste!$AY36="","",Rangliste!$AX36)</f>
        <v>0</v>
      </c>
      <c r="AE67" s="195"/>
      <c r="AF67" s="192"/>
      <c r="AG67" s="79">
        <f ca="1">IF($K37="","",Fest!$H36)</f>
        <v>2</v>
      </c>
      <c r="AH67" s="79">
        <f ca="1">IF($K37="","",Fest!$J36)</f>
        <v>1</v>
      </c>
      <c r="AI67" s="191">
        <f ca="1">IF(Fest!$AY36="","",Fest!$AX36)</f>
        <v>2</v>
      </c>
      <c r="AJ67" s="195"/>
      <c r="AK67" s="192"/>
      <c r="AL67" s="79">
        <f ca="1">IF($K37="","",Nobody!$H36)</f>
        <v>3</v>
      </c>
      <c r="AM67" s="79">
        <f ca="1">IF($K37="","",Nobody!$J36)</f>
        <v>0</v>
      </c>
      <c r="AN67" s="191">
        <f ca="1">IF(Nobody!$AY36="","",Nobody!$AX36)</f>
        <v>7</v>
      </c>
      <c r="AO67" s="195"/>
      <c r="AP67" s="192"/>
    </row>
    <row r="68" spans="1:42">
      <c r="A68" s="2">
        <f>Ergebnisse!A37</f>
        <v>64</v>
      </c>
      <c r="B68" s="6">
        <f>Ergebnisse!B37</f>
        <v>46199.833333333336</v>
      </c>
      <c r="C68" s="4" t="str">
        <f>Ergebnisse!C37</f>
        <v>Vancouver</v>
      </c>
      <c r="D68" s="56" t="str">
        <f>Ergebnisse!D37</f>
        <v>Neuseeland</v>
      </c>
      <c r="E68" s="40" t="str">
        <f>Ergebnisse!E37</f>
        <v>-</v>
      </c>
      <c r="F68" s="56" t="str">
        <f>Ergebnisse!F37</f>
        <v>Belgien</v>
      </c>
      <c r="G68" s="55">
        <f>Ergebnisse!G37</f>
        <v>0</v>
      </c>
      <c r="H68" s="57">
        <f ca="1">Ergebnisse!H37</f>
        <v>2</v>
      </c>
      <c r="I68" s="80" t="str">
        <f>Ergebnisse!I37</f>
        <v>:</v>
      </c>
      <c r="J68" s="57">
        <f ca="1">Ergebnisse!J37</f>
        <v>2</v>
      </c>
      <c r="K68" s="81" t="str">
        <f ca="1">IF(Ergebnisse!K37="","",Ergebnisse!K37)</f>
        <v>ok</v>
      </c>
      <c r="L68" s="30"/>
      <c r="M68" s="79">
        <f ca="1">IF($K38="","",Bernd!$H37)</f>
        <v>0</v>
      </c>
      <c r="N68" s="79">
        <f ca="1">IF($K38="","",Bernd!$J37)</f>
        <v>4</v>
      </c>
      <c r="O68" s="191">
        <f ca="1">IF(Bernd!$AY37="","",Bernd!$AX37)</f>
        <v>0</v>
      </c>
      <c r="P68" s="195"/>
      <c r="Q68" s="30"/>
      <c r="R68" s="79">
        <f ca="1">IF($K38="","",Mitspieler!$H37)</f>
        <v>2</v>
      </c>
      <c r="S68" s="79">
        <f ca="1">IF($K38="","",Mitspieler!$J37)</f>
        <v>4</v>
      </c>
      <c r="T68" s="191">
        <f ca="1">IF(Mitspieler!$AY37="","",Mitspieler!$AX37)</f>
        <v>1</v>
      </c>
      <c r="U68" s="195"/>
      <c r="V68" s="30"/>
      <c r="W68" s="79">
        <f ca="1">IF($K38="","",Random!$H37)</f>
        <v>2</v>
      </c>
      <c r="X68" s="79">
        <f ca="1">IF($K38="","",Random!$J37)</f>
        <v>4</v>
      </c>
      <c r="Y68" s="191">
        <f ca="1">IF(Random!$AY37="","",Random!$AX37)</f>
        <v>1</v>
      </c>
      <c r="Z68" s="195"/>
      <c r="AA68" s="30"/>
      <c r="AB68" s="79">
        <f ca="1">IF($K38="","",Rangliste!$H37)</f>
        <v>0</v>
      </c>
      <c r="AC68" s="79">
        <f ca="1">IF($K38="","",Rangliste!$J37)</f>
        <v>2</v>
      </c>
      <c r="AD68" s="191">
        <f ca="1">IF(Rangliste!$AY37="","",Rangliste!$AX37)</f>
        <v>1</v>
      </c>
      <c r="AE68" s="195"/>
      <c r="AF68" s="30"/>
      <c r="AG68" s="79">
        <f ca="1">IF($K38="","",Fest!$H37)</f>
        <v>2</v>
      </c>
      <c r="AH68" s="79">
        <f ca="1">IF($K38="","",Fest!$J37)</f>
        <v>1</v>
      </c>
      <c r="AI68" s="191">
        <f ca="1">IF(Fest!$AY37="","",Fest!$AX37)</f>
        <v>1</v>
      </c>
      <c r="AJ68" s="195"/>
      <c r="AK68" s="30"/>
      <c r="AL68" s="79">
        <f ca="1">IF($K38="","",Nobody!$H37)</f>
        <v>2</v>
      </c>
      <c r="AM68" s="79">
        <f ca="1">IF($K38="","",Nobody!$J37)</f>
        <v>2</v>
      </c>
      <c r="AN68" s="191">
        <f ca="1">IF(Nobody!$AY37="","",Nobody!$AX37)</f>
        <v>7</v>
      </c>
      <c r="AO68" s="195"/>
      <c r="AP68" s="30"/>
    </row>
    <row r="69" spans="1:42">
      <c r="A69" s="2">
        <f>Ergebnisse!A38</f>
        <v>63</v>
      </c>
      <c r="B69" s="6">
        <f>Ergebnisse!B38</f>
        <v>46199.833333333336</v>
      </c>
      <c r="C69" s="4" t="str">
        <f>Ergebnisse!C38</f>
        <v>Seattle</v>
      </c>
      <c r="D69" s="56" t="str">
        <f>Ergebnisse!D38</f>
        <v>Ägypten</v>
      </c>
      <c r="E69" s="40" t="str">
        <f>Ergebnisse!E38</f>
        <v>-</v>
      </c>
      <c r="F69" s="56" t="str">
        <f>Ergebnisse!F38</f>
        <v>IR Iran</v>
      </c>
      <c r="G69" s="55">
        <f>Ergebnisse!G38</f>
        <v>0</v>
      </c>
      <c r="H69" s="57">
        <f ca="1">Ergebnisse!H38</f>
        <v>2</v>
      </c>
      <c r="I69" s="80" t="str">
        <f>Ergebnisse!I38</f>
        <v>:</v>
      </c>
      <c r="J69" s="57">
        <f ca="1">Ergebnisse!J38</f>
        <v>2</v>
      </c>
      <c r="K69" s="81" t="str">
        <f ca="1">IF(Ergebnisse!K38="","",Ergebnisse!K38)</f>
        <v>ok</v>
      </c>
      <c r="L69" s="30"/>
      <c r="M69" s="79">
        <f ca="1">IF($K39="","",Bernd!$H38)</f>
        <v>1</v>
      </c>
      <c r="N69" s="79">
        <f ca="1">IF($K39="","",Bernd!$J38)</f>
        <v>3</v>
      </c>
      <c r="O69" s="191">
        <f ca="1">IF(Bernd!$AY38="","",Bernd!$AX38)</f>
        <v>0</v>
      </c>
      <c r="P69" s="195"/>
      <c r="Q69" s="30"/>
      <c r="R69" s="79">
        <f ca="1">IF($K39="","",Mitspieler!$H38)</f>
        <v>0</v>
      </c>
      <c r="S69" s="79">
        <f ca="1">IF($K39="","",Mitspieler!$J38)</f>
        <v>1</v>
      </c>
      <c r="T69" s="191">
        <f ca="1">IF(Mitspieler!$AY38="","",Mitspieler!$AX38)</f>
        <v>0</v>
      </c>
      <c r="U69" s="195"/>
      <c r="V69" s="30"/>
      <c r="W69" s="79">
        <f ca="1">IF($K39="","",Random!$H38)</f>
        <v>4</v>
      </c>
      <c r="X69" s="79">
        <f ca="1">IF($K39="","",Random!$J38)</f>
        <v>0</v>
      </c>
      <c r="Y69" s="191">
        <f ca="1">IF(Random!$AY38="","",Random!$AX38)</f>
        <v>0</v>
      </c>
      <c r="Z69" s="195"/>
      <c r="AA69" s="30"/>
      <c r="AB69" s="79">
        <f ca="1">IF($K39="","",Rangliste!$H38)</f>
        <v>0</v>
      </c>
      <c r="AC69" s="79">
        <f ca="1">IF($K39="","",Rangliste!$J38)</f>
        <v>1</v>
      </c>
      <c r="AD69" s="191">
        <f ca="1">IF(Rangliste!$AY38="","",Rangliste!$AX38)</f>
        <v>0</v>
      </c>
      <c r="AE69" s="195"/>
      <c r="AF69" s="30"/>
      <c r="AG69" s="79">
        <f ca="1">IF($K39="","",Fest!$H38)</f>
        <v>2</v>
      </c>
      <c r="AH69" s="79">
        <f ca="1">IF($K39="","",Fest!$J38)</f>
        <v>1</v>
      </c>
      <c r="AI69" s="191">
        <f ca="1">IF(Fest!$AY38="","",Fest!$AX38)</f>
        <v>1</v>
      </c>
      <c r="AJ69" s="195"/>
      <c r="AK69" s="30"/>
      <c r="AL69" s="79">
        <f ca="1">IF($K39="","",Nobody!$H38)</f>
        <v>2</v>
      </c>
      <c r="AM69" s="79">
        <f ca="1">IF($K39="","",Nobody!$J38)</f>
        <v>2</v>
      </c>
      <c r="AN69" s="191">
        <f ca="1">IF(Nobody!$AY38="","",Nobody!$AX38)</f>
        <v>7</v>
      </c>
      <c r="AO69" s="195"/>
      <c r="AP69" s="30"/>
    </row>
    <row r="70" spans="1:42" s="55" customFormat="1">
      <c r="F70" s="225" t="str">
        <f ca="1">Ergebnisse!M39</f>
        <v>Belgien</v>
      </c>
      <c r="G70" s="55">
        <f>Ergebnisse!G39</f>
        <v>0</v>
      </c>
      <c r="H70" s="58"/>
      <c r="I70" s="58"/>
      <c r="J70" s="58"/>
      <c r="K70" s="58"/>
      <c r="L70" s="58"/>
      <c r="M70" s="225" t="str">
        <f>Bernd!$M39</f>
        <v>Ägypten</v>
      </c>
      <c r="N70" s="225"/>
      <c r="O70" s="191">
        <f ca="1">IF(Bernd!$AY39="","",Bernd!$AX39)</f>
        <v>0</v>
      </c>
      <c r="P70" s="198"/>
      <c r="Q70" s="197"/>
      <c r="R70" s="225" t="str">
        <f>Mitspieler!$M39</f>
        <v>Ägypten</v>
      </c>
      <c r="S70" s="225"/>
      <c r="T70" s="191">
        <f ca="1">IF(Mitspieler!$AY39="","",Mitspieler!$AX39)</f>
        <v>0</v>
      </c>
      <c r="U70" s="198"/>
      <c r="V70" s="197"/>
      <c r="W70" s="225" t="str">
        <f ca="1">Random!$M39</f>
        <v>IR Iran</v>
      </c>
      <c r="X70" s="225"/>
      <c r="Y70" s="191">
        <f ca="1">IF(Random!$AY39="","",Random!$AX39)</f>
        <v>2</v>
      </c>
      <c r="Z70" s="198"/>
      <c r="AA70" s="197"/>
      <c r="AB70" s="225" t="str">
        <f>Rangliste!$M39</f>
        <v>Ägypten</v>
      </c>
      <c r="AC70" s="225"/>
      <c r="AD70" s="191">
        <f ca="1">IF(Rangliste!$AY39="","",Rangliste!$AX39)</f>
        <v>0</v>
      </c>
      <c r="AE70" s="198"/>
      <c r="AF70" s="197"/>
      <c r="AG70" s="225" t="str">
        <f ca="1">Fest!$M39</f>
        <v>Ägypten</v>
      </c>
      <c r="AH70" s="225"/>
      <c r="AI70" s="191">
        <f ca="1">IF(Fest!$AY39="","",Fest!$AX39)</f>
        <v>0</v>
      </c>
      <c r="AJ70" s="198"/>
      <c r="AK70" s="197"/>
      <c r="AL70" s="225" t="str">
        <f ca="1">Nobody!$M39</f>
        <v>Belgien</v>
      </c>
      <c r="AM70" s="225"/>
      <c r="AN70" s="191">
        <f ca="1">IF(Nobody!$AY39="","",Nobody!$AX39)</f>
        <v>2</v>
      </c>
      <c r="AO70" s="198"/>
      <c r="AP70" s="197"/>
    </row>
    <row r="71" spans="1:42" ht="6" customHeight="1">
      <c r="D71" s="55"/>
      <c r="E71" s="58"/>
      <c r="F71" s="59"/>
      <c r="G71" s="55">
        <f>Ergebnisse!G40</f>
        <v>0</v>
      </c>
      <c r="H71" s="55"/>
      <c r="I71" s="55"/>
      <c r="J71" s="55"/>
      <c r="L71" s="30"/>
      <c r="M71" s="65"/>
      <c r="N71" s="65"/>
      <c r="O71" s="191"/>
      <c r="P71" s="195"/>
      <c r="Q71" s="30"/>
      <c r="R71" s="65"/>
      <c r="S71" s="65"/>
      <c r="T71" s="191"/>
      <c r="U71" s="195"/>
      <c r="V71" s="30"/>
      <c r="W71" s="65"/>
      <c r="X71" s="65"/>
      <c r="Y71" s="191"/>
      <c r="Z71" s="195"/>
      <c r="AA71" s="30"/>
      <c r="AB71" s="65"/>
      <c r="AC71" s="65"/>
      <c r="AD71" s="191"/>
      <c r="AE71" s="195"/>
      <c r="AF71" s="30"/>
      <c r="AG71" s="65"/>
      <c r="AH71" s="65"/>
      <c r="AI71" s="191"/>
      <c r="AJ71" s="195"/>
      <c r="AK71" s="30"/>
      <c r="AL71" s="65"/>
      <c r="AM71" s="65"/>
      <c r="AN71" s="191"/>
      <c r="AO71" s="195"/>
      <c r="AP71" s="30"/>
    </row>
    <row r="72" spans="1:42" s="10" customFormat="1">
      <c r="B72" s="233" t="str">
        <f>Ergebnisse!B41</f>
        <v>Vorrunde</v>
      </c>
      <c r="C72" s="233" t="str">
        <f>Ergebnisse!C41</f>
        <v>Gruppe H</v>
      </c>
      <c r="D72" s="53"/>
      <c r="E72" s="54"/>
      <c r="F72" s="233" t="str">
        <f ca="1">Ergebnisse!M47</f>
        <v>Uruguay</v>
      </c>
      <c r="G72" s="55">
        <f>Ergebnisse!G41</f>
        <v>0</v>
      </c>
      <c r="H72" s="58"/>
      <c r="I72" s="58"/>
      <c r="J72" s="58"/>
      <c r="K72" s="81"/>
      <c r="L72" s="30"/>
      <c r="M72" s="233" t="str">
        <f>Bernd!$M47</f>
        <v>Spanien</v>
      </c>
      <c r="N72" s="233"/>
      <c r="O72" s="191">
        <f ca="1">IF(Bernd!$AY41="","",Bernd!$AX41)</f>
        <v>2</v>
      </c>
      <c r="P72" s="195"/>
      <c r="Q72" s="190"/>
      <c r="R72" s="233" t="str">
        <f>Mitspieler!$M47</f>
        <v>Spanien</v>
      </c>
      <c r="S72" s="233"/>
      <c r="T72" s="191">
        <f ca="1">IF(Mitspieler!$AY41="","",Mitspieler!$AX41)</f>
        <v>2</v>
      </c>
      <c r="U72" s="195"/>
      <c r="V72" s="190"/>
      <c r="W72" s="233" t="str">
        <f ca="1">Random!$M47</f>
        <v>Saudiarabien</v>
      </c>
      <c r="X72" s="233"/>
      <c r="Y72" s="191">
        <f ca="1">IF(Random!$AY41="","",Random!$AX41)</f>
        <v>0</v>
      </c>
      <c r="Z72" s="195"/>
      <c r="AA72" s="190"/>
      <c r="AB72" s="233" t="str">
        <f>Rangliste!$M47</f>
        <v>Spanien</v>
      </c>
      <c r="AC72" s="233"/>
      <c r="AD72" s="191">
        <f ca="1">IF(Rangliste!$AY41="","",Rangliste!$AX41)</f>
        <v>2</v>
      </c>
      <c r="AE72" s="195"/>
      <c r="AF72" s="190"/>
      <c r="AG72" s="233" t="str">
        <f ca="1">Fest!$M47</f>
        <v>Uruguay</v>
      </c>
      <c r="AH72" s="233"/>
      <c r="AI72" s="191">
        <f ca="1">IF(Fest!$AY41="","",Fest!$AX41)</f>
        <v>2</v>
      </c>
      <c r="AJ72" s="195"/>
      <c r="AK72" s="190"/>
      <c r="AL72" s="233" t="str">
        <f ca="1">Nobody!$M47</f>
        <v>Uruguay</v>
      </c>
      <c r="AM72" s="233"/>
      <c r="AN72" s="191">
        <f ca="1">IF(Nobody!$AY41="","",Nobody!$AX41)</f>
        <v>2</v>
      </c>
      <c r="AO72" s="195"/>
      <c r="AP72" s="190"/>
    </row>
    <row r="73" spans="1:42">
      <c r="B73" s="3" t="str">
        <f>Ergebnisse!B42</f>
        <v>Datum/Zeit</v>
      </c>
      <c r="C73" s="3" t="str">
        <f>Ergebnisse!C42</f>
        <v>Spielort</v>
      </c>
      <c r="D73" s="55"/>
      <c r="E73" s="55"/>
      <c r="F73" s="233" t="str">
        <f ca="1">Ergebnisse!M48</f>
        <v>Spanien</v>
      </c>
      <c r="G73" s="55">
        <f>Ergebnisse!G42</f>
        <v>0</v>
      </c>
      <c r="L73" s="30"/>
      <c r="M73" s="233" t="str">
        <f>Bernd!$M48</f>
        <v>Uruguay</v>
      </c>
      <c r="N73" s="233"/>
      <c r="O73" s="191">
        <f ca="1">IF(Bernd!$AY42="","",Bernd!$AX42)</f>
        <v>2</v>
      </c>
      <c r="P73" s="195"/>
      <c r="Q73" s="192"/>
      <c r="R73" s="233" t="str">
        <f>Mitspieler!$M48</f>
        <v>Saudiarabien</v>
      </c>
      <c r="S73" s="233"/>
      <c r="T73" s="191">
        <f ca="1">IF(Mitspieler!$AY42="","",Mitspieler!$AX42)</f>
        <v>0</v>
      </c>
      <c r="U73" s="195"/>
      <c r="V73" s="192"/>
      <c r="W73" s="233" t="str">
        <f ca="1">Random!$M48</f>
        <v>Uruguay</v>
      </c>
      <c r="X73" s="233"/>
      <c r="Y73" s="191">
        <f ca="1">IF(Random!$AY42="","",Random!$AX42)</f>
        <v>2</v>
      </c>
      <c r="Z73" s="195"/>
      <c r="AA73" s="192"/>
      <c r="AB73" s="233" t="str">
        <f>Rangliste!$M48</f>
        <v>Saudiarabien</v>
      </c>
      <c r="AC73" s="233"/>
      <c r="AD73" s="191">
        <f ca="1">IF(Rangliste!$AY42="","",Rangliste!$AX42)</f>
        <v>0</v>
      </c>
      <c r="AE73" s="195"/>
      <c r="AF73" s="192"/>
      <c r="AG73" s="233" t="str">
        <f ca="1">Fest!$M48</f>
        <v>Spanien</v>
      </c>
      <c r="AH73" s="233"/>
      <c r="AI73" s="191">
        <f ca="1">IF(Fest!$AY42="","",Fest!$AX42)</f>
        <v>2</v>
      </c>
      <c r="AJ73" s="195"/>
      <c r="AK73" s="192"/>
      <c r="AL73" s="233" t="str">
        <f ca="1">Nobody!$M48</f>
        <v>Spanien</v>
      </c>
      <c r="AM73" s="233"/>
      <c r="AN73" s="191">
        <f ca="1">IF(Nobody!$AY42="","",Nobody!$AX42)</f>
        <v>2</v>
      </c>
      <c r="AO73" s="195"/>
      <c r="AP73" s="192"/>
    </row>
    <row r="74" spans="1:42">
      <c r="A74" s="2">
        <f>Ergebnisse!A43</f>
        <v>14</v>
      </c>
      <c r="B74" s="6">
        <f>Ergebnisse!B43</f>
        <v>46188.5</v>
      </c>
      <c r="C74" s="4" t="str">
        <f>Ergebnisse!C43</f>
        <v>Atlanta</v>
      </c>
      <c r="D74" s="56" t="str">
        <f>Ergebnisse!D43</f>
        <v>Spanien</v>
      </c>
      <c r="E74" s="40" t="str">
        <f>Ergebnisse!E43</f>
        <v>-</v>
      </c>
      <c r="F74" s="56" t="str">
        <f>Ergebnisse!F43</f>
        <v>Kap Verde</v>
      </c>
      <c r="G74" s="53">
        <f>Ergebnisse!G43</f>
        <v>0</v>
      </c>
      <c r="H74" s="57">
        <f ca="1">Ergebnisse!H43</f>
        <v>6</v>
      </c>
      <c r="I74" s="80" t="str">
        <f>Ergebnisse!I43</f>
        <v>:</v>
      </c>
      <c r="J74" s="57">
        <f ca="1">Ergebnisse!J43</f>
        <v>1</v>
      </c>
      <c r="K74" s="81" t="str">
        <f ca="1">IF(Ergebnisse!K43="","",Ergebnisse!K43)</f>
        <v>ok</v>
      </c>
      <c r="L74" s="192"/>
      <c r="M74" s="79">
        <f ca="1">IF($K44="","",Bernd!$H43)</f>
        <v>3</v>
      </c>
      <c r="N74" s="79">
        <f ca="1">IF($K44="","",Bernd!$J43)</f>
        <v>0</v>
      </c>
      <c r="O74" s="191">
        <f ca="1">IF(Bernd!$AY43="","",Bernd!$AX43)</f>
        <v>2</v>
      </c>
      <c r="P74" s="195"/>
      <c r="Q74" s="192"/>
      <c r="R74" s="79">
        <f ca="1">IF($K44="","",Mitspieler!$H43)</f>
        <v>4</v>
      </c>
      <c r="S74" s="79">
        <f ca="1">IF($K44="","",Mitspieler!$J43)</f>
        <v>2</v>
      </c>
      <c r="T74" s="191">
        <f ca="1">IF(Mitspieler!$AY43="","",Mitspieler!$AX43)</f>
        <v>2</v>
      </c>
      <c r="U74" s="195"/>
      <c r="V74" s="192"/>
      <c r="W74" s="79">
        <f ca="1">IF($K44="","",Random!$H43)</f>
        <v>3</v>
      </c>
      <c r="X74" s="79">
        <f ca="1">IF($K44="","",Random!$J43)</f>
        <v>3</v>
      </c>
      <c r="Y74" s="191">
        <f ca="1">IF(Random!$AY43="","",Random!$AX43)</f>
        <v>0</v>
      </c>
      <c r="Z74" s="195"/>
      <c r="AA74" s="192"/>
      <c r="AB74" s="79">
        <f ca="1">IF($K44="","",Rangliste!$H43)</f>
        <v>3</v>
      </c>
      <c r="AC74" s="79">
        <f ca="1">IF($K44="","",Rangliste!$J43)</f>
        <v>0</v>
      </c>
      <c r="AD74" s="191">
        <f ca="1">IF(Rangliste!$AY43="","",Rangliste!$AX43)</f>
        <v>2</v>
      </c>
      <c r="AE74" s="195"/>
      <c r="AF74" s="192"/>
      <c r="AG74" s="79">
        <f ca="1">IF($K44="","",Fest!$H43)</f>
        <v>2</v>
      </c>
      <c r="AH74" s="79">
        <f ca="1">IF($K44="","",Fest!$J43)</f>
        <v>1</v>
      </c>
      <c r="AI74" s="191">
        <f ca="1">IF(Fest!$AY43="","",Fest!$AX43)</f>
        <v>3</v>
      </c>
      <c r="AJ74" s="195"/>
      <c r="AK74" s="192"/>
      <c r="AL74" s="79">
        <f ca="1">IF($K44="","",Nobody!$H43)</f>
        <v>6</v>
      </c>
      <c r="AM74" s="79">
        <f ca="1">IF($K44="","",Nobody!$J43)</f>
        <v>1</v>
      </c>
      <c r="AN74" s="191">
        <f ca="1">IF(Nobody!$AY43="","",Nobody!$AX43)</f>
        <v>7</v>
      </c>
      <c r="AO74" s="195"/>
      <c r="AP74" s="192"/>
    </row>
    <row r="75" spans="1:42">
      <c r="A75" s="2">
        <f>Ergebnisse!A44</f>
        <v>13</v>
      </c>
      <c r="B75" s="6">
        <f>Ergebnisse!B44</f>
        <v>46188.75</v>
      </c>
      <c r="C75" s="4" t="str">
        <f>Ergebnisse!C44</f>
        <v>Miami</v>
      </c>
      <c r="D75" s="56" t="str">
        <f>Ergebnisse!D44</f>
        <v>Saudiarabien</v>
      </c>
      <c r="E75" s="40" t="str">
        <f>Ergebnisse!E44</f>
        <v>-</v>
      </c>
      <c r="F75" s="56" t="str">
        <f>Ergebnisse!F44</f>
        <v>Uruguay</v>
      </c>
      <c r="G75" s="53">
        <f>Ergebnisse!G44</f>
        <v>0</v>
      </c>
      <c r="H75" s="57">
        <f ca="1">Ergebnisse!H44</f>
        <v>0</v>
      </c>
      <c r="I75" s="80" t="str">
        <f>Ergebnisse!I44</f>
        <v>:</v>
      </c>
      <c r="J75" s="57">
        <f ca="1">Ergebnisse!J44</f>
        <v>2</v>
      </c>
      <c r="K75" s="81" t="str">
        <f ca="1">IF(Ergebnisse!K44="","",Ergebnisse!K44)</f>
        <v>ok</v>
      </c>
      <c r="L75" s="192"/>
      <c r="M75" s="79">
        <f ca="1">IF($K45="","",Bernd!$H44)</f>
        <v>1</v>
      </c>
      <c r="N75" s="79">
        <f ca="1">IF($K45="","",Bernd!$J44)</f>
        <v>2</v>
      </c>
      <c r="O75" s="191">
        <f ca="1">IF(Bernd!$AY44="","",Bernd!$AX44)</f>
        <v>3</v>
      </c>
      <c r="P75" s="195"/>
      <c r="Q75" s="192"/>
      <c r="R75" s="79">
        <f ca="1">IF($K45="","",Mitspieler!$H44)</f>
        <v>3</v>
      </c>
      <c r="S75" s="79">
        <f ca="1">IF($K45="","",Mitspieler!$J44)</f>
        <v>3</v>
      </c>
      <c r="T75" s="191">
        <f ca="1">IF(Mitspieler!$AY44="","",Mitspieler!$AX44)</f>
        <v>0</v>
      </c>
      <c r="U75" s="195"/>
      <c r="V75" s="192"/>
      <c r="W75" s="79">
        <f ca="1">IF($K45="","",Random!$H44)</f>
        <v>3</v>
      </c>
      <c r="X75" s="79">
        <f ca="1">IF($K45="","",Random!$J44)</f>
        <v>0</v>
      </c>
      <c r="Y75" s="191">
        <f ca="1">IF(Random!$AY44="","",Random!$AX44)</f>
        <v>0</v>
      </c>
      <c r="Z75" s="195"/>
      <c r="AA75" s="192"/>
      <c r="AB75" s="79">
        <f ca="1">IF($K45="","",Rangliste!$H44)</f>
        <v>4</v>
      </c>
      <c r="AC75" s="79">
        <f ca="1">IF($K45="","",Rangliste!$J44)</f>
        <v>4</v>
      </c>
      <c r="AD75" s="191">
        <f ca="1">IF(Rangliste!$AY44="","",Rangliste!$AX44)</f>
        <v>0</v>
      </c>
      <c r="AE75" s="195"/>
      <c r="AF75" s="192"/>
      <c r="AG75" s="79">
        <f ca="1">IF($K45="","",Fest!$H44)</f>
        <v>2</v>
      </c>
      <c r="AH75" s="79">
        <f ca="1">IF($K45="","",Fest!$J44)</f>
        <v>1</v>
      </c>
      <c r="AI75" s="191">
        <f ca="1">IF(Fest!$AY44="","",Fest!$AX44)</f>
        <v>0</v>
      </c>
      <c r="AJ75" s="195"/>
      <c r="AK75" s="192"/>
      <c r="AL75" s="79">
        <f ca="1">IF($K45="","",Nobody!$H44)</f>
        <v>0</v>
      </c>
      <c r="AM75" s="79">
        <f ca="1">IF($K45="","",Nobody!$J44)</f>
        <v>2</v>
      </c>
      <c r="AN75" s="191">
        <f ca="1">IF(Nobody!$AY44="","",Nobody!$AX44)</f>
        <v>7</v>
      </c>
      <c r="AO75" s="195"/>
      <c r="AP75" s="192"/>
    </row>
    <row r="76" spans="1:42">
      <c r="A76" s="2">
        <f>Ergebnisse!A45</f>
        <v>38</v>
      </c>
      <c r="B76" s="6">
        <f>Ergebnisse!B45</f>
        <v>46194.5</v>
      </c>
      <c r="C76" s="4" t="str">
        <f>Ergebnisse!C45</f>
        <v>Atlanta</v>
      </c>
      <c r="D76" s="56" t="str">
        <f>Ergebnisse!D45</f>
        <v>Spanien</v>
      </c>
      <c r="E76" s="40" t="str">
        <f>Ergebnisse!E45</f>
        <v>-</v>
      </c>
      <c r="F76" s="56" t="str">
        <f>Ergebnisse!F45</f>
        <v>Saudiarabien</v>
      </c>
      <c r="G76" s="53">
        <f>Ergebnisse!G45</f>
        <v>0</v>
      </c>
      <c r="H76" s="57">
        <f ca="1">Ergebnisse!H45</f>
        <v>0</v>
      </c>
      <c r="I76" s="80" t="str">
        <f>Ergebnisse!I45</f>
        <v>:</v>
      </c>
      <c r="J76" s="57">
        <f ca="1">Ergebnisse!J45</f>
        <v>4</v>
      </c>
      <c r="K76" s="81" t="str">
        <f ca="1">IF(Ergebnisse!K45="","",Ergebnisse!K45)</f>
        <v>ok</v>
      </c>
      <c r="L76" s="192"/>
      <c r="M76" s="79">
        <f ca="1">IF($K46="","",Bernd!$H45)</f>
        <v>4</v>
      </c>
      <c r="N76" s="79">
        <f ca="1">IF($K46="","",Bernd!$J45)</f>
        <v>0</v>
      </c>
      <c r="O76" s="191">
        <f ca="1">IF(Bernd!$AY45="","",Bernd!$AX45)</f>
        <v>0</v>
      </c>
      <c r="P76" s="195"/>
      <c r="Q76" s="192"/>
      <c r="R76" s="79">
        <f ca="1">IF($K46="","",Mitspieler!$H45)</f>
        <v>5</v>
      </c>
      <c r="S76" s="79">
        <f ca="1">IF($K46="","",Mitspieler!$J45)</f>
        <v>5</v>
      </c>
      <c r="T76" s="191">
        <f ca="1">IF(Mitspieler!$AY45="","",Mitspieler!$AX45)</f>
        <v>0</v>
      </c>
      <c r="U76" s="195"/>
      <c r="V76" s="192"/>
      <c r="W76" s="79">
        <f ca="1">IF($K46="","",Random!$H45)</f>
        <v>0</v>
      </c>
      <c r="X76" s="79">
        <f ca="1">IF($K46="","",Random!$J45)</f>
        <v>3</v>
      </c>
      <c r="Y76" s="191">
        <f ca="1">IF(Random!$AY45="","",Random!$AX45)</f>
        <v>3</v>
      </c>
      <c r="Z76" s="195"/>
      <c r="AA76" s="192"/>
      <c r="AB76" s="79">
        <f ca="1">IF($K46="","",Rangliste!$H45)</f>
        <v>4</v>
      </c>
      <c r="AC76" s="79">
        <f ca="1">IF($K46="","",Rangliste!$J45)</f>
        <v>2</v>
      </c>
      <c r="AD76" s="191">
        <f ca="1">IF(Rangliste!$AY45="","",Rangliste!$AX45)</f>
        <v>0</v>
      </c>
      <c r="AE76" s="195"/>
      <c r="AF76" s="192"/>
      <c r="AG76" s="79">
        <f ca="1">IF($K46="","",Fest!$H45)</f>
        <v>2</v>
      </c>
      <c r="AH76" s="79">
        <f ca="1">IF($K46="","",Fest!$J45)</f>
        <v>1</v>
      </c>
      <c r="AI76" s="191">
        <f ca="1">IF(Fest!$AY45="","",Fest!$AX45)</f>
        <v>0</v>
      </c>
      <c r="AJ76" s="195"/>
      <c r="AK76" s="192"/>
      <c r="AL76" s="79">
        <f ca="1">IF($K46="","",Nobody!$H45)</f>
        <v>0</v>
      </c>
      <c r="AM76" s="79">
        <f ca="1">IF($K46="","",Nobody!$J45)</f>
        <v>4</v>
      </c>
      <c r="AN76" s="191">
        <f ca="1">IF(Nobody!$AY45="","",Nobody!$AX45)</f>
        <v>7</v>
      </c>
      <c r="AO76" s="195"/>
      <c r="AP76" s="192"/>
    </row>
    <row r="77" spans="1:42">
      <c r="A77" s="2">
        <f>Ergebnisse!A46</f>
        <v>37</v>
      </c>
      <c r="B77" s="6">
        <f>Ergebnisse!B46</f>
        <v>46194.75</v>
      </c>
      <c r="C77" s="4" t="str">
        <f>Ergebnisse!C46</f>
        <v>Miami</v>
      </c>
      <c r="D77" s="56" t="str">
        <f>Ergebnisse!D46</f>
        <v>Uruguay</v>
      </c>
      <c r="E77" s="40" t="str">
        <f>Ergebnisse!E46</f>
        <v>-</v>
      </c>
      <c r="F77" s="56" t="str">
        <f>Ergebnisse!F46</f>
        <v>Kap Verde</v>
      </c>
      <c r="G77" s="55">
        <f>Ergebnisse!G46</f>
        <v>0</v>
      </c>
      <c r="H77" s="57">
        <f ca="1">Ergebnisse!H46</f>
        <v>5</v>
      </c>
      <c r="I77" s="80" t="str">
        <f>Ergebnisse!I46</f>
        <v>:</v>
      </c>
      <c r="J77" s="57">
        <f ca="1">Ergebnisse!J46</f>
        <v>2</v>
      </c>
      <c r="K77" s="81" t="str">
        <f ca="1">IF(Ergebnisse!K46="","",Ergebnisse!K46)</f>
        <v>ok</v>
      </c>
      <c r="L77" s="192"/>
      <c r="M77" s="79">
        <f ca="1">IF($K47="","",Bernd!$H46)</f>
        <v>2</v>
      </c>
      <c r="N77" s="79">
        <f ca="1">IF($K47="","",Bernd!$J46)</f>
        <v>0</v>
      </c>
      <c r="O77" s="191">
        <f ca="1">IF(Bernd!$AY46="","",Bernd!$AX46)</f>
        <v>2</v>
      </c>
      <c r="P77" s="195"/>
      <c r="Q77" s="192"/>
      <c r="R77" s="79">
        <f ca="1">IF($K47="","",Mitspieler!$H46)</f>
        <v>5</v>
      </c>
      <c r="S77" s="79">
        <f ca="1">IF($K47="","",Mitspieler!$J46)</f>
        <v>4</v>
      </c>
      <c r="T77" s="191">
        <f ca="1">IF(Mitspieler!$AY46="","",Mitspieler!$AX46)</f>
        <v>3</v>
      </c>
      <c r="U77" s="195"/>
      <c r="V77" s="192"/>
      <c r="W77" s="79">
        <f ca="1">IF($K47="","",Random!$H46)</f>
        <v>4</v>
      </c>
      <c r="X77" s="79">
        <f ca="1">IF($K47="","",Random!$J46)</f>
        <v>4</v>
      </c>
      <c r="Y77" s="191">
        <f ca="1">IF(Random!$AY46="","",Random!$AX46)</f>
        <v>0</v>
      </c>
      <c r="Z77" s="195"/>
      <c r="AA77" s="192"/>
      <c r="AB77" s="79">
        <f ca="1">IF($K47="","",Rangliste!$H46)</f>
        <v>5</v>
      </c>
      <c r="AC77" s="79">
        <f ca="1">IF($K47="","",Rangliste!$J46)</f>
        <v>5</v>
      </c>
      <c r="AD77" s="191">
        <f ca="1">IF(Rangliste!$AY46="","",Rangliste!$AX46)</f>
        <v>1</v>
      </c>
      <c r="AE77" s="195"/>
      <c r="AF77" s="192"/>
      <c r="AG77" s="79">
        <f ca="1">IF($K47="","",Fest!$H46)</f>
        <v>2</v>
      </c>
      <c r="AH77" s="79">
        <f ca="1">IF($K47="","",Fest!$J46)</f>
        <v>1</v>
      </c>
      <c r="AI77" s="191">
        <f ca="1">IF(Fest!$AY46="","",Fest!$AX46)</f>
        <v>2</v>
      </c>
      <c r="AJ77" s="195"/>
      <c r="AK77" s="192"/>
      <c r="AL77" s="79">
        <f ca="1">IF($K47="","",Nobody!$H46)</f>
        <v>5</v>
      </c>
      <c r="AM77" s="79">
        <f ca="1">IF($K47="","",Nobody!$J46)</f>
        <v>2</v>
      </c>
      <c r="AN77" s="191">
        <f ca="1">IF(Nobody!$AY46="","",Nobody!$AX46)</f>
        <v>7</v>
      </c>
      <c r="AO77" s="195"/>
      <c r="AP77" s="192"/>
    </row>
    <row r="78" spans="1:42">
      <c r="A78" s="2">
        <f>Ergebnisse!A47</f>
        <v>66</v>
      </c>
      <c r="B78" s="6">
        <f>Ergebnisse!B47</f>
        <v>46199.791666666672</v>
      </c>
      <c r="C78" s="4" t="str">
        <f>Ergebnisse!C47</f>
        <v>Guadalajara</v>
      </c>
      <c r="D78" s="56" t="str">
        <f>Ergebnisse!D47</f>
        <v>Uruguay</v>
      </c>
      <c r="E78" s="40" t="str">
        <f>Ergebnisse!E47</f>
        <v>-</v>
      </c>
      <c r="F78" s="56" t="str">
        <f>Ergebnisse!F47</f>
        <v>Spanien</v>
      </c>
      <c r="G78" s="53">
        <f>Ergebnisse!G47</f>
        <v>0</v>
      </c>
      <c r="H78" s="57">
        <f ca="1">Ergebnisse!H47</f>
        <v>4</v>
      </c>
      <c r="I78" s="80" t="str">
        <f>Ergebnisse!I47</f>
        <v>:</v>
      </c>
      <c r="J78" s="57">
        <f ca="1">Ergebnisse!J47</f>
        <v>4</v>
      </c>
      <c r="K78" s="81" t="str">
        <f ca="1">IF(Ergebnisse!K47="","",Ergebnisse!K47)</f>
        <v>ok</v>
      </c>
      <c r="L78" s="30"/>
      <c r="M78" s="79">
        <f ca="1">IF($K48="","",Bernd!$H47)</f>
        <v>2</v>
      </c>
      <c r="N78" s="79">
        <f ca="1">IF($K48="","",Bernd!$J47)</f>
        <v>3</v>
      </c>
      <c r="O78" s="191">
        <f ca="1">IF(Bernd!$AY47="","",Bernd!$AX47)</f>
        <v>0</v>
      </c>
      <c r="P78" s="195"/>
      <c r="Q78" s="30"/>
      <c r="R78" s="79">
        <f ca="1">IF($K48="","",Mitspieler!$H47)</f>
        <v>3</v>
      </c>
      <c r="S78" s="79">
        <f ca="1">IF($K48="","",Mitspieler!$J47)</f>
        <v>4</v>
      </c>
      <c r="T78" s="191">
        <f ca="1">IF(Mitspieler!$AY47="","",Mitspieler!$AX47)</f>
        <v>1</v>
      </c>
      <c r="U78" s="195"/>
      <c r="V78" s="30"/>
      <c r="W78" s="79">
        <f ca="1">IF($K48="","",Random!$H47)</f>
        <v>5</v>
      </c>
      <c r="X78" s="79">
        <f ca="1">IF($K48="","",Random!$J47)</f>
        <v>2</v>
      </c>
      <c r="Y78" s="191">
        <f ca="1">IF(Random!$AY47="","",Random!$AX47)</f>
        <v>0</v>
      </c>
      <c r="Z78" s="195"/>
      <c r="AA78" s="30"/>
      <c r="AB78" s="79">
        <f ca="1">IF($K48="","",Rangliste!$H47)</f>
        <v>3</v>
      </c>
      <c r="AC78" s="79">
        <f ca="1">IF($K48="","",Rangliste!$J47)</f>
        <v>4</v>
      </c>
      <c r="AD78" s="191">
        <f ca="1">IF(Rangliste!$AY47="","",Rangliste!$AX47)</f>
        <v>1</v>
      </c>
      <c r="AE78" s="195"/>
      <c r="AF78" s="30"/>
      <c r="AG78" s="79">
        <f ca="1">IF($K48="","",Fest!$H47)</f>
        <v>2</v>
      </c>
      <c r="AH78" s="79">
        <f ca="1">IF($K48="","",Fest!$J47)</f>
        <v>1</v>
      </c>
      <c r="AI78" s="191">
        <f ca="1">IF(Fest!$AY47="","",Fest!$AX47)</f>
        <v>0</v>
      </c>
      <c r="AJ78" s="195"/>
      <c r="AK78" s="30"/>
      <c r="AL78" s="79">
        <f ca="1">IF($K48="","",Nobody!$H47)</f>
        <v>4</v>
      </c>
      <c r="AM78" s="79">
        <f ca="1">IF($K48="","",Nobody!$J47)</f>
        <v>4</v>
      </c>
      <c r="AN78" s="191">
        <f ca="1">IF(Nobody!$AY47="","",Nobody!$AX47)</f>
        <v>7</v>
      </c>
      <c r="AO78" s="195"/>
      <c r="AP78" s="30"/>
    </row>
    <row r="79" spans="1:42">
      <c r="A79" s="2">
        <f>Ergebnisse!A48</f>
        <v>65</v>
      </c>
      <c r="B79" s="6">
        <f>Ergebnisse!B48</f>
        <v>46199.791666666672</v>
      </c>
      <c r="C79" s="4" t="str">
        <f>Ergebnisse!C48</f>
        <v>Houston</v>
      </c>
      <c r="D79" s="56" t="str">
        <f>Ergebnisse!D48</f>
        <v>Kap Verde</v>
      </c>
      <c r="E79" s="40" t="str">
        <f>Ergebnisse!E48</f>
        <v>-</v>
      </c>
      <c r="F79" s="56" t="str">
        <f>Ergebnisse!F48</f>
        <v>Saudiarabien</v>
      </c>
      <c r="G79" s="55">
        <f>Ergebnisse!G48</f>
        <v>0</v>
      </c>
      <c r="H79" s="57">
        <f ca="1">Ergebnisse!H48</f>
        <v>4</v>
      </c>
      <c r="I79" s="80" t="str">
        <f>Ergebnisse!I48</f>
        <v>:</v>
      </c>
      <c r="J79" s="57">
        <f ca="1">Ergebnisse!J48</f>
        <v>3</v>
      </c>
      <c r="K79" s="81" t="str">
        <f ca="1">IF(Ergebnisse!K48="","",Ergebnisse!K48)</f>
        <v>ok</v>
      </c>
      <c r="L79" s="30"/>
      <c r="M79" s="79">
        <f ca="1">IF($K49="","",Bernd!$H48)</f>
        <v>1</v>
      </c>
      <c r="N79" s="79">
        <f ca="1">IF($K49="","",Bernd!$J48)</f>
        <v>2</v>
      </c>
      <c r="O79" s="191">
        <f ca="1">IF(Bernd!$AY48="","",Bernd!$AX48)</f>
        <v>0</v>
      </c>
      <c r="P79" s="195"/>
      <c r="Q79" s="30"/>
      <c r="R79" s="79">
        <f ca="1">IF($K49="","",Mitspieler!$H48)</f>
        <v>2</v>
      </c>
      <c r="S79" s="79">
        <f ca="1">IF($K49="","",Mitspieler!$J48)</f>
        <v>3</v>
      </c>
      <c r="T79" s="191">
        <f ca="1">IF(Mitspieler!$AY48="","",Mitspieler!$AX48)</f>
        <v>1</v>
      </c>
      <c r="U79" s="195"/>
      <c r="V79" s="30"/>
      <c r="W79" s="79">
        <f ca="1">IF($K49="","",Random!$H48)</f>
        <v>3</v>
      </c>
      <c r="X79" s="79">
        <f ca="1">IF($K49="","",Random!$J48)</f>
        <v>6</v>
      </c>
      <c r="Y79" s="191">
        <f ca="1">IF(Random!$AY48="","",Random!$AX48)</f>
        <v>0</v>
      </c>
      <c r="Z79" s="195"/>
      <c r="AA79" s="30"/>
      <c r="AB79" s="79">
        <f ca="1">IF($K49="","",Rangliste!$H48)</f>
        <v>0</v>
      </c>
      <c r="AC79" s="79">
        <f ca="1">IF($K49="","",Rangliste!$J48)</f>
        <v>1</v>
      </c>
      <c r="AD79" s="191">
        <f ca="1">IF(Rangliste!$AY48="","",Rangliste!$AX48)</f>
        <v>0</v>
      </c>
      <c r="AE79" s="195"/>
      <c r="AF79" s="30"/>
      <c r="AG79" s="79">
        <f ca="1">IF($K49="","",Fest!$H48)</f>
        <v>2</v>
      </c>
      <c r="AH79" s="79">
        <f ca="1">IF($K49="","",Fest!$J48)</f>
        <v>1</v>
      </c>
      <c r="AI79" s="191">
        <f ca="1">IF(Fest!$AY48="","",Fest!$AX48)</f>
        <v>4</v>
      </c>
      <c r="AJ79" s="195"/>
      <c r="AK79" s="30"/>
      <c r="AL79" s="79">
        <f ca="1">IF($K49="","",Nobody!$H48)</f>
        <v>4</v>
      </c>
      <c r="AM79" s="79">
        <f ca="1">IF($K49="","",Nobody!$J48)</f>
        <v>3</v>
      </c>
      <c r="AN79" s="191">
        <f ca="1">IF(Nobody!$AY48="","",Nobody!$AX48)</f>
        <v>7</v>
      </c>
      <c r="AO79" s="195"/>
      <c r="AP79" s="30"/>
    </row>
    <row r="80" spans="1:42" s="55" customFormat="1">
      <c r="F80" s="233" t="str">
        <f ca="1">Ergebnisse!M49</f>
        <v>Kap Verde</v>
      </c>
      <c r="H80" s="58"/>
      <c r="I80" s="58"/>
      <c r="J80" s="58"/>
      <c r="K80" s="196"/>
      <c r="L80" s="197"/>
      <c r="M80" s="233" t="str">
        <f>Bernd!$M49</f>
        <v>Saudiarabien</v>
      </c>
      <c r="N80" s="229"/>
      <c r="O80" s="191">
        <f ca="1">IF(Bernd!$AY49="","",Bernd!$AX49)</f>
        <v>0</v>
      </c>
      <c r="P80" s="198"/>
      <c r="Q80" s="197"/>
      <c r="R80" s="233" t="str">
        <f>Mitspieler!$M49</f>
        <v>Uruguay</v>
      </c>
      <c r="S80" s="229"/>
      <c r="T80" s="191">
        <f ca="1">IF(Mitspieler!$AY49="","",Mitspieler!$AX49)</f>
        <v>2</v>
      </c>
      <c r="U80" s="198"/>
      <c r="V80" s="197"/>
      <c r="W80" s="233" t="str">
        <f ca="1">Random!$M49</f>
        <v>Kap Verde</v>
      </c>
      <c r="X80" s="229"/>
      <c r="Y80" s="191">
        <f ca="1">IF(Random!$AY49="","",Random!$AX49)</f>
        <v>0</v>
      </c>
      <c r="Z80" s="198"/>
      <c r="AA80" s="197"/>
      <c r="AB80" s="233" t="str">
        <f>Rangliste!$M49</f>
        <v>Uruguay</v>
      </c>
      <c r="AC80" s="229"/>
      <c r="AD80" s="191">
        <f ca="1">IF(Rangliste!$AY49="","",Rangliste!$AX49)</f>
        <v>2</v>
      </c>
      <c r="AE80" s="198"/>
      <c r="AF80" s="197"/>
      <c r="AG80" s="233" t="str">
        <f ca="1">Fest!$M49</f>
        <v>Kap Verde</v>
      </c>
      <c r="AH80" s="229"/>
      <c r="AI80" s="191">
        <f ca="1">IF(Fest!$AY49="","",Fest!$AX49)</f>
        <v>0</v>
      </c>
      <c r="AJ80" s="198"/>
      <c r="AK80" s="197"/>
      <c r="AL80" s="233" t="str">
        <f ca="1">Nobody!$M49</f>
        <v>Kap Verde</v>
      </c>
      <c r="AM80" s="229"/>
      <c r="AN80" s="191">
        <f ca="1">IF(Nobody!$AY49="","",Nobody!$AX49)</f>
        <v>0</v>
      </c>
      <c r="AO80" s="198"/>
      <c r="AP80" s="197"/>
    </row>
    <row r="81" spans="1:42" ht="6" customHeight="1">
      <c r="D81" s="55"/>
      <c r="E81" s="58"/>
      <c r="F81" s="59"/>
      <c r="G81" s="59"/>
      <c r="H81" s="55"/>
      <c r="I81" s="55"/>
      <c r="J81" s="55"/>
      <c r="L81" s="30"/>
      <c r="M81" s="65"/>
      <c r="N81" s="65"/>
      <c r="O81" s="191"/>
      <c r="P81" s="195"/>
      <c r="Q81" s="30"/>
      <c r="R81" s="65"/>
      <c r="S81" s="65"/>
      <c r="T81" s="191"/>
      <c r="U81" s="195"/>
      <c r="V81" s="30"/>
      <c r="W81" s="65"/>
      <c r="X81" s="65"/>
      <c r="Y81" s="191"/>
      <c r="Z81" s="195"/>
      <c r="AA81" s="30"/>
      <c r="AB81" s="65"/>
      <c r="AC81" s="65"/>
      <c r="AD81" s="191"/>
      <c r="AE81" s="195"/>
      <c r="AF81" s="30"/>
      <c r="AG81" s="65"/>
      <c r="AH81" s="65"/>
      <c r="AI81" s="191"/>
      <c r="AJ81" s="195"/>
      <c r="AK81" s="30"/>
      <c r="AL81" s="65"/>
      <c r="AM81" s="65"/>
      <c r="AN81" s="191"/>
      <c r="AO81" s="195"/>
      <c r="AP81" s="30"/>
    </row>
    <row r="82" spans="1:42" s="10" customFormat="1">
      <c r="B82" s="234" t="str">
        <f>Ergebnisse!B51</f>
        <v>Vorrunde</v>
      </c>
      <c r="C82" s="234" t="str">
        <f>Ergebnisse!C51</f>
        <v>Gruppe I</v>
      </c>
      <c r="D82" s="53"/>
      <c r="E82" s="54"/>
      <c r="F82" s="238" t="str">
        <f ca="1">Ergebnisse!M57</f>
        <v>Frankreich</v>
      </c>
      <c r="G82" s="53">
        <f>Ergebnisse!G51</f>
        <v>0</v>
      </c>
      <c r="H82" s="58"/>
      <c r="I82" s="58"/>
      <c r="J82" s="58"/>
      <c r="K82" s="81"/>
      <c r="L82" s="30"/>
      <c r="M82" s="238" t="str">
        <f>Bernd!$M57</f>
        <v>Norwegen</v>
      </c>
      <c r="N82" s="238"/>
      <c r="O82" s="191">
        <f ca="1">IF(Bernd!$AY51="","",Bernd!$AX51)</f>
        <v>0</v>
      </c>
      <c r="P82" s="195"/>
      <c r="Q82" s="190"/>
      <c r="R82" s="238" t="str">
        <f>Mitspieler!$M57</f>
        <v>Frankreich</v>
      </c>
      <c r="S82" s="238"/>
      <c r="T82" s="191">
        <f ca="1">IF(Mitspieler!$AY51="","",Mitspieler!$AX51)</f>
        <v>2</v>
      </c>
      <c r="U82" s="195"/>
      <c r="V82" s="190"/>
      <c r="W82" s="238" t="str">
        <f ca="1">Random!$M57</f>
        <v>Norwegen</v>
      </c>
      <c r="X82" s="238"/>
      <c r="Y82" s="191">
        <f ca="1">IF(Random!$AY51="","",Random!$AX51)</f>
        <v>0</v>
      </c>
      <c r="Z82" s="195"/>
      <c r="AA82" s="190"/>
      <c r="AB82" s="238" t="str">
        <f>Rangliste!$M57</f>
        <v>Frankreich</v>
      </c>
      <c r="AC82" s="238"/>
      <c r="AD82" s="191">
        <f ca="1">IF(Rangliste!$AY51="","",Rangliste!$AX51)</f>
        <v>2</v>
      </c>
      <c r="AE82" s="195"/>
      <c r="AF82" s="190"/>
      <c r="AG82" s="238" t="str">
        <f ca="1">Fest!$M57</f>
        <v>Norwegen</v>
      </c>
      <c r="AH82" s="238"/>
      <c r="AI82" s="191">
        <f ca="1">IF(Fest!$AY51="","",Fest!$AX51)</f>
        <v>0</v>
      </c>
      <c r="AJ82" s="195"/>
      <c r="AK82" s="190"/>
      <c r="AL82" s="238" t="str">
        <f ca="1">Nobody!$M57</f>
        <v>Frankreich</v>
      </c>
      <c r="AM82" s="238"/>
      <c r="AN82" s="191">
        <f ca="1">IF(Nobody!$AY51="","",Nobody!$AX51)</f>
        <v>2</v>
      </c>
      <c r="AO82" s="195"/>
      <c r="AP82" s="190"/>
    </row>
    <row r="83" spans="1:42">
      <c r="B83" s="3" t="str">
        <f>Ergebnisse!B52</f>
        <v>Datum/Zeit</v>
      </c>
      <c r="C83" s="3" t="str">
        <f>Ergebnisse!C52</f>
        <v>Spielort</v>
      </c>
      <c r="D83" s="55"/>
      <c r="E83" s="55"/>
      <c r="F83" s="238" t="str">
        <f ca="1">Ergebnisse!M58</f>
        <v>Senegal</v>
      </c>
      <c r="G83" s="55">
        <f>Ergebnisse!G52</f>
        <v>0</v>
      </c>
      <c r="L83" s="30"/>
      <c r="M83" s="238" t="str">
        <f>Bernd!$M58</f>
        <v>Frankreich</v>
      </c>
      <c r="N83" s="238"/>
      <c r="O83" s="191">
        <f ca="1">IF(Bernd!$AY52="","",Bernd!$AX52)</f>
        <v>2</v>
      </c>
      <c r="P83" s="195"/>
      <c r="Q83" s="192"/>
      <c r="R83" s="238" t="str">
        <f>Mitspieler!$M58</f>
        <v>Senegal</v>
      </c>
      <c r="S83" s="238"/>
      <c r="T83" s="191">
        <f ca="1">IF(Mitspieler!$AY52="","",Mitspieler!$AX52)</f>
        <v>2</v>
      </c>
      <c r="U83" s="195"/>
      <c r="V83" s="192"/>
      <c r="W83" s="238" t="str">
        <f ca="1">Random!$M58</f>
        <v>Irak</v>
      </c>
      <c r="X83" s="238"/>
      <c r="Y83" s="191">
        <f ca="1">IF(Random!$AY52="","",Random!$AX52)</f>
        <v>2</v>
      </c>
      <c r="Z83" s="195"/>
      <c r="AA83" s="192"/>
      <c r="AB83" s="238" t="str">
        <f>Rangliste!$M58</f>
        <v>Senegal</v>
      </c>
      <c r="AC83" s="238"/>
      <c r="AD83" s="191">
        <f ca="1">IF(Rangliste!$AY52="","",Rangliste!$AX52)</f>
        <v>2</v>
      </c>
      <c r="AE83" s="195"/>
      <c r="AF83" s="192"/>
      <c r="AG83" s="238" t="str">
        <f ca="1">Fest!$M58</f>
        <v>Frankreich</v>
      </c>
      <c r="AH83" s="238"/>
      <c r="AI83" s="191">
        <f ca="1">IF(Fest!$AY52="","",Fest!$AX52)</f>
        <v>2</v>
      </c>
      <c r="AJ83" s="195"/>
      <c r="AK83" s="192"/>
      <c r="AL83" s="238" t="str">
        <f ca="1">Nobody!$M58</f>
        <v>Senegal</v>
      </c>
      <c r="AM83" s="238"/>
      <c r="AN83" s="191">
        <f ca="1">IF(Nobody!$AY52="","",Nobody!$AX52)</f>
        <v>2</v>
      </c>
      <c r="AO83" s="195"/>
      <c r="AP83" s="192"/>
    </row>
    <row r="84" spans="1:42">
      <c r="A84" s="2">
        <f>Ergebnisse!A53</f>
        <v>17</v>
      </c>
      <c r="B84" s="6">
        <f>Ergebnisse!B53</f>
        <v>46189.625</v>
      </c>
      <c r="C84" s="4" t="str">
        <f>Ergebnisse!C53</f>
        <v>New York</v>
      </c>
      <c r="D84" s="56" t="str">
        <f>Ergebnisse!D53</f>
        <v>Frankreich</v>
      </c>
      <c r="E84" s="40" t="str">
        <f>Ergebnisse!E53</f>
        <v>-</v>
      </c>
      <c r="F84" s="56" t="str">
        <f>Ergebnisse!F53</f>
        <v>Senegal</v>
      </c>
      <c r="G84" s="53">
        <f>Ergebnisse!G53</f>
        <v>0</v>
      </c>
      <c r="H84" s="57">
        <f ca="1">Ergebnisse!H53</f>
        <v>1</v>
      </c>
      <c r="I84" s="80" t="str">
        <f>Ergebnisse!I53</f>
        <v>:</v>
      </c>
      <c r="J84" s="57">
        <f ca="1">Ergebnisse!J53</f>
        <v>0</v>
      </c>
      <c r="K84" s="81" t="str">
        <f ca="1">IF(Ergebnisse!K53="","",Ergebnisse!K53)</f>
        <v>ok</v>
      </c>
      <c r="L84" s="192"/>
      <c r="M84" s="79">
        <f ca="1">IF($K84="","",Bernd!$H53)</f>
        <v>2</v>
      </c>
      <c r="N84" s="79">
        <f ca="1">IF($K84="","",Bernd!$J53)</f>
        <v>1</v>
      </c>
      <c r="O84" s="191">
        <f ca="1">IF(Bernd!$AY53="","",Bernd!$AX53)</f>
        <v>4</v>
      </c>
      <c r="P84" s="195"/>
      <c r="Q84" s="192"/>
      <c r="R84" s="79">
        <f ca="1">IF($K84="","",Mitspieler!$H53)</f>
        <v>5</v>
      </c>
      <c r="S84" s="79">
        <f ca="1">IF($K84="","",Mitspieler!$J53)</f>
        <v>4</v>
      </c>
      <c r="T84" s="191">
        <f ca="1">IF(Mitspieler!$AY53="","",Mitspieler!$AX53)</f>
        <v>4</v>
      </c>
      <c r="U84" s="195"/>
      <c r="V84" s="192"/>
      <c r="W84" s="79">
        <f ca="1">IF($K84="","",Random!$H53)</f>
        <v>6</v>
      </c>
      <c r="X84" s="79">
        <f ca="1">IF($K84="","",Random!$J53)</f>
        <v>0</v>
      </c>
      <c r="Y84" s="191">
        <f ca="1">IF(Random!$AY53="","",Random!$AX53)</f>
        <v>3</v>
      </c>
      <c r="Z84" s="195"/>
      <c r="AA84" s="192"/>
      <c r="AB84" s="79">
        <f ca="1">IF($K84="","",Rangliste!$H53)</f>
        <v>3</v>
      </c>
      <c r="AC84" s="79">
        <f ca="1">IF($K84="","",Rangliste!$J53)</f>
        <v>2</v>
      </c>
      <c r="AD84" s="191">
        <f ca="1">IF(Rangliste!$AY53="","",Rangliste!$AX53)</f>
        <v>4</v>
      </c>
      <c r="AE84" s="195"/>
      <c r="AF84" s="192"/>
      <c r="AG84" s="79">
        <f ca="1">IF($K84="","",Fest!$H53)</f>
        <v>2</v>
      </c>
      <c r="AH84" s="79">
        <f ca="1">IF($K84="","",Fest!$J53)</f>
        <v>1</v>
      </c>
      <c r="AI84" s="191">
        <f ca="1">IF(Fest!$AY53="","",Fest!$AX53)</f>
        <v>4</v>
      </c>
      <c r="AJ84" s="195"/>
      <c r="AK84" s="192"/>
      <c r="AL84" s="79">
        <f ca="1">IF($K84="","",Nobody!$H53)</f>
        <v>1</v>
      </c>
      <c r="AM84" s="79">
        <f ca="1">IF($K84="","",Nobody!$J53)</f>
        <v>0</v>
      </c>
      <c r="AN84" s="191">
        <f ca="1">IF(Nobody!$AY53="","",Nobody!$AX53)</f>
        <v>7</v>
      </c>
      <c r="AO84" s="195"/>
      <c r="AP84" s="192"/>
    </row>
    <row r="85" spans="1:42">
      <c r="A85" s="2">
        <f>Ergebnisse!A54</f>
        <v>18</v>
      </c>
      <c r="B85" s="6">
        <f>Ergebnisse!B54</f>
        <v>46189.75</v>
      </c>
      <c r="C85" s="4" t="str">
        <f>Ergebnisse!C54</f>
        <v>Boston</v>
      </c>
      <c r="D85" s="56" t="str">
        <f>Ergebnisse!D54</f>
        <v>Irak</v>
      </c>
      <c r="E85" s="40" t="str">
        <f>Ergebnisse!E54</f>
        <v>-</v>
      </c>
      <c r="F85" s="56" t="str">
        <f>Ergebnisse!F54</f>
        <v>Norwegen</v>
      </c>
      <c r="G85" s="53">
        <f>Ergebnisse!G54</f>
        <v>0</v>
      </c>
      <c r="H85" s="57">
        <f ca="1">Ergebnisse!H54</f>
        <v>3</v>
      </c>
      <c r="I85" s="80" t="str">
        <f>Ergebnisse!I54</f>
        <v>:</v>
      </c>
      <c r="J85" s="57">
        <f ca="1">Ergebnisse!J54</f>
        <v>1</v>
      </c>
      <c r="K85" s="81" t="str">
        <f ca="1">IF(Ergebnisse!K54="","",Ergebnisse!K54)</f>
        <v>ok</v>
      </c>
      <c r="L85" s="192"/>
      <c r="M85" s="79">
        <f ca="1">IF($K85="","",Bernd!$H54)</f>
        <v>2</v>
      </c>
      <c r="N85" s="79">
        <f ca="1">IF($K85="","",Bernd!$J54)</f>
        <v>1</v>
      </c>
      <c r="O85" s="191">
        <f ca="1">IF(Bernd!$AY54="","",Bernd!$AX54)</f>
        <v>3</v>
      </c>
      <c r="P85" s="195"/>
      <c r="Q85" s="192"/>
      <c r="R85" s="79">
        <f ca="1">IF($K85="","",Mitspieler!$H54)</f>
        <v>1</v>
      </c>
      <c r="S85" s="79">
        <f ca="1">IF($K85="","",Mitspieler!$J54)</f>
        <v>2</v>
      </c>
      <c r="T85" s="191">
        <f ca="1">IF(Mitspieler!$AY54="","",Mitspieler!$AX54)</f>
        <v>0</v>
      </c>
      <c r="U85" s="195"/>
      <c r="V85" s="192"/>
      <c r="W85" s="79">
        <f ca="1">IF($K85="","",Random!$H54)</f>
        <v>4</v>
      </c>
      <c r="X85" s="79">
        <f ca="1">IF($K85="","",Random!$J54)</f>
        <v>4</v>
      </c>
      <c r="Y85" s="191">
        <f ca="1">IF(Random!$AY54="","",Random!$AX54)</f>
        <v>0</v>
      </c>
      <c r="Z85" s="195"/>
      <c r="AA85" s="192"/>
      <c r="AB85" s="79">
        <f ca="1">IF($K85="","",Rangliste!$H54)</f>
        <v>2</v>
      </c>
      <c r="AC85" s="79">
        <f ca="1">IF($K85="","",Rangliste!$J54)</f>
        <v>3</v>
      </c>
      <c r="AD85" s="191">
        <f ca="1">IF(Rangliste!$AY54="","",Rangliste!$AX54)</f>
        <v>0</v>
      </c>
      <c r="AE85" s="195"/>
      <c r="AF85" s="192"/>
      <c r="AG85" s="79">
        <f ca="1">IF($K85="","",Fest!$H54)</f>
        <v>2</v>
      </c>
      <c r="AH85" s="79">
        <f ca="1">IF($K85="","",Fest!$J54)</f>
        <v>1</v>
      </c>
      <c r="AI85" s="191">
        <f ca="1">IF(Fest!$AY54="","",Fest!$AX54)</f>
        <v>3</v>
      </c>
      <c r="AJ85" s="195"/>
      <c r="AK85" s="192"/>
      <c r="AL85" s="79">
        <f ca="1">IF($K85="","",Nobody!$H54)</f>
        <v>3</v>
      </c>
      <c r="AM85" s="79">
        <f ca="1">IF($K85="","",Nobody!$J54)</f>
        <v>1</v>
      </c>
      <c r="AN85" s="191">
        <f ca="1">IF(Nobody!$AY54="","",Nobody!$AX54)</f>
        <v>7</v>
      </c>
      <c r="AO85" s="195"/>
      <c r="AP85" s="192"/>
    </row>
    <row r="86" spans="1:42">
      <c r="A86" s="2">
        <f>Ergebnisse!A55</f>
        <v>42</v>
      </c>
      <c r="B86" s="6">
        <f>Ergebnisse!B55</f>
        <v>46195.708333333336</v>
      </c>
      <c r="C86" s="4" t="str">
        <f>Ergebnisse!C55</f>
        <v>Philadelphia</v>
      </c>
      <c r="D86" s="56" t="str">
        <f>Ergebnisse!D55</f>
        <v>Frankreich</v>
      </c>
      <c r="E86" s="40" t="str">
        <f>Ergebnisse!E55</f>
        <v>-</v>
      </c>
      <c r="F86" s="56" t="str">
        <f>Ergebnisse!F55</f>
        <v>Irak</v>
      </c>
      <c r="G86" s="53">
        <f>Ergebnisse!G55</f>
        <v>0</v>
      </c>
      <c r="H86" s="57">
        <f ca="1">Ergebnisse!H55</f>
        <v>3</v>
      </c>
      <c r="I86" s="80" t="str">
        <f>Ergebnisse!I55</f>
        <v>:</v>
      </c>
      <c r="J86" s="57">
        <f ca="1">Ergebnisse!J55</f>
        <v>3</v>
      </c>
      <c r="K86" s="81" t="str">
        <f ca="1">IF(Ergebnisse!K55="","",Ergebnisse!K55)</f>
        <v>ok</v>
      </c>
      <c r="L86" s="192"/>
      <c r="M86" s="79">
        <f ca="1">IF($K86="","",Bernd!$H55)</f>
        <v>2</v>
      </c>
      <c r="N86" s="79">
        <f ca="1">IF($K86="","",Bernd!$J55)</f>
        <v>1</v>
      </c>
      <c r="O86" s="191">
        <f ca="1">IF(Bernd!$AY55="","",Bernd!$AX55)</f>
        <v>0</v>
      </c>
      <c r="P86" s="195"/>
      <c r="Q86" s="192"/>
      <c r="R86" s="79">
        <f ca="1">IF($K86="","",Mitspieler!$H55)</f>
        <v>4</v>
      </c>
      <c r="S86" s="79">
        <f ca="1">IF($K86="","",Mitspieler!$J55)</f>
        <v>2</v>
      </c>
      <c r="T86" s="191">
        <f ca="1">IF(Mitspieler!$AY55="","",Mitspieler!$AX55)</f>
        <v>0</v>
      </c>
      <c r="U86" s="195"/>
      <c r="V86" s="192"/>
      <c r="W86" s="79">
        <f ca="1">IF($K86="","",Random!$H55)</f>
        <v>0</v>
      </c>
      <c r="X86" s="79">
        <f ca="1">IF($K86="","",Random!$J55)</f>
        <v>2</v>
      </c>
      <c r="Y86" s="191">
        <f ca="1">IF(Random!$AY55="","",Random!$AX55)</f>
        <v>0</v>
      </c>
      <c r="Z86" s="195"/>
      <c r="AA86" s="192"/>
      <c r="AB86" s="79">
        <f ca="1">IF($K86="","",Rangliste!$H55)</f>
        <v>4</v>
      </c>
      <c r="AC86" s="79">
        <f ca="1">IF($K86="","",Rangliste!$J55)</f>
        <v>2</v>
      </c>
      <c r="AD86" s="191">
        <f ca="1">IF(Rangliste!$AY55="","",Rangliste!$AX55)</f>
        <v>0</v>
      </c>
      <c r="AE86" s="195"/>
      <c r="AF86" s="192"/>
      <c r="AG86" s="79">
        <f ca="1">IF($K86="","",Fest!$H55)</f>
        <v>2</v>
      </c>
      <c r="AH86" s="79">
        <f ca="1">IF($K86="","",Fest!$J55)</f>
        <v>1</v>
      </c>
      <c r="AI86" s="191">
        <f ca="1">IF(Fest!$AY55="","",Fest!$AX55)</f>
        <v>0</v>
      </c>
      <c r="AJ86" s="195"/>
      <c r="AK86" s="192"/>
      <c r="AL86" s="79">
        <f ca="1">IF($K86="","",Nobody!$H55)</f>
        <v>3</v>
      </c>
      <c r="AM86" s="79">
        <f ca="1">IF($K86="","",Nobody!$J55)</f>
        <v>3</v>
      </c>
      <c r="AN86" s="191">
        <f ca="1">IF(Nobody!$AY55="","",Nobody!$AX55)</f>
        <v>7</v>
      </c>
      <c r="AO86" s="195"/>
      <c r="AP86" s="192"/>
    </row>
    <row r="87" spans="1:42">
      <c r="A87" s="2">
        <f>Ergebnisse!A56</f>
        <v>41</v>
      </c>
      <c r="B87" s="6">
        <f>Ergebnisse!B56</f>
        <v>46195.833333333336</v>
      </c>
      <c r="C87" s="4" t="str">
        <f>Ergebnisse!C56</f>
        <v>New York</v>
      </c>
      <c r="D87" s="56" t="str">
        <f>Ergebnisse!D56</f>
        <v>Norwegen</v>
      </c>
      <c r="E87" s="40" t="str">
        <f>Ergebnisse!E56</f>
        <v>-</v>
      </c>
      <c r="F87" s="56" t="str">
        <f>Ergebnisse!F56</f>
        <v>Senegal</v>
      </c>
      <c r="G87" s="55">
        <f>Ergebnisse!G56</f>
        <v>0</v>
      </c>
      <c r="H87" s="57">
        <f ca="1">Ergebnisse!H56</f>
        <v>1</v>
      </c>
      <c r="I87" s="80" t="str">
        <f>Ergebnisse!I56</f>
        <v>:</v>
      </c>
      <c r="J87" s="57">
        <f ca="1">Ergebnisse!J56</f>
        <v>3</v>
      </c>
      <c r="K87" s="81" t="str">
        <f ca="1">IF(Ergebnisse!K56="","",Ergebnisse!K56)</f>
        <v>ok</v>
      </c>
      <c r="L87" s="192"/>
      <c r="M87" s="79">
        <f ca="1">IF($K87="","",Bernd!$H56)</f>
        <v>2</v>
      </c>
      <c r="N87" s="79">
        <f ca="1">IF($K87="","",Bernd!$J56)</f>
        <v>1</v>
      </c>
      <c r="O87" s="191">
        <f ca="1">IF(Bernd!$AY56="","",Bernd!$AX56)</f>
        <v>0</v>
      </c>
      <c r="P87" s="195"/>
      <c r="Q87" s="192"/>
      <c r="R87" s="79">
        <f ca="1">IF($K87="","",Mitspieler!$H56)</f>
        <v>1</v>
      </c>
      <c r="S87" s="79">
        <f ca="1">IF($K87="","",Mitspieler!$J56)</f>
        <v>2</v>
      </c>
      <c r="T87" s="191">
        <f ca="1">IF(Mitspieler!$AY56="","",Mitspieler!$AX56)</f>
        <v>3</v>
      </c>
      <c r="U87" s="195"/>
      <c r="V87" s="192"/>
      <c r="W87" s="79">
        <f ca="1">IF($K87="","",Random!$H56)</f>
        <v>3</v>
      </c>
      <c r="X87" s="79">
        <f ca="1">IF($K87="","",Random!$J56)</f>
        <v>2</v>
      </c>
      <c r="Y87" s="191">
        <f ca="1">IF(Random!$AY56="","",Random!$AX56)</f>
        <v>0</v>
      </c>
      <c r="Z87" s="195"/>
      <c r="AA87" s="192"/>
      <c r="AB87" s="79">
        <f ca="1">IF($K87="","",Rangliste!$H56)</f>
        <v>2</v>
      </c>
      <c r="AC87" s="79">
        <f ca="1">IF($K87="","",Rangliste!$J56)</f>
        <v>3</v>
      </c>
      <c r="AD87" s="191">
        <f ca="1">IF(Rangliste!$AY56="","",Rangliste!$AX56)</f>
        <v>3</v>
      </c>
      <c r="AE87" s="195"/>
      <c r="AF87" s="192"/>
      <c r="AG87" s="79">
        <f ca="1">IF($K87="","",Fest!$H56)</f>
        <v>2</v>
      </c>
      <c r="AH87" s="79">
        <f ca="1">IF($K87="","",Fest!$J56)</f>
        <v>1</v>
      </c>
      <c r="AI87" s="191">
        <f ca="1">IF(Fest!$AY56="","",Fest!$AX56)</f>
        <v>0</v>
      </c>
      <c r="AJ87" s="195"/>
      <c r="AK87" s="192"/>
      <c r="AL87" s="79">
        <f ca="1">IF($K87="","",Nobody!$H56)</f>
        <v>1</v>
      </c>
      <c r="AM87" s="79">
        <f ca="1">IF($K87="","",Nobody!$J56)</f>
        <v>3</v>
      </c>
      <c r="AN87" s="191">
        <f ca="1">IF(Nobody!$AY56="","",Nobody!$AX56)</f>
        <v>7</v>
      </c>
      <c r="AO87" s="195"/>
      <c r="AP87" s="192"/>
    </row>
    <row r="88" spans="1:42">
      <c r="A88" s="2">
        <f>Ergebnisse!A57</f>
        <v>61</v>
      </c>
      <c r="B88" s="6">
        <f>Ergebnisse!B57</f>
        <v>46199.625</v>
      </c>
      <c r="C88" s="4" t="str">
        <f>Ergebnisse!C57</f>
        <v>Boston</v>
      </c>
      <c r="D88" s="56" t="str">
        <f>Ergebnisse!D57</f>
        <v>Norwegen</v>
      </c>
      <c r="E88" s="40" t="str">
        <f>Ergebnisse!E57</f>
        <v>-</v>
      </c>
      <c r="F88" s="56" t="str">
        <f>Ergebnisse!F57</f>
        <v>Frankreich</v>
      </c>
      <c r="G88" s="53">
        <f>Ergebnisse!G57</f>
        <v>0</v>
      </c>
      <c r="H88" s="57">
        <f ca="1">Ergebnisse!H57</f>
        <v>3</v>
      </c>
      <c r="I88" s="80" t="str">
        <f>Ergebnisse!I57</f>
        <v>:</v>
      </c>
      <c r="J88" s="57">
        <f ca="1">Ergebnisse!J57</f>
        <v>6</v>
      </c>
      <c r="K88" s="81" t="str">
        <f ca="1">IF(Ergebnisse!K57="","",Ergebnisse!K57)</f>
        <v>ok</v>
      </c>
      <c r="L88" s="30"/>
      <c r="M88" s="79">
        <f ca="1">IF($K88="","",Bernd!$H57)</f>
        <v>2</v>
      </c>
      <c r="N88" s="79">
        <f ca="1">IF($K88="","",Bernd!$J57)</f>
        <v>1</v>
      </c>
      <c r="O88" s="191">
        <f ca="1">IF(Bernd!$AY57="","",Bernd!$AX57)</f>
        <v>0</v>
      </c>
      <c r="P88" s="195"/>
      <c r="Q88" s="30"/>
      <c r="R88" s="79">
        <f ca="1">IF($K88="","",Mitspieler!$H57)</f>
        <v>2</v>
      </c>
      <c r="S88" s="79">
        <f ca="1">IF($K88="","",Mitspieler!$J57)</f>
        <v>4</v>
      </c>
      <c r="T88" s="191">
        <f ca="1">IF(Mitspieler!$AY57="","",Mitspieler!$AX57)</f>
        <v>2</v>
      </c>
      <c r="U88" s="195"/>
      <c r="V88" s="30"/>
      <c r="W88" s="79">
        <f ca="1">IF($K88="","",Random!$H57)</f>
        <v>4</v>
      </c>
      <c r="X88" s="79">
        <f ca="1">IF($K88="","",Random!$J57)</f>
        <v>2</v>
      </c>
      <c r="Y88" s="191">
        <f ca="1">IF(Random!$AY57="","",Random!$AX57)</f>
        <v>0</v>
      </c>
      <c r="Z88" s="195"/>
      <c r="AA88" s="30"/>
      <c r="AB88" s="79">
        <f ca="1">IF($K88="","",Rangliste!$H57)</f>
        <v>3</v>
      </c>
      <c r="AC88" s="79">
        <f ca="1">IF($K88="","",Rangliste!$J57)</f>
        <v>5</v>
      </c>
      <c r="AD88" s="191">
        <f ca="1">IF(Rangliste!$AY57="","",Rangliste!$AX57)</f>
        <v>3</v>
      </c>
      <c r="AE88" s="195"/>
      <c r="AF88" s="30"/>
      <c r="AG88" s="79">
        <f ca="1">IF($K88="","",Fest!$H57)</f>
        <v>2</v>
      </c>
      <c r="AH88" s="79">
        <f ca="1">IF($K88="","",Fest!$J57)</f>
        <v>1</v>
      </c>
      <c r="AI88" s="191">
        <f ca="1">IF(Fest!$AY57="","",Fest!$AX57)</f>
        <v>0</v>
      </c>
      <c r="AJ88" s="195"/>
      <c r="AK88" s="30"/>
      <c r="AL88" s="79">
        <f ca="1">IF($K88="","",Nobody!$H57)</f>
        <v>3</v>
      </c>
      <c r="AM88" s="79">
        <f ca="1">IF($K88="","",Nobody!$J57)</f>
        <v>6</v>
      </c>
      <c r="AN88" s="191">
        <f ca="1">IF(Nobody!$AY57="","",Nobody!$AX57)</f>
        <v>7</v>
      </c>
      <c r="AO88" s="195"/>
      <c r="AP88" s="30"/>
    </row>
    <row r="89" spans="1:42">
      <c r="A89" s="2">
        <f>Ergebnisse!A58</f>
        <v>62</v>
      </c>
      <c r="B89" s="6">
        <f>Ergebnisse!B58</f>
        <v>46199.625</v>
      </c>
      <c r="C89" s="4" t="str">
        <f>Ergebnisse!C58</f>
        <v>Toronto</v>
      </c>
      <c r="D89" s="56" t="str">
        <f>Ergebnisse!D58</f>
        <v>Senegal</v>
      </c>
      <c r="E89" s="40" t="str">
        <f>Ergebnisse!E58</f>
        <v>-</v>
      </c>
      <c r="F89" s="56" t="str">
        <f>Ergebnisse!F58</f>
        <v>Irak</v>
      </c>
      <c r="G89" s="55">
        <f>Ergebnisse!G58</f>
        <v>0</v>
      </c>
      <c r="H89" s="57">
        <f ca="1">Ergebnisse!H58</f>
        <v>1</v>
      </c>
      <c r="I89" s="80" t="str">
        <f>Ergebnisse!I58</f>
        <v>:</v>
      </c>
      <c r="J89" s="57">
        <f ca="1">Ergebnisse!J58</f>
        <v>0</v>
      </c>
      <c r="K89" s="81" t="str">
        <f ca="1">IF(Ergebnisse!K58="","",Ergebnisse!K58)</f>
        <v>ok</v>
      </c>
      <c r="L89" s="30"/>
      <c r="M89" s="79">
        <f ca="1">IF($K89="","",Bernd!$H58)</f>
        <v>2</v>
      </c>
      <c r="N89" s="79">
        <f ca="1">IF($K89="","",Bernd!$J58)</f>
        <v>1</v>
      </c>
      <c r="O89" s="191">
        <f ca="1">IF(Bernd!$AY58="","",Bernd!$AX58)</f>
        <v>4</v>
      </c>
      <c r="P89" s="195"/>
      <c r="Q89" s="30"/>
      <c r="R89" s="79">
        <f ca="1">IF($K89="","",Mitspieler!$H58)</f>
        <v>2</v>
      </c>
      <c r="S89" s="79">
        <f ca="1">IF($K89="","",Mitspieler!$J58)</f>
        <v>1</v>
      </c>
      <c r="T89" s="191">
        <f ca="1">IF(Mitspieler!$AY58="","",Mitspieler!$AX58)</f>
        <v>4</v>
      </c>
      <c r="U89" s="195"/>
      <c r="V89" s="30"/>
      <c r="W89" s="79">
        <f ca="1">IF($K89="","",Random!$H58)</f>
        <v>5</v>
      </c>
      <c r="X89" s="79">
        <f ca="1">IF($K89="","",Random!$J58)</f>
        <v>2</v>
      </c>
      <c r="Y89" s="191">
        <f ca="1">IF(Random!$AY58="","",Random!$AX58)</f>
        <v>2</v>
      </c>
      <c r="Z89" s="195"/>
      <c r="AA89" s="30"/>
      <c r="AB89" s="79">
        <f ca="1">IF($K89="","",Rangliste!$H58)</f>
        <v>4</v>
      </c>
      <c r="AC89" s="79">
        <f ca="1">IF($K89="","",Rangliste!$J58)</f>
        <v>3</v>
      </c>
      <c r="AD89" s="191">
        <f ca="1">IF(Rangliste!$AY58="","",Rangliste!$AX58)</f>
        <v>4</v>
      </c>
      <c r="AE89" s="195"/>
      <c r="AF89" s="30"/>
      <c r="AG89" s="79">
        <f ca="1">IF($K89="","",Fest!$H58)</f>
        <v>2</v>
      </c>
      <c r="AH89" s="79">
        <f ca="1">IF($K89="","",Fest!$J58)</f>
        <v>1</v>
      </c>
      <c r="AI89" s="191">
        <f ca="1">IF(Fest!$AY58="","",Fest!$AX58)</f>
        <v>4</v>
      </c>
      <c r="AJ89" s="195"/>
      <c r="AK89" s="30"/>
      <c r="AL89" s="79">
        <f ca="1">IF($K89="","",Nobody!$H58)</f>
        <v>1</v>
      </c>
      <c r="AM89" s="79">
        <f ca="1">IF($K89="","",Nobody!$J58)</f>
        <v>0</v>
      </c>
      <c r="AN89" s="191">
        <f ca="1">IF(Nobody!$AY58="","",Nobody!$AX58)</f>
        <v>7</v>
      </c>
      <c r="AO89" s="195"/>
      <c r="AP89" s="30"/>
    </row>
    <row r="90" spans="1:42" s="55" customFormat="1">
      <c r="F90" s="238" t="str">
        <f ca="1">Ergebnisse!M59</f>
        <v>Irak</v>
      </c>
      <c r="G90" s="40"/>
      <c r="H90" s="40"/>
      <c r="I90" s="40"/>
      <c r="J90" s="40"/>
      <c r="K90" s="40"/>
      <c r="L90" s="40"/>
      <c r="M90" s="238" t="str">
        <f>Bernd!$M59</f>
        <v>Senegal</v>
      </c>
      <c r="N90" s="238"/>
      <c r="O90" s="191">
        <f ca="1">IF(Bernd!$AY59="","",Bernd!$AX59)</f>
        <v>2</v>
      </c>
      <c r="P90" s="198"/>
      <c r="Q90" s="197"/>
      <c r="R90" s="238" t="str">
        <f>Mitspieler!$M59</f>
        <v>Norwegen</v>
      </c>
      <c r="S90" s="238"/>
      <c r="T90" s="191">
        <f ca="1">IF(Mitspieler!$AY59="","",Mitspieler!$AX59)</f>
        <v>0</v>
      </c>
      <c r="U90" s="198"/>
      <c r="V90" s="197"/>
      <c r="W90" s="238" t="str">
        <f ca="1">Random!$M59</f>
        <v>Frankreich</v>
      </c>
      <c r="X90" s="238"/>
      <c r="Y90" s="191">
        <f ca="1">IF(Random!$AY59="","",Random!$AX59)</f>
        <v>2</v>
      </c>
      <c r="Z90" s="198"/>
      <c r="AA90" s="197"/>
      <c r="AB90" s="238" t="str">
        <f>Rangliste!$M59</f>
        <v>Norwegen</v>
      </c>
      <c r="AC90" s="238"/>
      <c r="AD90" s="191">
        <f ca="1">IF(Rangliste!$AY59="","",Rangliste!$AX59)</f>
        <v>0</v>
      </c>
      <c r="AE90" s="198"/>
      <c r="AF90" s="197"/>
      <c r="AG90" s="238" t="str">
        <f ca="1">Fest!$M59</f>
        <v>Senegal</v>
      </c>
      <c r="AH90" s="238"/>
      <c r="AI90" s="191">
        <f ca="1">IF(Fest!$AY59="","",Fest!$AX59)</f>
        <v>2</v>
      </c>
      <c r="AJ90" s="198"/>
      <c r="AK90" s="197"/>
      <c r="AL90" s="238" t="str">
        <f ca="1">Nobody!$M59</f>
        <v>Irak</v>
      </c>
      <c r="AM90" s="238"/>
      <c r="AN90" s="191">
        <f ca="1">IF(Nobody!$AY59="","",Nobody!$AX59)</f>
        <v>2</v>
      </c>
      <c r="AO90" s="198"/>
      <c r="AP90" s="197"/>
    </row>
    <row r="91" spans="1:42" ht="6" customHeight="1">
      <c r="D91" s="55"/>
      <c r="E91" s="58"/>
      <c r="F91" s="59"/>
      <c r="G91" s="59"/>
      <c r="H91" s="55"/>
      <c r="I91" s="55"/>
      <c r="J91" s="55"/>
      <c r="L91" s="30"/>
      <c r="M91" s="65"/>
      <c r="N91" s="65"/>
      <c r="O91" s="191"/>
      <c r="P91" s="195"/>
      <c r="Q91" s="30"/>
      <c r="R91" s="65"/>
      <c r="S91" s="65"/>
      <c r="T91" s="191"/>
      <c r="U91" s="195"/>
      <c r="V91" s="30"/>
      <c r="W91" s="65"/>
      <c r="X91" s="65"/>
      <c r="Y91" s="191"/>
      <c r="Z91" s="195"/>
      <c r="AA91" s="30"/>
      <c r="AB91" s="65"/>
      <c r="AC91" s="65"/>
      <c r="AD91" s="191"/>
      <c r="AE91" s="195"/>
      <c r="AF91" s="30"/>
      <c r="AG91" s="65"/>
      <c r="AH91" s="65"/>
      <c r="AI91" s="191"/>
      <c r="AJ91" s="195"/>
      <c r="AK91" s="30"/>
      <c r="AL91" s="65"/>
      <c r="AM91" s="65"/>
      <c r="AN91" s="191"/>
      <c r="AO91" s="195"/>
      <c r="AP91" s="30"/>
    </row>
    <row r="92" spans="1:42" s="10" customFormat="1">
      <c r="B92" s="226" t="str">
        <f>Ergebnisse!BB31</f>
        <v>Vorrunde</v>
      </c>
      <c r="C92" s="227" t="str">
        <f>Ergebnisse!BC31</f>
        <v>Gruppe J</v>
      </c>
      <c r="D92" s="53"/>
      <c r="E92" s="54"/>
      <c r="F92" s="227" t="str">
        <f ca="1">Ergebnisse!BM37</f>
        <v>Argentinien</v>
      </c>
      <c r="G92" s="56">
        <f>Ergebnisse!BG31</f>
        <v>0</v>
      </c>
      <c r="H92" s="40"/>
      <c r="I92" s="40"/>
      <c r="J92" s="40"/>
      <c r="K92" s="273"/>
      <c r="L92" s="200"/>
      <c r="M92" s="227" t="str">
        <f>Bernd!$BM37</f>
        <v>Argentinien</v>
      </c>
      <c r="N92" s="227"/>
      <c r="O92" s="191">
        <f ca="1">IF(Bernd!$CY31="","",Bernd!$CX31)</f>
        <v>2</v>
      </c>
      <c r="P92" s="195"/>
      <c r="Q92" s="190"/>
      <c r="R92" s="227" t="str">
        <f>Mitspieler!$BM37</f>
        <v>Argentinien</v>
      </c>
      <c r="S92" s="227"/>
      <c r="T92" s="191">
        <f ca="1">IF(Mitspieler!$CY31="","",Mitspieler!$CX31)</f>
        <v>2</v>
      </c>
      <c r="U92" s="195"/>
      <c r="V92" s="190"/>
      <c r="W92" s="227" t="str">
        <f ca="1">Random!$BM37</f>
        <v>Argentinien</v>
      </c>
      <c r="X92" s="227"/>
      <c r="Y92" s="191">
        <f ca="1">IF(Random!$CY31="","",Random!$CX31)</f>
        <v>2</v>
      </c>
      <c r="Z92" s="195"/>
      <c r="AA92" s="190"/>
      <c r="AB92" s="227" t="str">
        <f>Rangliste!$BM37</f>
        <v>Argentinien</v>
      </c>
      <c r="AC92" s="227"/>
      <c r="AD92" s="191">
        <f ca="1">IF(Rangliste!$CY31="","",Rangliste!$CX31)</f>
        <v>2</v>
      </c>
      <c r="AE92" s="195"/>
      <c r="AF92" s="190"/>
      <c r="AG92" s="227" t="str">
        <f ca="1">Fest!$BM37</f>
        <v>Jordanien</v>
      </c>
      <c r="AH92" s="227"/>
      <c r="AI92" s="191">
        <f ca="1">IF(Fest!$CY31="","",Fest!$CX31)</f>
        <v>0</v>
      </c>
      <c r="AJ92" s="195"/>
      <c r="AK92" s="190"/>
      <c r="AL92" s="227" t="str">
        <f ca="1">Nobody!$BM37</f>
        <v>Argentinien</v>
      </c>
      <c r="AM92" s="227"/>
      <c r="AN92" s="191">
        <f ca="1">IF(Nobody!$CY31="","",Nobody!$CX31)</f>
        <v>2</v>
      </c>
      <c r="AO92" s="195"/>
      <c r="AP92" s="190"/>
    </row>
    <row r="93" spans="1:42">
      <c r="B93" s="3" t="str">
        <f>Ergebnisse!BB32</f>
        <v>Datum/Zeit</v>
      </c>
      <c r="C93" s="3" t="str">
        <f>Ergebnisse!BC32</f>
        <v>Spielort</v>
      </c>
      <c r="D93" s="55"/>
      <c r="E93" s="55"/>
      <c r="F93" s="227" t="str">
        <f ca="1">Ergebnisse!BM38</f>
        <v>Algerien</v>
      </c>
      <c r="G93" s="63">
        <f>Ergebnisse!BG32</f>
        <v>0</v>
      </c>
      <c r="H93" s="40"/>
      <c r="I93" s="40"/>
      <c r="J93" s="40"/>
      <c r="K93" s="273"/>
      <c r="L93" s="200"/>
      <c r="M93" s="227" t="str">
        <f>Bernd!$BM38</f>
        <v>Algerien</v>
      </c>
      <c r="N93" s="227"/>
      <c r="O93" s="191">
        <f ca="1">IF(Bernd!$CY32="","",Bernd!$CX32)</f>
        <v>2</v>
      </c>
      <c r="P93" s="195"/>
      <c r="Q93" s="192"/>
      <c r="R93" s="227" t="str">
        <f>Mitspieler!$BM38</f>
        <v>Algerien</v>
      </c>
      <c r="S93" s="227"/>
      <c r="T93" s="191">
        <f ca="1">IF(Mitspieler!$CY32="","",Mitspieler!$CX32)</f>
        <v>2</v>
      </c>
      <c r="U93" s="195"/>
      <c r="V93" s="192"/>
      <c r="W93" s="227" t="str">
        <f ca="1">Random!$BM38</f>
        <v>Jordanien</v>
      </c>
      <c r="X93" s="227"/>
      <c r="Y93" s="191">
        <f ca="1">IF(Random!$CY32="","",Random!$CX32)</f>
        <v>0</v>
      </c>
      <c r="Z93" s="195"/>
      <c r="AA93" s="192"/>
      <c r="AB93" s="227" t="str">
        <f>Rangliste!$BM38</f>
        <v>Österreich</v>
      </c>
      <c r="AC93" s="227"/>
      <c r="AD93" s="191">
        <f ca="1">IF(Rangliste!$CY32="","",Rangliste!$CX32)</f>
        <v>0</v>
      </c>
      <c r="AE93" s="195"/>
      <c r="AF93" s="192"/>
      <c r="AG93" s="227" t="str">
        <f ca="1">Fest!$BM38</f>
        <v>Argentinien</v>
      </c>
      <c r="AH93" s="227"/>
      <c r="AI93" s="191">
        <f ca="1">IF(Fest!$CY32="","",Fest!$CX32)</f>
        <v>2</v>
      </c>
      <c r="AJ93" s="195"/>
      <c r="AK93" s="192"/>
      <c r="AL93" s="227" t="str">
        <f ca="1">Nobody!$BM38</f>
        <v>Algerien</v>
      </c>
      <c r="AM93" s="227"/>
      <c r="AN93" s="191">
        <f ca="1">IF(Nobody!$CY32="","",Nobody!$CX32)</f>
        <v>2</v>
      </c>
      <c r="AO93" s="195"/>
      <c r="AP93" s="192"/>
    </row>
    <row r="94" spans="1:42">
      <c r="A94" s="2">
        <f>Ergebnisse!BA33</f>
        <v>17</v>
      </c>
      <c r="B94" s="6">
        <f>Ergebnisse!BB33</f>
        <v>46189.625</v>
      </c>
      <c r="C94" s="4" t="str">
        <f>Ergebnisse!BC33</f>
        <v>New York</v>
      </c>
      <c r="D94" s="56" t="str">
        <f>Ergebnisse!BD33</f>
        <v>Argentinien</v>
      </c>
      <c r="E94" s="40" t="str">
        <f>Ergebnisse!BE33</f>
        <v>-</v>
      </c>
      <c r="F94" s="56" t="str">
        <f>Ergebnisse!BF33</f>
        <v>Algerien</v>
      </c>
      <c r="G94" s="53">
        <f>Ergebnisse!BG33</f>
        <v>0</v>
      </c>
      <c r="H94" s="57">
        <f ca="1">Ergebnisse!BH33</f>
        <v>4</v>
      </c>
      <c r="I94" s="80" t="str">
        <f>Ergebnisse!BI33</f>
        <v>:</v>
      </c>
      <c r="J94" s="57">
        <f ca="1">Ergebnisse!BJ33</f>
        <v>4</v>
      </c>
      <c r="K94" s="81" t="str">
        <f ca="1">IF(Ergebnisse!BK33="","",Ergebnisse!BK33)</f>
        <v>ok</v>
      </c>
      <c r="L94" s="192"/>
      <c r="M94" s="79">
        <f ca="1">IF($K94="","",Bernd!$BH33)</f>
        <v>2</v>
      </c>
      <c r="N94" s="79">
        <f ca="1">IF($K94="","",Bernd!$BJ33)</f>
        <v>0</v>
      </c>
      <c r="O94" s="191">
        <f ca="1">IF(Bernd!$CY33="","",Bernd!$CX33)</f>
        <v>0</v>
      </c>
      <c r="P94" s="195"/>
      <c r="Q94" s="192"/>
      <c r="R94" s="79">
        <f ca="1">IF($K94="","",Mitspieler!$BH33)</f>
        <v>5</v>
      </c>
      <c r="S94" s="79">
        <f ca="1">IF($K94="","",Mitspieler!$BJ33)</f>
        <v>4</v>
      </c>
      <c r="T94" s="191">
        <f ca="1">IF(Mitspieler!$CY33="","",Mitspieler!$CX33)</f>
        <v>1</v>
      </c>
      <c r="U94" s="195"/>
      <c r="V94" s="192"/>
      <c r="W94" s="79">
        <f ca="1">IF($K94="","",Random!$BH33)</f>
        <v>2</v>
      </c>
      <c r="X94" s="79">
        <f ca="1">IF($K94="","",Random!$BJ33)</f>
        <v>1</v>
      </c>
      <c r="Y94" s="191">
        <f ca="1">IF(Random!$CY33="","",Random!$CX33)</f>
        <v>0</v>
      </c>
      <c r="Z94" s="195"/>
      <c r="AA94" s="192"/>
      <c r="AB94" s="79">
        <f ca="1">IF($K94="","",Rangliste!$BH33)</f>
        <v>5</v>
      </c>
      <c r="AC94" s="79">
        <f ca="1">IF($K94="","",Rangliste!$BJ33)</f>
        <v>5</v>
      </c>
      <c r="AD94" s="191">
        <f ca="1">IF(Rangliste!$CY33="","",Rangliste!$CX33)</f>
        <v>4</v>
      </c>
      <c r="AE94" s="195"/>
      <c r="AF94" s="192"/>
      <c r="AG94" s="79">
        <f ca="1">IF($K94="","",Fest!$BH33)</f>
        <v>2</v>
      </c>
      <c r="AH94" s="79">
        <f ca="1">IF($K94="","",Fest!$BJ33)</f>
        <v>1</v>
      </c>
      <c r="AI94" s="191">
        <f ca="1">IF(Fest!$CY33="","",Fest!$CX33)</f>
        <v>0</v>
      </c>
      <c r="AJ94" s="195"/>
      <c r="AK94" s="192"/>
      <c r="AL94" s="79">
        <f ca="1">IF($K94="","",Nobody!$BH33)</f>
        <v>4</v>
      </c>
      <c r="AM94" s="79">
        <f ca="1">IF($K94="","",Nobody!$BJ33)</f>
        <v>4</v>
      </c>
      <c r="AN94" s="191">
        <f ca="1">IF(Nobody!$CY33="","",Nobody!$CX33)</f>
        <v>7</v>
      </c>
      <c r="AO94" s="195"/>
      <c r="AP94" s="192"/>
    </row>
    <row r="95" spans="1:42">
      <c r="A95" s="2">
        <f>Ergebnisse!BA34</f>
        <v>18</v>
      </c>
      <c r="B95" s="6">
        <f>Ergebnisse!BB34</f>
        <v>46189.75</v>
      </c>
      <c r="C95" s="4" t="str">
        <f>Ergebnisse!BC34</f>
        <v>Boston</v>
      </c>
      <c r="D95" s="56" t="str">
        <f>Ergebnisse!BD34</f>
        <v>Österreich</v>
      </c>
      <c r="E95" s="40" t="str">
        <f>Ergebnisse!BE34</f>
        <v>-</v>
      </c>
      <c r="F95" s="56" t="str">
        <f>Ergebnisse!BF34</f>
        <v>Jordanien</v>
      </c>
      <c r="G95" s="53">
        <f>Ergebnisse!BG34</f>
        <v>0</v>
      </c>
      <c r="H95" s="57">
        <f ca="1">Ergebnisse!BH34</f>
        <v>0</v>
      </c>
      <c r="I95" s="80" t="str">
        <f>Ergebnisse!BI34</f>
        <v>:</v>
      </c>
      <c r="J95" s="57">
        <f ca="1">Ergebnisse!BJ34</f>
        <v>3</v>
      </c>
      <c r="K95" s="81" t="str">
        <f ca="1">IF(Ergebnisse!BK34="","",Ergebnisse!BK34)</f>
        <v>ok</v>
      </c>
      <c r="L95" s="192"/>
      <c r="M95" s="79">
        <f ca="1">IF($K95="","",Bernd!$BH34)</f>
        <v>1</v>
      </c>
      <c r="N95" s="79">
        <f ca="1">IF($K95="","",Bernd!$BJ34)</f>
        <v>1</v>
      </c>
      <c r="O95" s="191">
        <f ca="1">IF(Bernd!$CY34="","",Bernd!$CX34)</f>
        <v>0</v>
      </c>
      <c r="P95" s="195"/>
      <c r="Q95" s="192"/>
      <c r="R95" s="79">
        <f ca="1">IF($K95="","",Mitspieler!$BH34)</f>
        <v>2</v>
      </c>
      <c r="S95" s="79">
        <f ca="1">IF($K95="","",Mitspieler!$BJ34)</f>
        <v>1</v>
      </c>
      <c r="T95" s="191">
        <f ca="1">IF(Mitspieler!$CY34="","",Mitspieler!$CX34)</f>
        <v>0</v>
      </c>
      <c r="U95" s="195"/>
      <c r="V95" s="192"/>
      <c r="W95" s="79">
        <f ca="1">IF($K95="","",Random!$BH34)</f>
        <v>0</v>
      </c>
      <c r="X95" s="79">
        <f ca="1">IF($K95="","",Random!$BJ34)</f>
        <v>1</v>
      </c>
      <c r="Y95" s="191">
        <f ca="1">IF(Random!$CY34="","",Random!$CX34)</f>
        <v>3</v>
      </c>
      <c r="Z95" s="195"/>
      <c r="AA95" s="192"/>
      <c r="AB95" s="79">
        <f ca="1">IF($K95="","",Rangliste!$BH34)</f>
        <v>3</v>
      </c>
      <c r="AC95" s="79">
        <f ca="1">IF($K95="","",Rangliste!$BJ34)</f>
        <v>2</v>
      </c>
      <c r="AD95" s="191">
        <f ca="1">IF(Rangliste!$CY34="","",Rangliste!$CX34)</f>
        <v>0</v>
      </c>
      <c r="AE95" s="195"/>
      <c r="AF95" s="192"/>
      <c r="AG95" s="79">
        <f ca="1">IF($K95="","",Fest!$BH34)</f>
        <v>2</v>
      </c>
      <c r="AH95" s="79">
        <f ca="1">IF($K95="","",Fest!$BJ34)</f>
        <v>1</v>
      </c>
      <c r="AI95" s="191">
        <f ca="1">IF(Fest!$CY34="","",Fest!$CX34)</f>
        <v>0</v>
      </c>
      <c r="AJ95" s="195"/>
      <c r="AK95" s="192"/>
      <c r="AL95" s="79">
        <f ca="1">IF($K95="","",Nobody!$BH34)</f>
        <v>0</v>
      </c>
      <c r="AM95" s="79">
        <f ca="1">IF($K95="","",Nobody!$BJ34)</f>
        <v>3</v>
      </c>
      <c r="AN95" s="191">
        <f ca="1">IF(Nobody!$CY34="","",Nobody!$CX34)</f>
        <v>7</v>
      </c>
      <c r="AO95" s="195"/>
      <c r="AP95" s="192"/>
    </row>
    <row r="96" spans="1:42">
      <c r="A96" s="2">
        <f>Ergebnisse!BA35</f>
        <v>43</v>
      </c>
      <c r="B96" s="6">
        <f>Ergebnisse!BB35</f>
        <v>46195.5</v>
      </c>
      <c r="C96" s="4" t="str">
        <f>Ergebnisse!BC35</f>
        <v>Dallas</v>
      </c>
      <c r="D96" s="56" t="str">
        <f>Ergebnisse!BD35</f>
        <v>Argentinien</v>
      </c>
      <c r="E96" s="40" t="str">
        <f>Ergebnisse!BE35</f>
        <v>-</v>
      </c>
      <c r="F96" s="56" t="str">
        <f>Ergebnisse!BF35</f>
        <v>Österreich</v>
      </c>
      <c r="G96" s="53">
        <f>Ergebnisse!BG35</f>
        <v>0</v>
      </c>
      <c r="H96" s="57">
        <f ca="1">Ergebnisse!BH35</f>
        <v>4</v>
      </c>
      <c r="I96" s="80" t="str">
        <f>Ergebnisse!BI35</f>
        <v>:</v>
      </c>
      <c r="J96" s="57">
        <f ca="1">Ergebnisse!BJ35</f>
        <v>3</v>
      </c>
      <c r="K96" s="81" t="str">
        <f ca="1">IF(Ergebnisse!BK35="","",Ergebnisse!BK35)</f>
        <v>ok</v>
      </c>
      <c r="L96" s="192"/>
      <c r="M96" s="79">
        <f ca="1">IF($K96="","",Bernd!$BH35)</f>
        <v>3</v>
      </c>
      <c r="N96" s="79">
        <f ca="1">IF($K96="","",Bernd!$BJ35)</f>
        <v>1</v>
      </c>
      <c r="O96" s="191">
        <f ca="1">IF(Bernd!$CY35="","",Bernd!$CX35)</f>
        <v>2</v>
      </c>
      <c r="P96" s="195"/>
      <c r="Q96" s="192"/>
      <c r="R96" s="79">
        <f ca="1">IF($K96="","",Mitspieler!$BH35)</f>
        <v>3</v>
      </c>
      <c r="S96" s="79">
        <f ca="1">IF($K96="","",Mitspieler!$BJ35)</f>
        <v>1</v>
      </c>
      <c r="T96" s="191">
        <f ca="1">IF(Mitspieler!$CY35="","",Mitspieler!$CX35)</f>
        <v>2</v>
      </c>
      <c r="U96" s="195"/>
      <c r="V96" s="192"/>
      <c r="W96" s="79">
        <f ca="1">IF($K96="","",Random!$BH35)</f>
        <v>3</v>
      </c>
      <c r="X96" s="79">
        <f ca="1">IF($K96="","",Random!$BJ35)</f>
        <v>2</v>
      </c>
      <c r="Y96" s="191">
        <f ca="1">IF(Random!$CY35="","",Random!$CX35)</f>
        <v>4</v>
      </c>
      <c r="Z96" s="195"/>
      <c r="AA96" s="192"/>
      <c r="AB96" s="79">
        <f ca="1">IF($K96="","",Rangliste!$BH35)</f>
        <v>5</v>
      </c>
      <c r="AC96" s="79">
        <f ca="1">IF($K96="","",Rangliste!$BJ35)</f>
        <v>4</v>
      </c>
      <c r="AD96" s="191">
        <f ca="1">IF(Rangliste!$CY35="","",Rangliste!$CX35)</f>
        <v>4</v>
      </c>
      <c r="AE96" s="195"/>
      <c r="AF96" s="192"/>
      <c r="AG96" s="79">
        <f ca="1">IF($K96="","",Fest!$BH35)</f>
        <v>2</v>
      </c>
      <c r="AH96" s="79">
        <f ca="1">IF($K96="","",Fest!$BJ35)</f>
        <v>1</v>
      </c>
      <c r="AI96" s="191">
        <f ca="1">IF(Fest!$CY35="","",Fest!$CX35)</f>
        <v>4</v>
      </c>
      <c r="AJ96" s="195"/>
      <c r="AK96" s="192"/>
      <c r="AL96" s="79">
        <f ca="1">IF($K96="","",Nobody!$BH35)</f>
        <v>4</v>
      </c>
      <c r="AM96" s="79">
        <f ca="1">IF($K96="","",Nobody!$BJ35)</f>
        <v>3</v>
      </c>
      <c r="AN96" s="191">
        <f ca="1">IF(Nobody!$CY35="","",Nobody!$CX35)</f>
        <v>7</v>
      </c>
      <c r="AO96" s="195"/>
      <c r="AP96" s="192"/>
    </row>
    <row r="97" spans="1:42">
      <c r="A97" s="2">
        <f>Ergebnisse!BA36</f>
        <v>44</v>
      </c>
      <c r="B97" s="6">
        <f>Ergebnisse!BB36</f>
        <v>46195.833333333336</v>
      </c>
      <c r="C97" s="4" t="str">
        <f>Ergebnisse!BC36</f>
        <v>San Francisco</v>
      </c>
      <c r="D97" s="56" t="str">
        <f>Ergebnisse!BD36</f>
        <v>Jordanien</v>
      </c>
      <c r="E97" s="40" t="str">
        <f>Ergebnisse!BE36</f>
        <v>-</v>
      </c>
      <c r="F97" s="56" t="str">
        <f>Ergebnisse!BF36</f>
        <v>Algerien</v>
      </c>
      <c r="G97" s="55">
        <f>Ergebnisse!BG36</f>
        <v>0</v>
      </c>
      <c r="H97" s="57">
        <f ca="1">Ergebnisse!BH36</f>
        <v>0</v>
      </c>
      <c r="I97" s="80" t="str">
        <f>Ergebnisse!BI36</f>
        <v>:</v>
      </c>
      <c r="J97" s="57">
        <f ca="1">Ergebnisse!BJ36</f>
        <v>4</v>
      </c>
      <c r="K97" s="81" t="str">
        <f ca="1">IF(Ergebnisse!BK36="","",Ergebnisse!BK36)</f>
        <v>ok</v>
      </c>
      <c r="L97" s="192"/>
      <c r="M97" s="79">
        <f ca="1">IF($K97="","",Bernd!$BH36)</f>
        <v>0</v>
      </c>
      <c r="N97" s="79">
        <f ca="1">IF($K97="","",Bernd!$BJ36)</f>
        <v>1</v>
      </c>
      <c r="O97" s="191">
        <f ca="1">IF(Bernd!$CY36="","",Bernd!$CX36)</f>
        <v>3</v>
      </c>
      <c r="P97" s="195"/>
      <c r="Q97" s="192"/>
      <c r="R97" s="79">
        <f ca="1">IF($K97="","",Mitspieler!$BH36)</f>
        <v>4</v>
      </c>
      <c r="S97" s="79">
        <f ca="1">IF($K97="","",Mitspieler!$BJ36)</f>
        <v>5</v>
      </c>
      <c r="T97" s="191">
        <f ca="1">IF(Mitspieler!$CY36="","",Mitspieler!$CX36)</f>
        <v>2</v>
      </c>
      <c r="U97" s="195"/>
      <c r="V97" s="192"/>
      <c r="W97" s="79">
        <f ca="1">IF($K97="","",Random!$BH36)</f>
        <v>1</v>
      </c>
      <c r="X97" s="79">
        <f ca="1">IF($K97="","",Random!$BJ36)</f>
        <v>1</v>
      </c>
      <c r="Y97" s="191">
        <f ca="1">IF(Random!$CY36="","",Random!$CX36)</f>
        <v>0</v>
      </c>
      <c r="Z97" s="195"/>
      <c r="AA97" s="192"/>
      <c r="AB97" s="79">
        <f ca="1">IF($K97="","",Rangliste!$BH36)</f>
        <v>3</v>
      </c>
      <c r="AC97" s="79">
        <f ca="1">IF($K97="","",Rangliste!$BJ36)</f>
        <v>3</v>
      </c>
      <c r="AD97" s="191">
        <f ca="1">IF(Rangliste!$CY36="","",Rangliste!$CX36)</f>
        <v>0</v>
      </c>
      <c r="AE97" s="195"/>
      <c r="AF97" s="192"/>
      <c r="AG97" s="79">
        <f ca="1">IF($K97="","",Fest!$BH36)</f>
        <v>2</v>
      </c>
      <c r="AH97" s="79">
        <f ca="1">IF($K97="","",Fest!$BJ36)</f>
        <v>1</v>
      </c>
      <c r="AI97" s="191">
        <f ca="1">IF(Fest!$CY36="","",Fest!$CX36)</f>
        <v>0</v>
      </c>
      <c r="AJ97" s="195"/>
      <c r="AK97" s="192"/>
      <c r="AL97" s="79">
        <f ca="1">IF($K97="","",Nobody!$BH36)</f>
        <v>0</v>
      </c>
      <c r="AM97" s="79">
        <f ca="1">IF($K97="","",Nobody!$BJ36)</f>
        <v>4</v>
      </c>
      <c r="AN97" s="191">
        <f ca="1">IF(Nobody!$CY36="","",Nobody!$CX36)</f>
        <v>7</v>
      </c>
      <c r="AO97" s="195"/>
      <c r="AP97" s="192"/>
    </row>
    <row r="98" spans="1:42">
      <c r="A98" s="2">
        <f>Ergebnisse!BA37</f>
        <v>70</v>
      </c>
      <c r="B98" s="6">
        <f>Ergebnisse!BB37</f>
        <v>46200.875</v>
      </c>
      <c r="C98" s="4" t="str">
        <f>Ergebnisse!BC37</f>
        <v>Dallas</v>
      </c>
      <c r="D98" s="56" t="str">
        <f>Ergebnisse!BD37</f>
        <v>Jordanien</v>
      </c>
      <c r="E98" s="40" t="str">
        <f>Ergebnisse!BE37</f>
        <v>-</v>
      </c>
      <c r="F98" s="56" t="str">
        <f>Ergebnisse!BF37</f>
        <v>Argentinien</v>
      </c>
      <c r="G98" s="53">
        <f>Ergebnisse!BG37</f>
        <v>0</v>
      </c>
      <c r="H98" s="57">
        <f ca="1">Ergebnisse!BH37</f>
        <v>1</v>
      </c>
      <c r="I98" s="80" t="str">
        <f>Ergebnisse!BI37</f>
        <v>:</v>
      </c>
      <c r="J98" s="57">
        <f ca="1">Ergebnisse!BJ37</f>
        <v>3</v>
      </c>
      <c r="K98" s="81" t="str">
        <f ca="1">IF(Ergebnisse!BK37="","",Ergebnisse!BK37)</f>
        <v>ok</v>
      </c>
      <c r="L98" s="30"/>
      <c r="M98" s="79">
        <f ca="1">IF($K98="","",Bernd!$BH37)</f>
        <v>0</v>
      </c>
      <c r="N98" s="79">
        <f ca="1">IF($K98="","",Bernd!$BJ37)</f>
        <v>4</v>
      </c>
      <c r="O98" s="191">
        <f ca="1">IF(Bernd!$CY37="","",Bernd!$CX37)</f>
        <v>2</v>
      </c>
      <c r="P98" s="195"/>
      <c r="Q98" s="30"/>
      <c r="R98" s="79">
        <f ca="1">IF($K98="","",Mitspieler!$BH37)</f>
        <v>1</v>
      </c>
      <c r="S98" s="79">
        <f ca="1">IF($K98="","",Mitspieler!$BJ37)</f>
        <v>4</v>
      </c>
      <c r="T98" s="191">
        <f ca="1">IF(Mitspieler!$CY37="","",Mitspieler!$CX37)</f>
        <v>3</v>
      </c>
      <c r="U98" s="195"/>
      <c r="V98" s="30"/>
      <c r="W98" s="79">
        <f ca="1">IF($K98="","",Random!$BH37)</f>
        <v>0</v>
      </c>
      <c r="X98" s="79">
        <f ca="1">IF($K98="","",Random!$BJ37)</f>
        <v>4</v>
      </c>
      <c r="Y98" s="191">
        <f ca="1">IF(Random!$CY37="","",Random!$CX37)</f>
        <v>2</v>
      </c>
      <c r="Z98" s="195"/>
      <c r="AA98" s="30"/>
      <c r="AB98" s="79">
        <f ca="1">IF($K98="","",Rangliste!$BH37)</f>
        <v>2</v>
      </c>
      <c r="AC98" s="79">
        <f ca="1">IF($K98="","",Rangliste!$BJ37)</f>
        <v>5</v>
      </c>
      <c r="AD98" s="191">
        <f ca="1">IF(Rangliste!$CY37="","",Rangliste!$CX37)</f>
        <v>2</v>
      </c>
      <c r="AE98" s="195"/>
      <c r="AF98" s="30"/>
      <c r="AG98" s="79">
        <f ca="1">IF($K98="","",Fest!$BH37)</f>
        <v>2</v>
      </c>
      <c r="AH98" s="79">
        <f ca="1">IF($K98="","",Fest!$BJ37)</f>
        <v>1</v>
      </c>
      <c r="AI98" s="191">
        <f ca="1">IF(Fest!$CY37="","",Fest!$CX37)</f>
        <v>0</v>
      </c>
      <c r="AJ98" s="195"/>
      <c r="AK98" s="30"/>
      <c r="AL98" s="79">
        <f ca="1">IF($K98="","",Nobody!$BH37)</f>
        <v>1</v>
      </c>
      <c r="AM98" s="79">
        <f ca="1">IF($K98="","",Nobody!$BJ37)</f>
        <v>3</v>
      </c>
      <c r="AN98" s="191">
        <f ca="1">IF(Nobody!$CY37="","",Nobody!$CX37)</f>
        <v>7</v>
      </c>
      <c r="AO98" s="195"/>
      <c r="AP98" s="30"/>
    </row>
    <row r="99" spans="1:42">
      <c r="A99" s="2">
        <f>Ergebnisse!BA38</f>
        <v>69</v>
      </c>
      <c r="B99" s="6">
        <f>Ergebnisse!BB38</f>
        <v>46200.875</v>
      </c>
      <c r="C99" s="4" t="str">
        <f>Ergebnisse!BC38</f>
        <v>Kansas City</v>
      </c>
      <c r="D99" s="56" t="str">
        <f>Ergebnisse!BD38</f>
        <v>Algerien</v>
      </c>
      <c r="E99" s="40" t="str">
        <f>Ergebnisse!BE38</f>
        <v>-</v>
      </c>
      <c r="F99" s="56" t="str">
        <f>Ergebnisse!BF38</f>
        <v>Österreich</v>
      </c>
      <c r="G99" s="55">
        <f>Ergebnisse!BG38</f>
        <v>0</v>
      </c>
      <c r="H99" s="57">
        <f ca="1">Ergebnisse!BH38</f>
        <v>2</v>
      </c>
      <c r="I99" s="80" t="str">
        <f>Ergebnisse!BI38</f>
        <v>:</v>
      </c>
      <c r="J99" s="57">
        <f ca="1">Ergebnisse!BJ38</f>
        <v>4</v>
      </c>
      <c r="K99" s="81" t="str">
        <f ca="1">IF(Ergebnisse!BK38="","",Ergebnisse!BK38)</f>
        <v>ok</v>
      </c>
      <c r="L99" s="30"/>
      <c r="M99" s="79">
        <f ca="1">IF($K99="","",Bernd!$BH38)</f>
        <v>2</v>
      </c>
      <c r="N99" s="79">
        <f ca="1">IF($K99="","",Bernd!$BJ38)</f>
        <v>1</v>
      </c>
      <c r="O99" s="191">
        <f ca="1">IF(Bernd!$CY38="","",Bernd!$CX38)</f>
        <v>1</v>
      </c>
      <c r="P99" s="195"/>
      <c r="Q99" s="30"/>
      <c r="R99" s="79">
        <f ca="1">IF($K99="","",Mitspieler!$BH38)</f>
        <v>1</v>
      </c>
      <c r="S99" s="79">
        <f ca="1">IF($K99="","",Mitspieler!$BJ38)</f>
        <v>0</v>
      </c>
      <c r="T99" s="191">
        <f ca="1">IF(Mitspieler!$CY38="","",Mitspieler!$CX38)</f>
        <v>0</v>
      </c>
      <c r="U99" s="195"/>
      <c r="V99" s="30"/>
      <c r="W99" s="79">
        <f ca="1">IF($K99="","",Random!$BH38)</f>
        <v>1</v>
      </c>
      <c r="X99" s="79">
        <f ca="1">IF($K99="","",Random!$BJ38)</f>
        <v>3</v>
      </c>
      <c r="Y99" s="191">
        <f ca="1">IF(Random!$CY38="","",Random!$CX38)</f>
        <v>4</v>
      </c>
      <c r="Z99" s="195"/>
      <c r="AA99" s="30"/>
      <c r="AB99" s="79">
        <f ca="1">IF($K99="","",Rangliste!$BH38)</f>
        <v>0</v>
      </c>
      <c r="AC99" s="79">
        <f ca="1">IF($K99="","",Rangliste!$BJ38)</f>
        <v>1</v>
      </c>
      <c r="AD99" s="191">
        <f ca="1">IF(Rangliste!$CY38="","",Rangliste!$CX38)</f>
        <v>2</v>
      </c>
      <c r="AE99" s="195"/>
      <c r="AF99" s="30"/>
      <c r="AG99" s="79">
        <f ca="1">IF($K99="","",Fest!$BH38)</f>
        <v>2</v>
      </c>
      <c r="AH99" s="79">
        <f ca="1">IF($K99="","",Fest!$BJ38)</f>
        <v>1</v>
      </c>
      <c r="AI99" s="191">
        <f ca="1">IF(Fest!$CY38="","",Fest!$CX38)</f>
        <v>1</v>
      </c>
      <c r="AJ99" s="195"/>
      <c r="AK99" s="30"/>
      <c r="AL99" s="79">
        <f ca="1">IF($K99="","",Nobody!$BH38)</f>
        <v>2</v>
      </c>
      <c r="AM99" s="79">
        <f ca="1">IF($K99="","",Nobody!$BJ38)</f>
        <v>4</v>
      </c>
      <c r="AN99" s="191">
        <f ca="1">IF(Nobody!$CY38="","",Nobody!$CX38)</f>
        <v>7</v>
      </c>
      <c r="AO99" s="195"/>
      <c r="AP99" s="30"/>
    </row>
    <row r="100" spans="1:42" s="55" customFormat="1">
      <c r="F100" s="227" t="str">
        <f ca="1">Ergebnisse!BM39</f>
        <v>Jordanien</v>
      </c>
      <c r="G100" s="56">
        <f>Ergebnisse!BG39</f>
        <v>0</v>
      </c>
      <c r="H100" s="40"/>
      <c r="I100" s="40">
        <f>Ergebnisse!BI39</f>
        <v>0</v>
      </c>
      <c r="J100" s="40"/>
      <c r="K100" s="273" t="str">
        <f>IF(Ergebnisse!K99="","",Ergebnisse!K99)</f>
        <v/>
      </c>
      <c r="L100" s="200"/>
      <c r="M100" s="227" t="str">
        <f>Bernd!$BM39</f>
        <v>Österreich</v>
      </c>
      <c r="N100" s="227"/>
      <c r="O100" s="191">
        <f ca="1">IF(Bernd!$CY39="","",Bernd!$CX39)</f>
        <v>0</v>
      </c>
      <c r="P100" s="198"/>
      <c r="Q100" s="197"/>
      <c r="R100" s="227" t="str">
        <f>Mitspieler!$BM39</f>
        <v>Österreich</v>
      </c>
      <c r="S100" s="227"/>
      <c r="T100" s="191">
        <f ca="1">IF(Mitspieler!$CY39="","",Mitspieler!$CX39)</f>
        <v>0</v>
      </c>
      <c r="U100" s="198"/>
      <c r="V100" s="197"/>
      <c r="W100" s="227" t="str">
        <f ca="1">Random!$BM39</f>
        <v>Österreich</v>
      </c>
      <c r="X100" s="227"/>
      <c r="Y100" s="191">
        <f ca="1">IF(Random!$CY39="","",Random!$CX39)</f>
        <v>0</v>
      </c>
      <c r="Z100" s="198"/>
      <c r="AA100" s="197"/>
      <c r="AB100" s="227" t="str">
        <f>Rangliste!$BM39</f>
        <v>Algerien</v>
      </c>
      <c r="AC100" s="227"/>
      <c r="AD100" s="191">
        <f ca="1">IF(Rangliste!$CY39="","",Rangliste!$CX39)</f>
        <v>2</v>
      </c>
      <c r="AE100" s="198"/>
      <c r="AF100" s="197"/>
      <c r="AG100" s="227" t="str">
        <f ca="1">Fest!$BM39</f>
        <v>Algerien</v>
      </c>
      <c r="AH100" s="227"/>
      <c r="AI100" s="191">
        <f ca="1">IF(Fest!$CY39="","",Fest!$CX39)</f>
        <v>2</v>
      </c>
      <c r="AJ100" s="198"/>
      <c r="AK100" s="197"/>
      <c r="AL100" s="227" t="str">
        <f ca="1">Nobody!$BM39</f>
        <v>Jordanien</v>
      </c>
      <c r="AM100" s="227"/>
      <c r="AN100" s="191">
        <f ca="1">IF(Nobody!$CY39="","",Nobody!$CX39)</f>
        <v>0</v>
      </c>
      <c r="AO100" s="198"/>
      <c r="AP100" s="197"/>
    </row>
    <row r="101" spans="1:42" s="10" customFormat="1" ht="5.25" customHeight="1">
      <c r="A101" s="2"/>
      <c r="B101" s="2"/>
      <c r="C101" s="2"/>
      <c r="D101" s="55"/>
      <c r="E101" s="58"/>
      <c r="F101" s="63"/>
      <c r="G101" s="56"/>
      <c r="H101" s="63"/>
      <c r="I101" s="63"/>
      <c r="J101" s="63"/>
      <c r="K101" s="81" t="str">
        <f>IF(Ergebnisse!K100="","",Ergebnisse!K100)</f>
        <v/>
      </c>
      <c r="L101" s="200"/>
      <c r="M101" s="273"/>
      <c r="N101" s="65"/>
      <c r="O101" s="191"/>
      <c r="P101" s="195"/>
      <c r="Q101" s="30"/>
      <c r="R101" s="273"/>
      <c r="S101" s="65"/>
      <c r="T101" s="191"/>
      <c r="U101" s="195"/>
      <c r="V101" s="30"/>
      <c r="W101" s="273"/>
      <c r="X101" s="65"/>
      <c r="Y101" s="191"/>
      <c r="Z101" s="195"/>
      <c r="AA101" s="30"/>
      <c r="AB101" s="273"/>
      <c r="AC101" s="65"/>
      <c r="AD101" s="191"/>
      <c r="AE101" s="195"/>
      <c r="AF101" s="30"/>
      <c r="AG101" s="273"/>
      <c r="AH101" s="65"/>
      <c r="AI101" s="191"/>
      <c r="AJ101" s="195"/>
      <c r="AK101" s="30"/>
      <c r="AL101" s="273"/>
      <c r="AM101" s="65"/>
      <c r="AN101" s="191"/>
      <c r="AO101" s="195"/>
      <c r="AP101" s="30"/>
    </row>
    <row r="102" spans="1:42">
      <c r="A102" s="10"/>
      <c r="B102" s="231" t="str">
        <f>Ergebnisse!BB41</f>
        <v>Vorrunde</v>
      </c>
      <c r="C102" s="232" t="str">
        <f>Ergebnisse!BC41</f>
        <v>Gruppe K</v>
      </c>
      <c r="D102" s="53"/>
      <c r="E102" s="54"/>
      <c r="F102" s="232" t="str">
        <f ca="1">Ergebnisse!BM47</f>
        <v>Portugal</v>
      </c>
      <c r="G102" s="53">
        <f>Ergebnisse!BG41</f>
        <v>0</v>
      </c>
      <c r="K102" s="81" t="str">
        <f>IF(Ergebnisse!K101="","",Ergebnisse!K101)</f>
        <v/>
      </c>
      <c r="L102" s="30"/>
      <c r="M102" s="232" t="str">
        <f>Bernd!$BM47</f>
        <v>Portugal</v>
      </c>
      <c r="N102" s="232"/>
      <c r="O102" s="191">
        <f ca="1">IF(Bernd!$CY41="","",Bernd!$CX41)</f>
        <v>2</v>
      </c>
      <c r="P102" s="195"/>
      <c r="Q102" s="190"/>
      <c r="R102" s="232" t="str">
        <f>Mitspieler!$BM47</f>
        <v>Portugal</v>
      </c>
      <c r="S102" s="232"/>
      <c r="T102" s="191">
        <f ca="1">IF(Mitspieler!$CY41="","",Mitspieler!$CX41)</f>
        <v>2</v>
      </c>
      <c r="U102" s="195"/>
      <c r="V102" s="190"/>
      <c r="W102" s="232" t="str">
        <f ca="1">Random!$BM47</f>
        <v>Kolumbien</v>
      </c>
      <c r="X102" s="232"/>
      <c r="Y102" s="191">
        <f ca="1">IF(Random!$CY41="","",Random!$CX41)</f>
        <v>0</v>
      </c>
      <c r="Z102" s="195"/>
      <c r="AA102" s="190"/>
      <c r="AB102" s="232" t="str">
        <f>Rangliste!$BM47</f>
        <v>Portugal</v>
      </c>
      <c r="AC102" s="232"/>
      <c r="AD102" s="191">
        <f ca="1">IF(Rangliste!$CY41="","",Rangliste!$CX41)</f>
        <v>2</v>
      </c>
      <c r="AE102" s="195"/>
      <c r="AF102" s="190"/>
      <c r="AG102" s="232" t="str">
        <f ca="1">Fest!$BM47</f>
        <v>Kolumbien</v>
      </c>
      <c r="AH102" s="232"/>
      <c r="AI102" s="191">
        <f ca="1">IF(Fest!$CY41="","",Fest!$CX41)</f>
        <v>0</v>
      </c>
      <c r="AJ102" s="195"/>
      <c r="AK102" s="190"/>
      <c r="AL102" s="232" t="str">
        <f ca="1">Nobody!$BM47</f>
        <v>Portugal</v>
      </c>
      <c r="AM102" s="232"/>
      <c r="AN102" s="191">
        <f ca="1">IF(Nobody!$CY41="","",Nobody!$CX41)</f>
        <v>2</v>
      </c>
      <c r="AO102" s="195"/>
      <c r="AP102" s="190"/>
    </row>
    <row r="103" spans="1:42">
      <c r="B103" s="3" t="str">
        <f>Ergebnisse!BB42</f>
        <v>Datum/Zeit</v>
      </c>
      <c r="C103" s="3" t="str">
        <f>Ergebnisse!BC42</f>
        <v>Spielort</v>
      </c>
      <c r="D103" s="55"/>
      <c r="E103" s="55"/>
      <c r="F103" s="232" t="str">
        <f ca="1">Ergebnisse!BM48</f>
        <v>Usbekistan</v>
      </c>
      <c r="G103" s="55">
        <f>Ergebnisse!BG42</f>
        <v>0</v>
      </c>
      <c r="K103" s="81" t="str">
        <f>IF(Ergebnisse!K102="","",Ergebnisse!K102)</f>
        <v/>
      </c>
      <c r="L103" s="30"/>
      <c r="M103" s="232" t="str">
        <f>Bernd!$BM48</f>
        <v>Kolumbien</v>
      </c>
      <c r="N103" s="232"/>
      <c r="O103" s="191">
        <f ca="1">IF(Bernd!$CY42="","",Bernd!$CX42)</f>
        <v>0</v>
      </c>
      <c r="P103" s="195"/>
      <c r="Q103" s="192"/>
      <c r="R103" s="232" t="str">
        <f>Mitspieler!$BM48</f>
        <v>Usbekistan</v>
      </c>
      <c r="S103" s="232"/>
      <c r="T103" s="191">
        <f ca="1">IF(Mitspieler!$CY42="","",Mitspieler!$CX42)</f>
        <v>2</v>
      </c>
      <c r="U103" s="195"/>
      <c r="V103" s="192"/>
      <c r="W103" s="232" t="str">
        <f ca="1">Random!$BM48</f>
        <v>Usbekistan</v>
      </c>
      <c r="X103" s="232"/>
      <c r="Y103" s="191">
        <f ca="1">IF(Random!$CY42="","",Random!$CX42)</f>
        <v>2</v>
      </c>
      <c r="Z103" s="195"/>
      <c r="AA103" s="192"/>
      <c r="AB103" s="232" t="str">
        <f>Rangliste!$BM48</f>
        <v>Kolumbien</v>
      </c>
      <c r="AC103" s="232"/>
      <c r="AD103" s="191">
        <f ca="1">IF(Rangliste!$CY42="","",Rangliste!$CX42)</f>
        <v>0</v>
      </c>
      <c r="AE103" s="195"/>
      <c r="AF103" s="192"/>
      <c r="AG103" s="232" t="str">
        <f ca="1">Fest!$BM48</f>
        <v>Portugal</v>
      </c>
      <c r="AH103" s="232"/>
      <c r="AI103" s="191">
        <f ca="1">IF(Fest!$CY42="","",Fest!$CX42)</f>
        <v>2</v>
      </c>
      <c r="AJ103" s="195"/>
      <c r="AK103" s="192"/>
      <c r="AL103" s="232" t="str">
        <f ca="1">Nobody!$BM48</f>
        <v>Usbekistan</v>
      </c>
      <c r="AM103" s="232"/>
      <c r="AN103" s="191">
        <f ca="1">IF(Nobody!$CY42="","",Nobody!$CX42)</f>
        <v>2</v>
      </c>
      <c r="AO103" s="195"/>
      <c r="AP103" s="192"/>
    </row>
    <row r="104" spans="1:42">
      <c r="A104" s="2">
        <f>Ergebnisse!BA43</f>
        <v>23</v>
      </c>
      <c r="B104" s="6">
        <f>Ergebnisse!BB43</f>
        <v>46190.5</v>
      </c>
      <c r="C104" s="4" t="str">
        <f>Ergebnisse!BC43</f>
        <v>Houston</v>
      </c>
      <c r="D104" s="56" t="str">
        <f>Ergebnisse!BD43</f>
        <v>Portugal</v>
      </c>
      <c r="E104" s="40" t="str">
        <f>Ergebnisse!BE43</f>
        <v>-</v>
      </c>
      <c r="F104" s="56" t="str">
        <f>Ergebnisse!BF43</f>
        <v>DR Kongo</v>
      </c>
      <c r="G104" s="53">
        <f>Ergebnisse!BG43</f>
        <v>0</v>
      </c>
      <c r="H104" s="57">
        <f ca="1">Ergebnisse!BH43</f>
        <v>4</v>
      </c>
      <c r="I104" s="80" t="str">
        <f>Ergebnisse!BI43</f>
        <v>:</v>
      </c>
      <c r="J104" s="57">
        <f ca="1">Ergebnisse!BJ43</f>
        <v>1</v>
      </c>
      <c r="K104" s="81" t="str">
        <f ca="1">IF(Ergebnisse!BK43="","",Ergebnisse!BK43)</f>
        <v>ok</v>
      </c>
      <c r="L104" s="192"/>
      <c r="M104" s="79">
        <f ca="1">IF($K104="","",Bernd!$BH43)</f>
        <v>1</v>
      </c>
      <c r="N104" s="79">
        <f ca="1">IF($K104="","",Bernd!$BJ43)</f>
        <v>1</v>
      </c>
      <c r="O104" s="191">
        <f ca="1">IF(Bernd!$CY43="","",Bernd!$CX43)</f>
        <v>1</v>
      </c>
      <c r="P104" s="195"/>
      <c r="Q104" s="192"/>
      <c r="R104" s="79">
        <f ca="1">IF($K104="","",Mitspieler!$BH43)</f>
        <v>3</v>
      </c>
      <c r="S104" s="79">
        <f ca="1">IF($K104="","",Mitspieler!$BJ43)</f>
        <v>1</v>
      </c>
      <c r="T104" s="191">
        <f ca="1">IF(Mitspieler!$CY43="","",Mitspieler!$CX43)</f>
        <v>3</v>
      </c>
      <c r="U104" s="195"/>
      <c r="V104" s="192"/>
      <c r="W104" s="79">
        <f ca="1">IF($K104="","",Random!$BH43)</f>
        <v>0</v>
      </c>
      <c r="X104" s="79">
        <f ca="1">IF($K104="","",Random!$BJ43)</f>
        <v>3</v>
      </c>
      <c r="Y104" s="191">
        <f ca="1">IF(Random!$CY43="","",Random!$CX43)</f>
        <v>0</v>
      </c>
      <c r="Z104" s="195"/>
      <c r="AA104" s="192"/>
      <c r="AB104" s="79">
        <f ca="1">IF($K104="","",Rangliste!$BH43)</f>
        <v>5</v>
      </c>
      <c r="AC104" s="79">
        <f ca="1">IF($K104="","",Rangliste!$BJ43)</f>
        <v>4</v>
      </c>
      <c r="AD104" s="191">
        <f ca="1">IF(Rangliste!$CY43="","",Rangliste!$CX43)</f>
        <v>2</v>
      </c>
      <c r="AE104" s="195"/>
      <c r="AF104" s="192"/>
      <c r="AG104" s="79">
        <f ca="1">IF($K104="","",Fest!$BH43)</f>
        <v>2</v>
      </c>
      <c r="AH104" s="79">
        <f ca="1">IF($K104="","",Fest!$BJ43)</f>
        <v>1</v>
      </c>
      <c r="AI104" s="191">
        <f ca="1">IF(Fest!$CY43="","",Fest!$CX43)</f>
        <v>3</v>
      </c>
      <c r="AJ104" s="195"/>
      <c r="AK104" s="192"/>
      <c r="AL104" s="79">
        <f ca="1">IF($K104="","",Nobody!$BH43)</f>
        <v>4</v>
      </c>
      <c r="AM104" s="79">
        <f ca="1">IF($K104="","",Nobody!$BJ43)</f>
        <v>1</v>
      </c>
      <c r="AN104" s="191">
        <f ca="1">IF(Nobody!$CY43="","",Nobody!$CX43)</f>
        <v>7</v>
      </c>
      <c r="AO104" s="195"/>
      <c r="AP104" s="192"/>
    </row>
    <row r="105" spans="1:42">
      <c r="A105" s="2">
        <f>Ergebnisse!BA44</f>
        <v>24</v>
      </c>
      <c r="B105" s="6">
        <f>Ergebnisse!BB44</f>
        <v>46190.875</v>
      </c>
      <c r="C105" s="4" t="str">
        <f>Ergebnisse!BC44</f>
        <v>Mexico City</v>
      </c>
      <c r="D105" s="56" t="str">
        <f>Ergebnisse!BD44</f>
        <v>Usbekistan</v>
      </c>
      <c r="E105" s="40" t="str">
        <f>Ergebnisse!BE44</f>
        <v>-</v>
      </c>
      <c r="F105" s="56" t="str">
        <f>Ergebnisse!BF44</f>
        <v>Kolumbien</v>
      </c>
      <c r="G105" s="53">
        <f>Ergebnisse!BG44</f>
        <v>0</v>
      </c>
      <c r="H105" s="57">
        <f ca="1">Ergebnisse!BH44</f>
        <v>1</v>
      </c>
      <c r="I105" s="80" t="str">
        <f>Ergebnisse!BI44</f>
        <v>:</v>
      </c>
      <c r="J105" s="57">
        <f ca="1">Ergebnisse!BJ44</f>
        <v>0</v>
      </c>
      <c r="K105" s="81" t="str">
        <f ca="1">IF(Ergebnisse!BK44="","",Ergebnisse!BK44)</f>
        <v>ok</v>
      </c>
      <c r="L105" s="192"/>
      <c r="M105" s="79">
        <f ca="1">IF($K105="","",Bernd!$BH44)</f>
        <v>1</v>
      </c>
      <c r="N105" s="79">
        <f ca="1">IF($K105="","",Bernd!$BJ44)</f>
        <v>3</v>
      </c>
      <c r="O105" s="191">
        <f ca="1">IF(Bernd!$CY44="","",Bernd!$CX44)</f>
        <v>1</v>
      </c>
      <c r="P105" s="195"/>
      <c r="Q105" s="192"/>
      <c r="R105" s="79">
        <f ca="1">IF($K105="","",Mitspieler!$BH44)</f>
        <v>3</v>
      </c>
      <c r="S105" s="79">
        <f ca="1">IF($K105="","",Mitspieler!$BJ44)</f>
        <v>3</v>
      </c>
      <c r="T105" s="191">
        <f ca="1">IF(Mitspieler!$CY44="","",Mitspieler!$CX44)</f>
        <v>0</v>
      </c>
      <c r="U105" s="195"/>
      <c r="V105" s="192"/>
      <c r="W105" s="79">
        <f ca="1">IF($K105="","",Random!$BH44)</f>
        <v>3</v>
      </c>
      <c r="X105" s="79">
        <f ca="1">IF($K105="","",Random!$BJ44)</f>
        <v>5</v>
      </c>
      <c r="Y105" s="191">
        <f ca="1">IF(Random!$CY44="","",Random!$CX44)</f>
        <v>0</v>
      </c>
      <c r="Z105" s="195"/>
      <c r="AA105" s="192"/>
      <c r="AB105" s="79">
        <f ca="1">IF($K105="","",Rangliste!$BH44)</f>
        <v>4</v>
      </c>
      <c r="AC105" s="79">
        <f ca="1">IF($K105="","",Rangliste!$BJ44)</f>
        <v>4</v>
      </c>
      <c r="AD105" s="191">
        <f ca="1">IF(Rangliste!$CY44="","",Rangliste!$CX44)</f>
        <v>0</v>
      </c>
      <c r="AE105" s="195"/>
      <c r="AF105" s="192"/>
      <c r="AG105" s="79">
        <f ca="1">IF($K105="","",Fest!$BH44)</f>
        <v>2</v>
      </c>
      <c r="AH105" s="79">
        <f ca="1">IF($K105="","",Fest!$BJ44)</f>
        <v>1</v>
      </c>
      <c r="AI105" s="191">
        <f ca="1">IF(Fest!$CY44="","",Fest!$CX44)</f>
        <v>4</v>
      </c>
      <c r="AJ105" s="195"/>
      <c r="AK105" s="192"/>
      <c r="AL105" s="79">
        <f ca="1">IF($K105="","",Nobody!$BH44)</f>
        <v>1</v>
      </c>
      <c r="AM105" s="79">
        <f ca="1">IF($K105="","",Nobody!$BJ44)</f>
        <v>0</v>
      </c>
      <c r="AN105" s="191">
        <f ca="1">IF(Nobody!$CY44="","",Nobody!$CX44)</f>
        <v>7</v>
      </c>
      <c r="AO105" s="195"/>
      <c r="AP105" s="192"/>
    </row>
    <row r="106" spans="1:42">
      <c r="A106" s="2">
        <f>Ergebnisse!BA45</f>
        <v>47</v>
      </c>
      <c r="B106" s="6">
        <f>Ergebnisse!BB45</f>
        <v>46196.5</v>
      </c>
      <c r="C106" s="4" t="str">
        <f>Ergebnisse!BC45</f>
        <v>Houston</v>
      </c>
      <c r="D106" s="56" t="str">
        <f>Ergebnisse!BD45</f>
        <v>Portugal</v>
      </c>
      <c r="E106" s="40" t="str">
        <f>Ergebnisse!BE45</f>
        <v>-</v>
      </c>
      <c r="F106" s="56" t="str">
        <f>Ergebnisse!BF45</f>
        <v>Usbekistan</v>
      </c>
      <c r="G106" s="53">
        <f>Ergebnisse!BG45</f>
        <v>0</v>
      </c>
      <c r="H106" s="57">
        <f ca="1">Ergebnisse!BH45</f>
        <v>0</v>
      </c>
      <c r="I106" s="80" t="str">
        <f>Ergebnisse!BI45</f>
        <v>:</v>
      </c>
      <c r="J106" s="57">
        <f ca="1">Ergebnisse!BJ45</f>
        <v>2</v>
      </c>
      <c r="K106" s="81" t="str">
        <f ca="1">IF(Ergebnisse!BK45="","",Ergebnisse!BK45)</f>
        <v>ok</v>
      </c>
      <c r="L106" s="192"/>
      <c r="M106" s="79">
        <f ca="1">IF($K106="","",Bernd!$BH45)</f>
        <v>3</v>
      </c>
      <c r="N106" s="79">
        <f ca="1">IF($K106="","",Bernd!$BJ45)</f>
        <v>1</v>
      </c>
      <c r="O106" s="191">
        <f ca="1">IF(Bernd!$CY45="","",Bernd!$CX45)</f>
        <v>0</v>
      </c>
      <c r="P106" s="195"/>
      <c r="Q106" s="192"/>
      <c r="R106" s="79">
        <f ca="1">IF($K106="","",Mitspieler!$BH45)</f>
        <v>5</v>
      </c>
      <c r="S106" s="79">
        <f ca="1">IF($K106="","",Mitspieler!$BJ45)</f>
        <v>5</v>
      </c>
      <c r="T106" s="191">
        <f ca="1">IF(Mitspieler!$CY45="","",Mitspieler!$CX45)</f>
        <v>0</v>
      </c>
      <c r="U106" s="195"/>
      <c r="V106" s="192"/>
      <c r="W106" s="79">
        <f ca="1">IF($K106="","",Random!$BH45)</f>
        <v>0</v>
      </c>
      <c r="X106" s="79">
        <f ca="1">IF($K106="","",Random!$BJ45)</f>
        <v>1</v>
      </c>
      <c r="Y106" s="191">
        <f ca="1">IF(Random!$CY45="","",Random!$CX45)</f>
        <v>3</v>
      </c>
      <c r="Z106" s="195"/>
      <c r="AA106" s="192"/>
      <c r="AB106" s="79">
        <f ca="1">IF($K106="","",Rangliste!$BH45)</f>
        <v>5</v>
      </c>
      <c r="AC106" s="79">
        <f ca="1">IF($K106="","",Rangliste!$BJ45)</f>
        <v>4</v>
      </c>
      <c r="AD106" s="191">
        <f ca="1">IF(Rangliste!$CY45="","",Rangliste!$CX45)</f>
        <v>0</v>
      </c>
      <c r="AE106" s="195"/>
      <c r="AF106" s="192"/>
      <c r="AG106" s="79">
        <f ca="1">IF($K106="","",Fest!$BH45)</f>
        <v>2</v>
      </c>
      <c r="AH106" s="79">
        <f ca="1">IF($K106="","",Fest!$BJ45)</f>
        <v>1</v>
      </c>
      <c r="AI106" s="191">
        <f ca="1">IF(Fest!$CY45="","",Fest!$CX45)</f>
        <v>0</v>
      </c>
      <c r="AJ106" s="195"/>
      <c r="AK106" s="192"/>
      <c r="AL106" s="79">
        <f ca="1">IF($K106="","",Nobody!$BH45)</f>
        <v>0</v>
      </c>
      <c r="AM106" s="79">
        <f ca="1">IF($K106="","",Nobody!$BJ45)</f>
        <v>2</v>
      </c>
      <c r="AN106" s="191">
        <f ca="1">IF(Nobody!$CY45="","",Nobody!$CX45)</f>
        <v>7</v>
      </c>
      <c r="AO106" s="195"/>
      <c r="AP106" s="192"/>
    </row>
    <row r="107" spans="1:42">
      <c r="A107" s="2">
        <f>Ergebnisse!BA46</f>
        <v>48</v>
      </c>
      <c r="B107" s="6">
        <f>Ergebnisse!BB46</f>
        <v>46196.875</v>
      </c>
      <c r="C107" s="4" t="str">
        <f>Ergebnisse!BC46</f>
        <v>Guadalajara</v>
      </c>
      <c r="D107" s="56" t="str">
        <f>Ergebnisse!BD46</f>
        <v>Kolumbien</v>
      </c>
      <c r="E107" s="40" t="str">
        <f>Ergebnisse!BE46</f>
        <v>-</v>
      </c>
      <c r="F107" s="56" t="str">
        <f>Ergebnisse!BF46</f>
        <v>DR Kongo</v>
      </c>
      <c r="G107" s="55">
        <f>Ergebnisse!BG46</f>
        <v>0</v>
      </c>
      <c r="H107" s="57">
        <f ca="1">Ergebnisse!BH46</f>
        <v>4</v>
      </c>
      <c r="I107" s="80" t="str">
        <f>Ergebnisse!BI46</f>
        <v>:</v>
      </c>
      <c r="J107" s="57">
        <f ca="1">Ergebnisse!BJ46</f>
        <v>5</v>
      </c>
      <c r="K107" s="81" t="str">
        <f ca="1">IF(Ergebnisse!BK46="","",Ergebnisse!BK46)</f>
        <v>ok</v>
      </c>
      <c r="L107" s="192"/>
      <c r="M107" s="79">
        <f ca="1">IF($K107="","",Bernd!$BH46)</f>
        <v>1</v>
      </c>
      <c r="N107" s="79">
        <f ca="1">IF($K107="","",Bernd!$BJ46)</f>
        <v>0</v>
      </c>
      <c r="O107" s="191">
        <f ca="1">IF(Bernd!$CY46="","",Bernd!$CX46)</f>
        <v>0</v>
      </c>
      <c r="P107" s="195"/>
      <c r="Q107" s="192"/>
      <c r="R107" s="79">
        <f ca="1">IF($K107="","",Mitspieler!$BH46)</f>
        <v>4</v>
      </c>
      <c r="S107" s="79">
        <f ca="1">IF($K107="","",Mitspieler!$BJ46)</f>
        <v>3</v>
      </c>
      <c r="T107" s="191">
        <f ca="1">IF(Mitspieler!$CY46="","",Mitspieler!$CX46)</f>
        <v>1</v>
      </c>
      <c r="U107" s="195"/>
      <c r="V107" s="192"/>
      <c r="W107" s="79">
        <f ca="1">IF($K107="","",Random!$BH46)</f>
        <v>4</v>
      </c>
      <c r="X107" s="79">
        <f ca="1">IF($K107="","",Random!$BJ46)</f>
        <v>0</v>
      </c>
      <c r="Y107" s="191">
        <f ca="1">IF(Random!$CY46="","",Random!$CX46)</f>
        <v>1</v>
      </c>
      <c r="Z107" s="195"/>
      <c r="AA107" s="192"/>
      <c r="AB107" s="79">
        <f ca="1">IF($K107="","",Rangliste!$BH46)</f>
        <v>3</v>
      </c>
      <c r="AC107" s="79">
        <f ca="1">IF($K107="","",Rangliste!$BJ46)</f>
        <v>2</v>
      </c>
      <c r="AD107" s="191">
        <f ca="1">IF(Rangliste!$CY46="","",Rangliste!$CX46)</f>
        <v>0</v>
      </c>
      <c r="AE107" s="195"/>
      <c r="AF107" s="192"/>
      <c r="AG107" s="79">
        <f ca="1">IF($K107="","",Fest!$BH46)</f>
        <v>2</v>
      </c>
      <c r="AH107" s="79">
        <f ca="1">IF($K107="","",Fest!$BJ46)</f>
        <v>1</v>
      </c>
      <c r="AI107" s="191">
        <f ca="1">IF(Fest!$CY46="","",Fest!$CX46)</f>
        <v>0</v>
      </c>
      <c r="AJ107" s="195"/>
      <c r="AK107" s="192"/>
      <c r="AL107" s="79">
        <f ca="1">IF($K107="","",Nobody!$BH46)</f>
        <v>4</v>
      </c>
      <c r="AM107" s="79">
        <f ca="1">IF($K107="","",Nobody!$BJ46)</f>
        <v>5</v>
      </c>
      <c r="AN107" s="191">
        <f ca="1">IF(Nobody!$CY46="","",Nobody!$CX46)</f>
        <v>7</v>
      </c>
      <c r="AO107" s="195"/>
      <c r="AP107" s="192"/>
    </row>
    <row r="108" spans="1:42">
      <c r="A108" s="2">
        <f>Ergebnisse!BA47</f>
        <v>72</v>
      </c>
      <c r="B108" s="6">
        <f>Ergebnisse!BB47</f>
        <v>46200.8125</v>
      </c>
      <c r="C108" s="4" t="str">
        <f>Ergebnisse!BC47</f>
        <v>Atlanta</v>
      </c>
      <c r="D108" s="56" t="str">
        <f>Ergebnisse!BD47</f>
        <v>Kolumbien</v>
      </c>
      <c r="E108" s="40" t="str">
        <f>Ergebnisse!BE47</f>
        <v>-</v>
      </c>
      <c r="F108" s="56" t="str">
        <f>Ergebnisse!BF47</f>
        <v>Portugal</v>
      </c>
      <c r="G108" s="53">
        <f>Ergebnisse!BG47</f>
        <v>0</v>
      </c>
      <c r="H108" s="57">
        <f ca="1">Ergebnisse!BH47</f>
        <v>3</v>
      </c>
      <c r="I108" s="80" t="str">
        <f>Ergebnisse!BI47</f>
        <v>:</v>
      </c>
      <c r="J108" s="57">
        <f ca="1">Ergebnisse!BJ47</f>
        <v>5</v>
      </c>
      <c r="K108" s="81" t="str">
        <f ca="1">IF(Ergebnisse!BK47="","",Ergebnisse!BK47)</f>
        <v>ok</v>
      </c>
      <c r="L108" s="30"/>
      <c r="M108" s="79">
        <f ca="1">IF($K108="","",Bernd!$BH47)</f>
        <v>1</v>
      </c>
      <c r="N108" s="79">
        <f ca="1">IF($K108="","",Bernd!$BJ47)</f>
        <v>2</v>
      </c>
      <c r="O108" s="191">
        <f ca="1">IF(Bernd!$CY47="","",Bernd!$CX47)</f>
        <v>2</v>
      </c>
      <c r="P108" s="195"/>
      <c r="Q108" s="30"/>
      <c r="R108" s="79">
        <f ca="1">IF($K108="","",Mitspieler!$BH47)</f>
        <v>3</v>
      </c>
      <c r="S108" s="79">
        <f ca="1">IF($K108="","",Mitspieler!$BJ47)</f>
        <v>3</v>
      </c>
      <c r="T108" s="191">
        <f ca="1">IF(Mitspieler!$CY47="","",Mitspieler!$CX47)</f>
        <v>1</v>
      </c>
      <c r="U108" s="195"/>
      <c r="V108" s="30"/>
      <c r="W108" s="79">
        <f ca="1">IF($K108="","",Random!$BH47)</f>
        <v>2</v>
      </c>
      <c r="X108" s="79">
        <f ca="1">IF($K108="","",Random!$BJ47)</f>
        <v>3</v>
      </c>
      <c r="Y108" s="191">
        <f ca="1">IF(Random!$CY47="","",Random!$CX47)</f>
        <v>2</v>
      </c>
      <c r="Z108" s="195"/>
      <c r="AA108" s="30"/>
      <c r="AB108" s="79">
        <f ca="1">IF($K108="","",Rangliste!$BH47)</f>
        <v>1</v>
      </c>
      <c r="AC108" s="79">
        <f ca="1">IF($K108="","",Rangliste!$BJ47)</f>
        <v>2</v>
      </c>
      <c r="AD108" s="191">
        <f ca="1">IF(Rangliste!$CY47="","",Rangliste!$CX47)</f>
        <v>2</v>
      </c>
      <c r="AE108" s="195"/>
      <c r="AF108" s="30"/>
      <c r="AG108" s="79">
        <f ca="1">IF($K108="","",Fest!$BH47)</f>
        <v>2</v>
      </c>
      <c r="AH108" s="79">
        <f ca="1">IF($K108="","",Fest!$BJ47)</f>
        <v>1</v>
      </c>
      <c r="AI108" s="191">
        <f ca="1">IF(Fest!$CY47="","",Fest!$CX47)</f>
        <v>0</v>
      </c>
      <c r="AJ108" s="195"/>
      <c r="AK108" s="30"/>
      <c r="AL108" s="79">
        <f ca="1">IF($K108="","",Nobody!$BH47)</f>
        <v>3</v>
      </c>
      <c r="AM108" s="79">
        <f ca="1">IF($K108="","",Nobody!$BJ47)</f>
        <v>5</v>
      </c>
      <c r="AN108" s="191">
        <f ca="1">IF(Nobody!$CY47="","",Nobody!$CX47)</f>
        <v>7</v>
      </c>
      <c r="AO108" s="195"/>
      <c r="AP108" s="30"/>
    </row>
    <row r="109" spans="1:42">
      <c r="A109" s="2">
        <f>Ergebnisse!BA48</f>
        <v>71</v>
      </c>
      <c r="B109" s="6">
        <f>Ergebnisse!BB48</f>
        <v>46200.8125</v>
      </c>
      <c r="C109" s="4" t="str">
        <f>Ergebnisse!BC48</f>
        <v>Miami</v>
      </c>
      <c r="D109" s="56" t="str">
        <f>Ergebnisse!BD48</f>
        <v>DR Kongo</v>
      </c>
      <c r="E109" s="40" t="str">
        <f>Ergebnisse!BE48</f>
        <v>-</v>
      </c>
      <c r="F109" s="56" t="str">
        <f>Ergebnisse!BF48</f>
        <v>Usbekistan</v>
      </c>
      <c r="G109" s="55">
        <f>Ergebnisse!BG48</f>
        <v>0</v>
      </c>
      <c r="H109" s="57">
        <f ca="1">Ergebnisse!BH48</f>
        <v>2</v>
      </c>
      <c r="I109" s="80" t="str">
        <f>Ergebnisse!BI48</f>
        <v>:</v>
      </c>
      <c r="J109" s="57">
        <f ca="1">Ergebnisse!BJ48</f>
        <v>1</v>
      </c>
      <c r="K109" s="81" t="str">
        <f ca="1">IF(Ergebnisse!BK48="","",Ergebnisse!BK48)</f>
        <v>ok</v>
      </c>
      <c r="L109" s="30"/>
      <c r="M109" s="79">
        <f ca="1">IF($K109="","",Bernd!$BH48)</f>
        <v>3</v>
      </c>
      <c r="N109" s="79">
        <f ca="1">IF($K109="","",Bernd!$BJ48)</f>
        <v>0</v>
      </c>
      <c r="O109" s="191">
        <f ca="1">IF(Bernd!$CY48="","",Bernd!$CX48)</f>
        <v>2</v>
      </c>
      <c r="P109" s="195"/>
      <c r="Q109" s="30"/>
      <c r="R109" s="79">
        <f ca="1">IF($K109="","",Mitspieler!$BH48)</f>
        <v>1</v>
      </c>
      <c r="S109" s="79">
        <f ca="1">IF($K109="","",Mitspieler!$BJ48)</f>
        <v>2</v>
      </c>
      <c r="T109" s="191">
        <f ca="1">IF(Mitspieler!$CY48="","",Mitspieler!$CX48)</f>
        <v>0</v>
      </c>
      <c r="U109" s="195"/>
      <c r="V109" s="30"/>
      <c r="W109" s="79">
        <f ca="1">IF($K109="","",Random!$BH48)</f>
        <v>1</v>
      </c>
      <c r="X109" s="79">
        <f ca="1">IF($K109="","",Random!$BJ48)</f>
        <v>3</v>
      </c>
      <c r="Y109" s="191">
        <f ca="1">IF(Random!$CY48="","",Random!$CX48)</f>
        <v>0</v>
      </c>
      <c r="Z109" s="195"/>
      <c r="AA109" s="30"/>
      <c r="AB109" s="79">
        <f ca="1">IF($K109="","",Rangliste!$BH48)</f>
        <v>1</v>
      </c>
      <c r="AC109" s="79">
        <f ca="1">IF($K109="","",Rangliste!$BJ48)</f>
        <v>1</v>
      </c>
      <c r="AD109" s="191">
        <f ca="1">IF(Rangliste!$CY48="","",Rangliste!$CX48)</f>
        <v>1</v>
      </c>
      <c r="AE109" s="195"/>
      <c r="AF109" s="30"/>
      <c r="AG109" s="79">
        <f ca="1">IF($K109="","",Fest!$BH48)</f>
        <v>2</v>
      </c>
      <c r="AH109" s="79">
        <f ca="1">IF($K109="","",Fest!$BJ48)</f>
        <v>1</v>
      </c>
      <c r="AI109" s="191">
        <f ca="1">IF(Fest!$CY48="","",Fest!$CX48)</f>
        <v>7</v>
      </c>
      <c r="AJ109" s="195"/>
      <c r="AK109" s="30"/>
      <c r="AL109" s="79">
        <f ca="1">IF($K109="","",Nobody!$BH48)</f>
        <v>2</v>
      </c>
      <c r="AM109" s="79">
        <f ca="1">IF($K109="","",Nobody!$BJ48)</f>
        <v>1</v>
      </c>
      <c r="AN109" s="191">
        <f ca="1">IF(Nobody!$CY48="","",Nobody!$CX48)</f>
        <v>7</v>
      </c>
      <c r="AO109" s="195"/>
      <c r="AP109" s="30"/>
    </row>
    <row r="110" spans="1:42" s="55" customFormat="1">
      <c r="F110" s="232" t="str">
        <f ca="1">Ergebnisse!BM49</f>
        <v>DR Kongo</v>
      </c>
      <c r="G110" s="53">
        <f>Ergebnisse!BG49</f>
        <v>0</v>
      </c>
      <c r="H110" s="58"/>
      <c r="I110" s="58"/>
      <c r="J110" s="58"/>
      <c r="K110" s="81" t="str">
        <f>IF(Ergebnisse!K109="","",Ergebnisse!K109)</f>
        <v/>
      </c>
      <c r="L110" s="30"/>
      <c r="M110" s="232" t="str">
        <f>Bernd!$BM49</f>
        <v>DR Kongo</v>
      </c>
      <c r="N110" s="232"/>
      <c r="O110" s="191">
        <f ca="1">IF(Bernd!$CY49="","",Bernd!$CX49)</f>
        <v>2</v>
      </c>
      <c r="P110" s="198"/>
      <c r="Q110" s="197"/>
      <c r="R110" s="232" t="str">
        <f>Mitspieler!$BM49</f>
        <v>Kolumbien</v>
      </c>
      <c r="S110" s="232"/>
      <c r="T110" s="191">
        <f ca="1">IF(Mitspieler!$CY49="","",Mitspieler!$CX49)</f>
        <v>0</v>
      </c>
      <c r="U110" s="198"/>
      <c r="V110" s="197"/>
      <c r="W110" s="232" t="str">
        <f ca="1">Random!$BM49</f>
        <v>DR Kongo</v>
      </c>
      <c r="X110" s="232"/>
      <c r="Y110" s="191">
        <f ca="1">IF(Random!$CY49="","",Random!$CX49)</f>
        <v>2</v>
      </c>
      <c r="Z110" s="198"/>
      <c r="AA110" s="197"/>
      <c r="AB110" s="232" t="str">
        <f>Rangliste!$BM49</f>
        <v>Usbekistan</v>
      </c>
      <c r="AC110" s="232"/>
      <c r="AD110" s="191">
        <f ca="1">IF(Rangliste!$CY49="","",Rangliste!$CX49)</f>
        <v>2</v>
      </c>
      <c r="AE110" s="198"/>
      <c r="AF110" s="197"/>
      <c r="AG110" s="232" t="str">
        <f ca="1">Fest!$BM49</f>
        <v>DR Kongo</v>
      </c>
      <c r="AH110" s="232"/>
      <c r="AI110" s="191">
        <f ca="1">IF(Fest!$CY49="","",Fest!$CX49)</f>
        <v>2</v>
      </c>
      <c r="AJ110" s="198"/>
      <c r="AK110" s="197"/>
      <c r="AL110" s="232" t="str">
        <f ca="1">Nobody!$BM49</f>
        <v>DR Kongo</v>
      </c>
      <c r="AM110" s="232"/>
      <c r="AN110" s="191">
        <f ca="1">IF(Nobody!$CY49="","",Nobody!$CX49)</f>
        <v>2</v>
      </c>
      <c r="AO110" s="198"/>
      <c r="AP110" s="197"/>
    </row>
    <row r="111" spans="1:42" ht="6.75" customHeight="1">
      <c r="D111" s="55"/>
      <c r="E111" s="58"/>
      <c r="F111" s="59"/>
      <c r="G111" s="59"/>
      <c r="H111" s="55"/>
      <c r="I111" s="55"/>
      <c r="J111" s="55"/>
      <c r="K111" s="81" t="str">
        <f>IF(Ergebnisse!K110="","",Ergebnisse!K110)</f>
        <v/>
      </c>
      <c r="L111" s="30"/>
      <c r="M111" s="65"/>
      <c r="N111" s="65"/>
      <c r="O111" s="191"/>
      <c r="P111" s="195"/>
      <c r="Q111" s="30"/>
      <c r="R111" s="65"/>
      <c r="S111" s="65"/>
      <c r="T111" s="191"/>
      <c r="U111" s="195"/>
      <c r="V111" s="30"/>
      <c r="W111" s="65"/>
      <c r="X111" s="65"/>
      <c r="Y111" s="191"/>
      <c r="Z111" s="195"/>
      <c r="AA111" s="30"/>
      <c r="AB111" s="65"/>
      <c r="AC111" s="65"/>
      <c r="AD111" s="191"/>
      <c r="AE111" s="195"/>
      <c r="AF111" s="30"/>
      <c r="AG111" s="65"/>
      <c r="AH111" s="65"/>
      <c r="AI111" s="191"/>
      <c r="AJ111" s="195"/>
      <c r="AK111" s="30"/>
      <c r="AL111" s="65"/>
      <c r="AM111" s="65"/>
      <c r="AN111" s="191"/>
      <c r="AO111" s="195"/>
      <c r="AP111" s="30"/>
    </row>
    <row r="112" spans="1:42">
      <c r="A112" s="10"/>
      <c r="B112" s="236" t="str">
        <f>Ergebnisse!BB51</f>
        <v>Vorrunde</v>
      </c>
      <c r="C112" s="237" t="str">
        <f>Ergebnisse!BC51</f>
        <v>Gruppe L</v>
      </c>
      <c r="D112" s="53"/>
      <c r="E112" s="54"/>
      <c r="F112" s="237" t="str">
        <f ca="1">Ergebnisse!BM57</f>
        <v>Ghana</v>
      </c>
      <c r="G112" s="56">
        <f>Ergebnisse!BG51</f>
        <v>0</v>
      </c>
      <c r="H112" s="40"/>
      <c r="I112" s="40"/>
      <c r="J112" s="40"/>
      <c r="K112" s="81" t="str">
        <f>IF(Ergebnisse!K111="","",Ergebnisse!K111)</f>
        <v/>
      </c>
      <c r="L112" s="200"/>
      <c r="M112" s="237" t="str">
        <f>Bernd!$BM57</f>
        <v>Kroatien</v>
      </c>
      <c r="N112" s="237"/>
      <c r="O112" s="191">
        <f ca="1">IF(Bernd!$CY51="","",Bernd!$CX51)</f>
        <v>2</v>
      </c>
      <c r="P112" s="195"/>
      <c r="Q112" s="190"/>
      <c r="R112" s="237" t="str">
        <f>Mitspieler!$BM57</f>
        <v>Panama</v>
      </c>
      <c r="S112" s="237"/>
      <c r="T112" s="191">
        <f ca="1">IF(Mitspieler!$CY51="","",Mitspieler!$CX51)</f>
        <v>2</v>
      </c>
      <c r="U112" s="195"/>
      <c r="V112" s="190"/>
      <c r="W112" s="237" t="str">
        <f ca="1">Random!$BM57</f>
        <v>Ghana</v>
      </c>
      <c r="X112" s="237"/>
      <c r="Y112" s="191">
        <f ca="1">IF(Random!$CY51="","",Random!$CX51)</f>
        <v>2</v>
      </c>
      <c r="Z112" s="195"/>
      <c r="AA112" s="190"/>
      <c r="AB112" s="237" t="str">
        <f>Rangliste!$BM57</f>
        <v>England</v>
      </c>
      <c r="AC112" s="237"/>
      <c r="AD112" s="191">
        <f ca="1">IF(Rangliste!$CY51="","",Rangliste!$CX51)</f>
        <v>0</v>
      </c>
      <c r="AE112" s="195"/>
      <c r="AF112" s="190"/>
      <c r="AG112" s="237" t="str">
        <f ca="1">Fest!$BM57</f>
        <v>Panama</v>
      </c>
      <c r="AH112" s="237"/>
      <c r="AI112" s="191">
        <f ca="1">IF(Fest!$CY51="","",Fest!$CX51)</f>
        <v>2</v>
      </c>
      <c r="AJ112" s="195"/>
      <c r="AK112" s="190"/>
      <c r="AL112" s="237" t="str">
        <f ca="1">Nobody!$BM57</f>
        <v>Ghana</v>
      </c>
      <c r="AM112" s="237"/>
      <c r="AN112" s="191">
        <f ca="1">IF(Nobody!$CY51="","",Nobody!$CX51)</f>
        <v>2</v>
      </c>
      <c r="AO112" s="195"/>
      <c r="AP112" s="190"/>
    </row>
    <row r="113" spans="1:42">
      <c r="B113" s="3" t="str">
        <f>Ergebnisse!BB52</f>
        <v>Datum/Zeit</v>
      </c>
      <c r="C113" s="3" t="str">
        <f>Ergebnisse!BC52</f>
        <v>Spielort</v>
      </c>
      <c r="D113" s="55"/>
      <c r="E113" s="55"/>
      <c r="F113" s="237" t="str">
        <f ca="1">Ergebnisse!BM58</f>
        <v>Panama</v>
      </c>
      <c r="G113" s="63">
        <f>Ergebnisse!BG52</f>
        <v>0</v>
      </c>
      <c r="H113" s="40"/>
      <c r="I113" s="40"/>
      <c r="J113" s="40"/>
      <c r="K113" s="81" t="str">
        <f>IF(Ergebnisse!K112="","",Ergebnisse!K112)</f>
        <v/>
      </c>
      <c r="L113" s="200"/>
      <c r="M113" s="237" t="str">
        <f>Bernd!$BM58</f>
        <v>England</v>
      </c>
      <c r="N113" s="237"/>
      <c r="O113" s="191">
        <f ca="1">IF(Bernd!$CY52="","",Bernd!$CX52)</f>
        <v>0</v>
      </c>
      <c r="P113" s="195"/>
      <c r="Q113" s="192"/>
      <c r="R113" s="237" t="str">
        <f>Mitspieler!$BM58</f>
        <v>England</v>
      </c>
      <c r="S113" s="237"/>
      <c r="T113" s="191">
        <f ca="1">IF(Mitspieler!$CY52="","",Mitspieler!$CX52)</f>
        <v>0</v>
      </c>
      <c r="U113" s="195"/>
      <c r="V113" s="192"/>
      <c r="W113" s="237" t="str">
        <f ca="1">Random!$BM58</f>
        <v>Panama</v>
      </c>
      <c r="X113" s="237"/>
      <c r="Y113" s="191">
        <f ca="1">IF(Random!$CY52="","",Random!$CX52)</f>
        <v>2</v>
      </c>
      <c r="Z113" s="195"/>
      <c r="AA113" s="192"/>
      <c r="AB113" s="237" t="str">
        <f>Rangliste!$BM58</f>
        <v>Kroatien</v>
      </c>
      <c r="AC113" s="237"/>
      <c r="AD113" s="191">
        <f ca="1">IF(Rangliste!$CY52="","",Rangliste!$CX52)</f>
        <v>2</v>
      </c>
      <c r="AE113" s="195"/>
      <c r="AF113" s="192"/>
      <c r="AG113" s="237" t="str">
        <f ca="1">Fest!$BM58</f>
        <v>England</v>
      </c>
      <c r="AH113" s="237"/>
      <c r="AI113" s="191">
        <f ca="1">IF(Fest!$CY52="","",Fest!$CX52)</f>
        <v>0</v>
      </c>
      <c r="AJ113" s="195"/>
      <c r="AK113" s="192"/>
      <c r="AL113" s="237" t="str">
        <f ca="1">Nobody!$BM58</f>
        <v>Panama</v>
      </c>
      <c r="AM113" s="237"/>
      <c r="AN113" s="191">
        <f ca="1">IF(Nobody!$CY52="","",Nobody!$CX52)</f>
        <v>2</v>
      </c>
      <c r="AO113" s="195"/>
      <c r="AP113" s="192"/>
    </row>
    <row r="114" spans="1:42">
      <c r="A114" s="2">
        <f>Ergebnisse!BA53</f>
        <v>22</v>
      </c>
      <c r="B114" s="6">
        <f>Ergebnisse!BB53</f>
        <v>46190.625</v>
      </c>
      <c r="C114" s="4" t="str">
        <f>Ergebnisse!BC53</f>
        <v>Dallas</v>
      </c>
      <c r="D114" s="56" t="str">
        <f>Ergebnisse!BD53</f>
        <v>England</v>
      </c>
      <c r="E114" s="40" t="str">
        <f>Ergebnisse!BE53</f>
        <v>-</v>
      </c>
      <c r="F114" s="56" t="str">
        <f>Ergebnisse!BF53</f>
        <v>Kroatien</v>
      </c>
      <c r="G114" s="53">
        <f>Ergebnisse!BG53</f>
        <v>0</v>
      </c>
      <c r="H114" s="57">
        <f ca="1">Ergebnisse!BH53</f>
        <v>2</v>
      </c>
      <c r="I114" s="80" t="str">
        <f>Ergebnisse!BI53</f>
        <v>:</v>
      </c>
      <c r="J114" s="57">
        <f ca="1">Ergebnisse!BJ53</f>
        <v>4</v>
      </c>
      <c r="K114" s="81" t="str">
        <f ca="1">IF(Ergebnisse!BK53="","",Ergebnisse!BK53)</f>
        <v>ok</v>
      </c>
      <c r="L114" s="192"/>
      <c r="M114" s="79">
        <f ca="1">IF($K114="","",Bernd!$BH53)</f>
        <v>2</v>
      </c>
      <c r="N114" s="79">
        <f ca="1">IF($K114="","",Bernd!$BJ53)</f>
        <v>2</v>
      </c>
      <c r="O114" s="191">
        <f ca="1">IF(Bernd!$CY53="","",Bernd!$CX53)</f>
        <v>1</v>
      </c>
      <c r="P114" s="195"/>
      <c r="Q114" s="192"/>
      <c r="R114" s="79">
        <f ca="1">IF($K114="","",Mitspieler!$BH53)</f>
        <v>0</v>
      </c>
      <c r="S114" s="79">
        <f ca="1">IF($K114="","",Mitspieler!$BJ53)</f>
        <v>0</v>
      </c>
      <c r="T114" s="191">
        <f ca="1">IF(Mitspieler!$CY53="","",Mitspieler!$CX53)</f>
        <v>0</v>
      </c>
      <c r="U114" s="195"/>
      <c r="V114" s="192"/>
      <c r="W114" s="79">
        <f ca="1">IF($K114="","",Random!$BH53)</f>
        <v>3</v>
      </c>
      <c r="X114" s="79">
        <f ca="1">IF($K114="","",Random!$BJ53)</f>
        <v>0</v>
      </c>
      <c r="Y114" s="191">
        <f ca="1">IF(Random!$CY53="","",Random!$CX53)</f>
        <v>0</v>
      </c>
      <c r="Z114" s="195"/>
      <c r="AA114" s="192"/>
      <c r="AB114" s="79">
        <f ca="1">IF($K114="","",Rangliste!$BH53)</f>
        <v>1</v>
      </c>
      <c r="AC114" s="79">
        <f ca="1">IF($K114="","",Rangliste!$BJ53)</f>
        <v>0</v>
      </c>
      <c r="AD114" s="191">
        <f ca="1">IF(Rangliste!$CY53="","",Rangliste!$CX53)</f>
        <v>0</v>
      </c>
      <c r="AE114" s="195"/>
      <c r="AF114" s="192"/>
      <c r="AG114" s="79">
        <f ca="1">IF($K114="","",Fest!$BH53)</f>
        <v>2</v>
      </c>
      <c r="AH114" s="79">
        <f ca="1">IF($K114="","",Fest!$BJ53)</f>
        <v>1</v>
      </c>
      <c r="AI114" s="191">
        <f ca="1">IF(Fest!$CY53="","",Fest!$CX53)</f>
        <v>1</v>
      </c>
      <c r="AJ114" s="195"/>
      <c r="AK114" s="192"/>
      <c r="AL114" s="79">
        <f ca="1">IF($K114="","",Nobody!$BH53)</f>
        <v>2</v>
      </c>
      <c r="AM114" s="79">
        <f ca="1">IF($K114="","",Nobody!$BJ53)</f>
        <v>4</v>
      </c>
      <c r="AN114" s="191">
        <f ca="1">IF(Nobody!$CY53="","",Nobody!$CX53)</f>
        <v>7</v>
      </c>
      <c r="AO114" s="195"/>
      <c r="AP114" s="192"/>
    </row>
    <row r="115" spans="1:42">
      <c r="A115" s="2">
        <f>Ergebnisse!BA54</f>
        <v>21</v>
      </c>
      <c r="B115" s="6">
        <f>Ergebnisse!BB54</f>
        <v>46190.791666666664</v>
      </c>
      <c r="C115" s="4" t="str">
        <f>Ergebnisse!BC54</f>
        <v>Toronto</v>
      </c>
      <c r="D115" s="56" t="str">
        <f>Ergebnisse!BD54</f>
        <v>Ghana</v>
      </c>
      <c r="E115" s="40" t="str">
        <f>Ergebnisse!BE54</f>
        <v>-</v>
      </c>
      <c r="F115" s="56" t="str">
        <f>Ergebnisse!BF54</f>
        <v>Panama</v>
      </c>
      <c r="G115" s="53">
        <f>Ergebnisse!BG54</f>
        <v>0</v>
      </c>
      <c r="H115" s="57">
        <f ca="1">Ergebnisse!BH54</f>
        <v>2</v>
      </c>
      <c r="I115" s="80" t="str">
        <f>Ergebnisse!BI54</f>
        <v>:</v>
      </c>
      <c r="J115" s="57">
        <f ca="1">Ergebnisse!BJ54</f>
        <v>0</v>
      </c>
      <c r="K115" s="81" t="str">
        <f ca="1">IF(Ergebnisse!BK54="","",Ergebnisse!BK54)</f>
        <v>ok</v>
      </c>
      <c r="L115" s="192"/>
      <c r="M115" s="79">
        <f ca="1">IF($K115="","",Bernd!$BH54)</f>
        <v>2</v>
      </c>
      <c r="N115" s="79">
        <f ca="1">IF($K115="","",Bernd!$BJ54)</f>
        <v>1</v>
      </c>
      <c r="O115" s="191">
        <f ca="1">IF(Bernd!$CY54="","",Bernd!$CX54)</f>
        <v>3</v>
      </c>
      <c r="P115" s="195"/>
      <c r="Q115" s="192"/>
      <c r="R115" s="79">
        <f ca="1">IF($K115="","",Mitspieler!$BH54)</f>
        <v>4</v>
      </c>
      <c r="S115" s="79">
        <f ca="1">IF($K115="","",Mitspieler!$BJ54)</f>
        <v>5</v>
      </c>
      <c r="T115" s="191">
        <f ca="1">IF(Mitspieler!$CY54="","",Mitspieler!$CX54)</f>
        <v>0</v>
      </c>
      <c r="U115" s="195"/>
      <c r="V115" s="192"/>
      <c r="W115" s="79">
        <f ca="1">IF($K115="","",Random!$BH54)</f>
        <v>5</v>
      </c>
      <c r="X115" s="79">
        <f ca="1">IF($K115="","",Random!$BJ54)</f>
        <v>4</v>
      </c>
      <c r="Y115" s="191">
        <f ca="1">IF(Random!$CY54="","",Random!$CX54)</f>
        <v>2</v>
      </c>
      <c r="Z115" s="195"/>
      <c r="AA115" s="192"/>
      <c r="AB115" s="79">
        <f ca="1">IF($K115="","",Rangliste!$BH54)</f>
        <v>3</v>
      </c>
      <c r="AC115" s="79">
        <f ca="1">IF($K115="","",Rangliste!$BJ54)</f>
        <v>4</v>
      </c>
      <c r="AD115" s="191">
        <f ca="1">IF(Rangliste!$CY54="","",Rangliste!$CX54)</f>
        <v>0</v>
      </c>
      <c r="AE115" s="195"/>
      <c r="AF115" s="192"/>
      <c r="AG115" s="79">
        <f ca="1">IF($K115="","",Fest!$BH54)</f>
        <v>2</v>
      </c>
      <c r="AH115" s="79">
        <f ca="1">IF($K115="","",Fest!$BJ54)</f>
        <v>1</v>
      </c>
      <c r="AI115" s="191">
        <f ca="1">IF(Fest!$CY54="","",Fest!$CX54)</f>
        <v>3</v>
      </c>
      <c r="AJ115" s="195"/>
      <c r="AK115" s="192"/>
      <c r="AL115" s="79">
        <f ca="1">IF($K115="","",Nobody!$BH54)</f>
        <v>2</v>
      </c>
      <c r="AM115" s="79">
        <f ca="1">IF($K115="","",Nobody!$BJ54)</f>
        <v>0</v>
      </c>
      <c r="AN115" s="191">
        <f ca="1">IF(Nobody!$CY54="","",Nobody!$CX54)</f>
        <v>7</v>
      </c>
      <c r="AO115" s="195"/>
      <c r="AP115" s="192"/>
    </row>
    <row r="116" spans="1:42">
      <c r="A116" s="2">
        <f>Ergebnisse!BA55</f>
        <v>45</v>
      </c>
      <c r="B116" s="6">
        <f>Ergebnisse!BB55</f>
        <v>46196.666666666664</v>
      </c>
      <c r="C116" s="4" t="str">
        <f>Ergebnisse!BC55</f>
        <v>Boston</v>
      </c>
      <c r="D116" s="56" t="str">
        <f>Ergebnisse!BD55</f>
        <v>England</v>
      </c>
      <c r="E116" s="40" t="str">
        <f>Ergebnisse!BE55</f>
        <v>-</v>
      </c>
      <c r="F116" s="56" t="str">
        <f>Ergebnisse!BF55</f>
        <v>Ghana</v>
      </c>
      <c r="G116" s="53">
        <f>Ergebnisse!BG55</f>
        <v>0</v>
      </c>
      <c r="H116" s="57">
        <f ca="1">Ergebnisse!BH55</f>
        <v>3</v>
      </c>
      <c r="I116" s="80" t="str">
        <f>Ergebnisse!BI55</f>
        <v>:</v>
      </c>
      <c r="J116" s="57">
        <f ca="1">Ergebnisse!BJ55</f>
        <v>3</v>
      </c>
      <c r="K116" s="81" t="str">
        <f ca="1">IF(Ergebnisse!BK55="","",Ergebnisse!BK55)</f>
        <v>ok</v>
      </c>
      <c r="L116" s="192"/>
      <c r="M116" s="79">
        <f ca="1">IF($K116="","",Bernd!$BH55)</f>
        <v>1</v>
      </c>
      <c r="N116" s="79">
        <f ca="1">IF($K116="","",Bernd!$BJ55)</f>
        <v>0</v>
      </c>
      <c r="O116" s="191">
        <f ca="1">IF(Bernd!$CY55="","",Bernd!$CX55)</f>
        <v>0</v>
      </c>
      <c r="P116" s="195"/>
      <c r="Q116" s="192"/>
      <c r="R116" s="79">
        <f ca="1">IF($K116="","",Mitspieler!$BH55)</f>
        <v>4</v>
      </c>
      <c r="S116" s="79">
        <f ca="1">IF($K116="","",Mitspieler!$BJ55)</f>
        <v>2</v>
      </c>
      <c r="T116" s="191">
        <f ca="1">IF(Mitspieler!$CY55="","",Mitspieler!$CX55)</f>
        <v>0</v>
      </c>
      <c r="U116" s="195"/>
      <c r="V116" s="192"/>
      <c r="W116" s="79">
        <f ca="1">IF($K116="","",Random!$BH55)</f>
        <v>1</v>
      </c>
      <c r="X116" s="79">
        <f ca="1">IF($K116="","",Random!$BJ55)</f>
        <v>4</v>
      </c>
      <c r="Y116" s="191">
        <f ca="1">IF(Random!$CY55="","",Random!$CX55)</f>
        <v>0</v>
      </c>
      <c r="Z116" s="195"/>
      <c r="AA116" s="192"/>
      <c r="AB116" s="79">
        <f ca="1">IF($K116="","",Rangliste!$BH55)</f>
        <v>5</v>
      </c>
      <c r="AC116" s="79">
        <f ca="1">IF($K116="","",Rangliste!$BJ55)</f>
        <v>3</v>
      </c>
      <c r="AD116" s="191">
        <f ca="1">IF(Rangliste!$CY55="","",Rangliste!$CX55)</f>
        <v>1</v>
      </c>
      <c r="AE116" s="195"/>
      <c r="AF116" s="192"/>
      <c r="AG116" s="79">
        <f ca="1">IF($K116="","",Fest!$BH55)</f>
        <v>2</v>
      </c>
      <c r="AH116" s="79">
        <f ca="1">IF($K116="","",Fest!$BJ55)</f>
        <v>1</v>
      </c>
      <c r="AI116" s="191">
        <f ca="1">IF(Fest!$CY55="","",Fest!$CX55)</f>
        <v>0</v>
      </c>
      <c r="AJ116" s="195"/>
      <c r="AK116" s="192"/>
      <c r="AL116" s="79">
        <f ca="1">IF($K116="","",Nobody!$BH55)</f>
        <v>3</v>
      </c>
      <c r="AM116" s="79">
        <f ca="1">IF($K116="","",Nobody!$BJ55)</f>
        <v>3</v>
      </c>
      <c r="AN116" s="191">
        <f ca="1">IF(Nobody!$CY55="","",Nobody!$CX55)</f>
        <v>7</v>
      </c>
      <c r="AO116" s="195"/>
      <c r="AP116" s="192"/>
    </row>
    <row r="117" spans="1:42" s="1" customFormat="1">
      <c r="A117" s="2">
        <f>Ergebnisse!BA56</f>
        <v>46</v>
      </c>
      <c r="B117" s="6">
        <f>Ergebnisse!BB56</f>
        <v>46196.791666666664</v>
      </c>
      <c r="C117" s="4" t="str">
        <f>Ergebnisse!BC56</f>
        <v>Toronto</v>
      </c>
      <c r="D117" s="56" t="str">
        <f>Ergebnisse!BD56</f>
        <v>Panama</v>
      </c>
      <c r="E117" s="40" t="str">
        <f>Ergebnisse!BE56</f>
        <v>-</v>
      </c>
      <c r="F117" s="56" t="str">
        <f>Ergebnisse!BF56</f>
        <v>Kroatien</v>
      </c>
      <c r="G117" s="55">
        <f>Ergebnisse!BG56</f>
        <v>0</v>
      </c>
      <c r="H117" s="57">
        <f ca="1">Ergebnisse!BH56</f>
        <v>4</v>
      </c>
      <c r="I117" s="80" t="str">
        <f>Ergebnisse!BI56</f>
        <v>:</v>
      </c>
      <c r="J117" s="57">
        <f ca="1">Ergebnisse!BJ56</f>
        <v>0</v>
      </c>
      <c r="K117" s="81" t="str">
        <f ca="1">IF(Ergebnisse!BK56="","",Ergebnisse!BK56)</f>
        <v>ok</v>
      </c>
      <c r="L117" s="192"/>
      <c r="M117" s="79">
        <f ca="1">IF($K117="","",Bernd!$BH56)</f>
        <v>1</v>
      </c>
      <c r="N117" s="79">
        <f ca="1">IF($K117="","",Bernd!$BJ56)</f>
        <v>4</v>
      </c>
      <c r="O117" s="191">
        <f ca="1">IF(Bernd!$CY56="","",Bernd!$CX56)</f>
        <v>0</v>
      </c>
      <c r="P117" s="195"/>
      <c r="Q117" s="192"/>
      <c r="R117" s="79">
        <f ca="1">IF($K117="","",Mitspieler!$BH56)</f>
        <v>3</v>
      </c>
      <c r="S117" s="79">
        <f ca="1">IF($K117="","",Mitspieler!$BJ56)</f>
        <v>3</v>
      </c>
      <c r="T117" s="191">
        <f ca="1">IF(Mitspieler!$CY56="","",Mitspieler!$CX56)</f>
        <v>0</v>
      </c>
      <c r="U117" s="195"/>
      <c r="V117" s="192"/>
      <c r="W117" s="79">
        <f ca="1">IF($K117="","",Random!$BH56)</f>
        <v>1</v>
      </c>
      <c r="X117" s="79">
        <f ca="1">IF($K117="","",Random!$BJ56)</f>
        <v>1</v>
      </c>
      <c r="Y117" s="191">
        <f ca="1">IF(Random!$CY56="","",Random!$CX56)</f>
        <v>0</v>
      </c>
      <c r="Z117" s="195"/>
      <c r="AA117" s="192"/>
      <c r="AB117" s="79">
        <f ca="1">IF($K117="","",Rangliste!$BH56)</f>
        <v>3</v>
      </c>
      <c r="AC117" s="79">
        <f ca="1">IF($K117="","",Rangliste!$BJ56)</f>
        <v>3</v>
      </c>
      <c r="AD117" s="191">
        <f ca="1">IF(Rangliste!$CY56="","",Rangliste!$CX56)</f>
        <v>0</v>
      </c>
      <c r="AE117" s="195"/>
      <c r="AF117" s="192"/>
      <c r="AG117" s="79">
        <f ca="1">IF($K117="","",Fest!$BH56)</f>
        <v>2</v>
      </c>
      <c r="AH117" s="79">
        <f ca="1">IF($K117="","",Fest!$BJ56)</f>
        <v>1</v>
      </c>
      <c r="AI117" s="191">
        <f ca="1">IF(Fest!$CY56="","",Fest!$CX56)</f>
        <v>2</v>
      </c>
      <c r="AJ117" s="195"/>
      <c r="AK117" s="192"/>
      <c r="AL117" s="79">
        <f ca="1">IF($K117="","",Nobody!$BH56)</f>
        <v>4</v>
      </c>
      <c r="AM117" s="79">
        <f ca="1">IF($K117="","",Nobody!$BJ56)</f>
        <v>0</v>
      </c>
      <c r="AN117" s="191">
        <f ca="1">IF(Nobody!$CY56="","",Nobody!$CX56)</f>
        <v>7</v>
      </c>
      <c r="AO117" s="195"/>
      <c r="AP117" s="192"/>
    </row>
    <row r="118" spans="1:42">
      <c r="A118" s="2">
        <f>Ergebnisse!BA57</f>
        <v>68</v>
      </c>
      <c r="B118" s="6">
        <f>Ergebnisse!BB57</f>
        <v>46200.708333333336</v>
      </c>
      <c r="C118" s="4" t="str">
        <f>Ergebnisse!BC57</f>
        <v>Philadelphia</v>
      </c>
      <c r="D118" s="56" t="str">
        <f>Ergebnisse!BD57</f>
        <v>Panama</v>
      </c>
      <c r="E118" s="40" t="str">
        <f>Ergebnisse!BE57</f>
        <v>-</v>
      </c>
      <c r="F118" s="56" t="str">
        <f>Ergebnisse!BF57</f>
        <v>England</v>
      </c>
      <c r="G118" s="53">
        <f>Ergebnisse!BG57</f>
        <v>0</v>
      </c>
      <c r="H118" s="57">
        <f ca="1">Ergebnisse!BH57</f>
        <v>3</v>
      </c>
      <c r="I118" s="80" t="str">
        <f>Ergebnisse!BI57</f>
        <v>:</v>
      </c>
      <c r="J118" s="57">
        <f ca="1">Ergebnisse!BJ57</f>
        <v>3</v>
      </c>
      <c r="K118" s="81" t="str">
        <f ca="1">IF(Ergebnisse!BK57="","",Ergebnisse!BK57)</f>
        <v>ok</v>
      </c>
      <c r="L118" s="30"/>
      <c r="M118" s="79">
        <f ca="1">IF($K118="","",Bernd!$BH57)</f>
        <v>0</v>
      </c>
      <c r="N118" s="79">
        <f ca="1">IF($K118="","",Bernd!$BJ57)</f>
        <v>2</v>
      </c>
      <c r="O118" s="191">
        <f ca="1">IF(Bernd!$CY57="","",Bernd!$CX57)</f>
        <v>0</v>
      </c>
      <c r="P118" s="195"/>
      <c r="Q118" s="30"/>
      <c r="R118" s="79">
        <f ca="1">IF($K118="","",Mitspieler!$BH57)</f>
        <v>3</v>
      </c>
      <c r="S118" s="79">
        <f ca="1">IF($K118="","",Mitspieler!$BJ57)</f>
        <v>3</v>
      </c>
      <c r="T118" s="191">
        <f ca="1">IF(Mitspieler!$CY57="","",Mitspieler!$CX57)</f>
        <v>7</v>
      </c>
      <c r="U118" s="195"/>
      <c r="V118" s="30"/>
      <c r="W118" s="79">
        <f ca="1">IF($K118="","",Random!$BH57)</f>
        <v>5</v>
      </c>
      <c r="X118" s="79">
        <f ca="1">IF($K118="","",Random!$BJ57)</f>
        <v>2</v>
      </c>
      <c r="Y118" s="191">
        <f ca="1">IF(Random!$CY57="","",Random!$CX57)</f>
        <v>0</v>
      </c>
      <c r="Z118" s="195"/>
      <c r="AA118" s="30"/>
      <c r="AB118" s="79">
        <f ca="1">IF($K118="","",Rangliste!$BH57)</f>
        <v>4</v>
      </c>
      <c r="AC118" s="79">
        <f ca="1">IF($K118="","",Rangliste!$BJ57)</f>
        <v>5</v>
      </c>
      <c r="AD118" s="191">
        <f ca="1">IF(Rangliste!$CY57="","",Rangliste!$CX57)</f>
        <v>0</v>
      </c>
      <c r="AE118" s="195"/>
      <c r="AF118" s="30"/>
      <c r="AG118" s="79">
        <f ca="1">IF($K118="","",Fest!$BH57)</f>
        <v>2</v>
      </c>
      <c r="AH118" s="79">
        <f ca="1">IF($K118="","",Fest!$BJ57)</f>
        <v>1</v>
      </c>
      <c r="AI118" s="191">
        <f ca="1">IF(Fest!$CY57="","",Fest!$CX57)</f>
        <v>0</v>
      </c>
      <c r="AJ118" s="195"/>
      <c r="AK118" s="30"/>
      <c r="AL118" s="79">
        <f ca="1">IF($K118="","",Nobody!$BH57)</f>
        <v>3</v>
      </c>
      <c r="AM118" s="79">
        <f ca="1">IF($K118="","",Nobody!$BJ57)</f>
        <v>3</v>
      </c>
      <c r="AN118" s="191">
        <f ca="1">IF(Nobody!$CY57="","",Nobody!$CX57)</f>
        <v>7</v>
      </c>
      <c r="AO118" s="195"/>
      <c r="AP118" s="30"/>
    </row>
    <row r="119" spans="1:42">
      <c r="A119" s="2">
        <f>Ergebnisse!BA58</f>
        <v>67</v>
      </c>
      <c r="B119" s="6">
        <f>Ergebnisse!BB58</f>
        <v>46200.708333333336</v>
      </c>
      <c r="C119" s="4" t="str">
        <f>Ergebnisse!BC58</f>
        <v>New York</v>
      </c>
      <c r="D119" s="56" t="str">
        <f>Ergebnisse!BD58</f>
        <v>Kroatien</v>
      </c>
      <c r="E119" s="40" t="str">
        <f>Ergebnisse!BE58</f>
        <v>-</v>
      </c>
      <c r="F119" s="56" t="str">
        <f>Ergebnisse!BF58</f>
        <v>Ghana</v>
      </c>
      <c r="G119" s="55">
        <f>Ergebnisse!BG58</f>
        <v>0</v>
      </c>
      <c r="H119" s="57">
        <f ca="1">Ergebnisse!BH58</f>
        <v>3</v>
      </c>
      <c r="I119" s="80" t="str">
        <f>Ergebnisse!BI58</f>
        <v>:</v>
      </c>
      <c r="J119" s="57">
        <f ca="1">Ergebnisse!BJ58</f>
        <v>3</v>
      </c>
      <c r="K119" s="81" t="str">
        <f ca="1">IF(Ergebnisse!BK58="","",Ergebnisse!BK58)</f>
        <v>ok</v>
      </c>
      <c r="L119" s="30"/>
      <c r="M119" s="79">
        <f ca="1">IF($K119="","",Bernd!$BH58)</f>
        <v>3</v>
      </c>
      <c r="N119" s="79">
        <f ca="1">IF($K119="","",Bernd!$BJ58)</f>
        <v>2</v>
      </c>
      <c r="O119" s="191">
        <f ca="1">IF(Bernd!$CY58="","",Bernd!$CX58)</f>
        <v>1</v>
      </c>
      <c r="P119" s="195"/>
      <c r="Q119" s="30"/>
      <c r="R119" s="79">
        <f ca="1">IF($K119="","",Mitspieler!$BH58)</f>
        <v>3</v>
      </c>
      <c r="S119" s="79">
        <f ca="1">IF($K119="","",Mitspieler!$BJ58)</f>
        <v>1</v>
      </c>
      <c r="T119" s="191">
        <f ca="1">IF(Mitspieler!$CY58="","",Mitspieler!$CX58)</f>
        <v>1</v>
      </c>
      <c r="U119" s="195"/>
      <c r="V119" s="30"/>
      <c r="W119" s="79">
        <f ca="1">IF($K119="","",Random!$BH58)</f>
        <v>2</v>
      </c>
      <c r="X119" s="79">
        <f ca="1">IF($K119="","",Random!$BJ58)</f>
        <v>0</v>
      </c>
      <c r="Y119" s="191">
        <f ca="1">IF(Random!$CY58="","",Random!$CX58)</f>
        <v>0</v>
      </c>
      <c r="Z119" s="195"/>
      <c r="AA119" s="30"/>
      <c r="AB119" s="79">
        <f ca="1">IF($K119="","",Rangliste!$BH58)</f>
        <v>2</v>
      </c>
      <c r="AC119" s="79">
        <f ca="1">IF($K119="","",Rangliste!$BJ58)</f>
        <v>0</v>
      </c>
      <c r="AD119" s="191">
        <f ca="1">IF(Rangliste!$CY58="","",Rangliste!$CX58)</f>
        <v>0</v>
      </c>
      <c r="AE119" s="195"/>
      <c r="AF119" s="30"/>
      <c r="AG119" s="79">
        <f ca="1">IF($K119="","",Fest!$BH58)</f>
        <v>2</v>
      </c>
      <c r="AH119" s="79">
        <f ca="1">IF($K119="","",Fest!$BJ58)</f>
        <v>1</v>
      </c>
      <c r="AI119" s="191">
        <f ca="1">IF(Fest!$CY58="","",Fest!$CX58)</f>
        <v>0</v>
      </c>
      <c r="AJ119" s="195"/>
      <c r="AK119" s="30"/>
      <c r="AL119" s="79">
        <f ca="1">IF($K119="","",Nobody!$BH58)</f>
        <v>3</v>
      </c>
      <c r="AM119" s="79">
        <f ca="1">IF($K119="","",Nobody!$BJ58)</f>
        <v>3</v>
      </c>
      <c r="AN119" s="191">
        <f ca="1">IF(Nobody!$CY58="","",Nobody!$CX58)</f>
        <v>7</v>
      </c>
      <c r="AO119" s="195"/>
      <c r="AP119" s="30"/>
    </row>
    <row r="120" spans="1:42" s="55" customFormat="1">
      <c r="F120" s="237" t="str">
        <f ca="1">Ergebnisse!BM59</f>
        <v>Kroatien</v>
      </c>
      <c r="G120" s="63">
        <f>Ergebnisse!BG59</f>
        <v>0</v>
      </c>
      <c r="H120" s="40"/>
      <c r="I120" s="40"/>
      <c r="J120" s="40"/>
      <c r="K120" s="81" t="str">
        <f>IF(Ergebnisse!K119="","",Ergebnisse!K119)</f>
        <v/>
      </c>
      <c r="L120" s="275"/>
      <c r="M120" s="237" t="str">
        <f>Bernd!$BM59</f>
        <v>Ghana</v>
      </c>
      <c r="N120" s="237"/>
      <c r="O120" s="191">
        <f ca="1">IF(Bernd!$CY59="","",Bernd!$CX59)</f>
        <v>2</v>
      </c>
      <c r="P120" s="198"/>
      <c r="Q120" s="197"/>
      <c r="R120" s="237" t="str">
        <f>Mitspieler!$BM59</f>
        <v>Kroatien</v>
      </c>
      <c r="S120" s="237"/>
      <c r="T120" s="191">
        <f ca="1">IF(Mitspieler!$CY59="","",Mitspieler!$CX59)</f>
        <v>2</v>
      </c>
      <c r="U120" s="198"/>
      <c r="V120" s="197"/>
      <c r="W120" s="237" t="str">
        <f ca="1">Random!$BM59</f>
        <v>Kroatien</v>
      </c>
      <c r="X120" s="237"/>
      <c r="Y120" s="191">
        <f ca="1">IF(Random!$CY59="","",Random!$CX59)</f>
        <v>2</v>
      </c>
      <c r="Z120" s="198"/>
      <c r="AA120" s="197"/>
      <c r="AB120" s="237" t="str">
        <f>Rangliste!$BM59</f>
        <v>Panama</v>
      </c>
      <c r="AC120" s="237"/>
      <c r="AD120" s="191">
        <f ca="1">IF(Rangliste!$CY59="","",Rangliste!$CX59)</f>
        <v>2</v>
      </c>
      <c r="AE120" s="198"/>
      <c r="AF120" s="197"/>
      <c r="AG120" s="237" t="str">
        <f ca="1">Fest!$BM59</f>
        <v>Kroatien</v>
      </c>
      <c r="AH120" s="237"/>
      <c r="AI120" s="191">
        <f ca="1">IF(Fest!$CY59="","",Fest!$CX59)</f>
        <v>2</v>
      </c>
      <c r="AJ120" s="198"/>
      <c r="AK120" s="197"/>
      <c r="AL120" s="237" t="str">
        <f ca="1">Nobody!$BM59</f>
        <v>Kroatien</v>
      </c>
      <c r="AM120" s="237"/>
      <c r="AN120" s="191">
        <f ca="1">IF(Nobody!$CY59="","",Nobody!$CX59)</f>
        <v>2</v>
      </c>
      <c r="AO120" s="198"/>
      <c r="AP120" s="197"/>
    </row>
    <row r="121" spans="1:42" s="10" customFormat="1">
      <c r="B121" s="17"/>
      <c r="C121" s="21"/>
      <c r="D121" s="17"/>
      <c r="E121" s="14"/>
      <c r="F121" s="17"/>
      <c r="G121" s="17"/>
      <c r="H121" s="79"/>
      <c r="I121" s="58"/>
      <c r="J121" s="58"/>
      <c r="K121" s="136"/>
      <c r="L121" s="193"/>
      <c r="M121" s="136"/>
      <c r="N121" s="136"/>
      <c r="O121" s="193"/>
      <c r="P121" s="195"/>
      <c r="Q121" s="193"/>
      <c r="R121" s="136"/>
      <c r="S121" s="136"/>
      <c r="T121" s="193"/>
      <c r="U121" s="195"/>
      <c r="V121" s="193"/>
      <c r="W121" s="136"/>
      <c r="X121" s="136"/>
      <c r="Y121" s="193"/>
      <c r="Z121" s="195"/>
      <c r="AA121" s="193"/>
      <c r="AB121" s="136"/>
      <c r="AC121" s="136"/>
      <c r="AD121" s="193"/>
      <c r="AE121" s="195"/>
      <c r="AF121" s="193"/>
      <c r="AG121" s="136"/>
      <c r="AH121" s="136"/>
      <c r="AI121" s="193"/>
      <c r="AJ121" s="195"/>
      <c r="AK121" s="193"/>
      <c r="AL121" s="136"/>
      <c r="AM121" s="136"/>
      <c r="AN121" s="193"/>
      <c r="AO121" s="195"/>
      <c r="AP121" s="193"/>
    </row>
    <row r="122" spans="1:42" s="10" customFormat="1">
      <c r="B122" s="21" t="str">
        <f>Ergebnisse!B61</f>
        <v>Sechzehntelfinale</v>
      </c>
      <c r="C122" s="21"/>
      <c r="D122" s="17"/>
      <c r="E122" s="14"/>
      <c r="F122" s="17"/>
      <c r="G122" s="17"/>
      <c r="H122" s="20"/>
      <c r="I122" s="19"/>
      <c r="J122" s="20"/>
      <c r="K122" s="181"/>
      <c r="L122" s="193"/>
      <c r="M122" s="136"/>
      <c r="N122" s="136"/>
      <c r="O122" s="193"/>
      <c r="P122" s="195"/>
      <c r="Q122" s="193"/>
      <c r="R122" s="136"/>
      <c r="S122" s="136"/>
      <c r="T122" s="193"/>
      <c r="U122" s="195"/>
      <c r="V122" s="193"/>
      <c r="W122" s="136"/>
      <c r="X122" s="136"/>
      <c r="Y122" s="193"/>
      <c r="Z122" s="195"/>
      <c r="AA122" s="193"/>
      <c r="AB122" s="136"/>
      <c r="AC122" s="136"/>
      <c r="AD122" s="193"/>
      <c r="AE122" s="195"/>
      <c r="AF122" s="193"/>
      <c r="AG122" s="136"/>
      <c r="AH122" s="136"/>
      <c r="AI122" s="193"/>
      <c r="AJ122" s="195"/>
      <c r="AK122" s="193"/>
      <c r="AL122" s="136"/>
      <c r="AM122" s="136"/>
      <c r="AN122" s="193"/>
      <c r="AO122" s="195"/>
      <c r="AP122" s="193"/>
    </row>
    <row r="123" spans="1:42" s="10" customFormat="1">
      <c r="A123" s="2"/>
      <c r="B123" s="3" t="str">
        <f>Ergebnisse!B62</f>
        <v>Datum/Zeit</v>
      </c>
      <c r="C123" s="3" t="str">
        <f>Ergebnisse!C62</f>
        <v>Spielort</v>
      </c>
      <c r="D123" s="17"/>
      <c r="E123" s="14"/>
      <c r="F123" s="17"/>
      <c r="G123" s="17">
        <f>Ergebnisse!G62</f>
        <v>0</v>
      </c>
      <c r="H123" s="20"/>
      <c r="I123" s="11"/>
      <c r="J123" s="20"/>
      <c r="K123" s="181"/>
      <c r="L123" s="193"/>
      <c r="M123" s="199" t="str">
        <f ca="1">IF($K124="","",Bernd!$D63)</f>
        <v>Tschechien</v>
      </c>
      <c r="N123" s="199" t="str">
        <f ca="1">IF($K124="","",Bernd!$F63)</f>
        <v>Schweiz</v>
      </c>
      <c r="O123" s="191">
        <f ca="1">IF(M123="","",IF(AND(M124&lt;&gt;"",$D124=M123),1,0)+IF(AND(N124&lt;&gt;"",$F124=N123),1,0))</f>
        <v>2</v>
      </c>
      <c r="P123" s="195"/>
      <c r="Q123" s="193"/>
      <c r="R123" s="199" t="str">
        <f ca="1">IF($K124="","",Mitspieler!$D63)</f>
        <v>Südkorea</v>
      </c>
      <c r="S123" s="199" t="str">
        <f ca="1">IF($K124="","",Mitspieler!$F63)</f>
        <v>Bosnien/Herzg.</v>
      </c>
      <c r="T123" s="191">
        <f ca="1">IF(R123="","",IF(AND(R124&lt;&gt;"",$D124=R123),1,0)+IF(AND(S124&lt;&gt;"",$F124=S123),1,0))</f>
        <v>0</v>
      </c>
      <c r="U123" s="195"/>
      <c r="V123" s="193"/>
      <c r="W123" s="199" t="str">
        <f ca="1">IF($K124="","",Random!$D63)</f>
        <v>Südkorea</v>
      </c>
      <c r="X123" s="199" t="str">
        <f ca="1">IF($K124="","",Random!$F63)</f>
        <v>Bosnien/Herzg.</v>
      </c>
      <c r="Y123" s="191">
        <f ca="1">IF(W123="","",IF(AND(W124&lt;&gt;"",$D124=W123),1,0)+IF(AND(X124&lt;&gt;"",$F124=X123),1,0))</f>
        <v>0</v>
      </c>
      <c r="Z123" s="195"/>
      <c r="AA123" s="193"/>
      <c r="AB123" s="199" t="str">
        <f ca="1">IF($K124="","",Rangliste!$D63)</f>
        <v>Südkorea</v>
      </c>
      <c r="AC123" s="199" t="str">
        <f ca="1">IF($K124="","",Rangliste!$F63)</f>
        <v>Kanada</v>
      </c>
      <c r="AD123" s="191">
        <f ca="1">IF(AB123="","",IF(AND(AB124&lt;&gt;"",$D124=AB123),1,0)+IF(AND(AC124&lt;&gt;"",$F124=AC123),1,0))</f>
        <v>0</v>
      </c>
      <c r="AE123" s="195"/>
      <c r="AF123" s="193"/>
      <c r="AG123" s="199" t="str">
        <f ca="1">IF($K124="","",Fest!$D63)</f>
        <v>Mexiko</v>
      </c>
      <c r="AH123" s="199" t="str">
        <f ca="1">IF($K124="","",Fest!$F63)</f>
        <v>Kanada</v>
      </c>
      <c r="AI123" s="191">
        <f ca="1">IF(AG123="","",IF(AND(AG124&lt;&gt;"",$D124=AG123),1,0)+IF(AND(AH124&lt;&gt;"",$F124=AH123),1,0))</f>
        <v>0</v>
      </c>
      <c r="AJ123" s="195"/>
      <c r="AK123" s="193"/>
      <c r="AL123" s="199" t="str">
        <f ca="1">IF($K124="","",Nobody!$D63)</f>
        <v>Tschechien</v>
      </c>
      <c r="AM123" s="199" t="str">
        <f ca="1">IF($K124="","",Nobody!$F63)</f>
        <v>Schweiz</v>
      </c>
      <c r="AN123" s="191">
        <f ca="1">IF(AL123="","",IF(AND(AL124&lt;&gt;"",$D124=AL123),1,0)+IF(AND(AM124&lt;&gt;"",$F124=AM123),1,0))</f>
        <v>2</v>
      </c>
      <c r="AO123" s="195"/>
      <c r="AP123" s="193"/>
    </row>
    <row r="124" spans="1:42" s="10" customFormat="1">
      <c r="A124" s="2">
        <f>Ergebnisse!A63</f>
        <v>73</v>
      </c>
      <c r="B124" s="6">
        <f>Ergebnisse!B63</f>
        <v>46201.5</v>
      </c>
      <c r="C124" s="6" t="str">
        <f>Ergebnisse!C63</f>
        <v>Los Angeles</v>
      </c>
      <c r="D124" s="26" t="str">
        <f ca="1">Ergebnisse!D63</f>
        <v>Tschechien</v>
      </c>
      <c r="E124" s="15" t="str">
        <f>Ergebnisse!E63</f>
        <v>-</v>
      </c>
      <c r="F124" s="37" t="str">
        <f ca="1">Ergebnisse!F63</f>
        <v>Schweiz</v>
      </c>
      <c r="G124" s="17">
        <f>Ergebnisse!G63</f>
        <v>0</v>
      </c>
      <c r="H124" s="107">
        <f ca="1">Ergebnisse!H63</f>
        <v>6</v>
      </c>
      <c r="I124" s="11" t="str">
        <f>Ergebnisse!I63</f>
        <v>:</v>
      </c>
      <c r="J124" s="107">
        <f ca="1">Ergebnisse!J63</f>
        <v>7</v>
      </c>
      <c r="K124" s="7" t="str">
        <f ca="1">Ergebnisse!K63</f>
        <v>ok</v>
      </c>
      <c r="L124" s="193"/>
      <c r="M124" s="79">
        <f ca="1">IF($K124="","",Bernd!$H63)</f>
        <v>1</v>
      </c>
      <c r="N124" s="79">
        <f ca="1">IF($K124="","",Bernd!$J63)</f>
        <v>3</v>
      </c>
      <c r="O124" s="191">
        <f ca="1">IF(Bernd!$AY63="","",Bernd!$AX63-O123)</f>
        <v>7</v>
      </c>
      <c r="P124" s="195"/>
      <c r="Q124" s="193"/>
      <c r="R124" s="79">
        <f ca="1">IF($K124="","",Mitspieler!$H63)</f>
        <v>4</v>
      </c>
      <c r="S124" s="79">
        <f ca="1">IF($K124="","",Mitspieler!$J63)</f>
        <v>3</v>
      </c>
      <c r="T124" s="191">
        <f ca="1">IF(Mitspieler!$AY63="","",Mitspieler!$AX63-T123)</f>
        <v>0</v>
      </c>
      <c r="U124" s="195"/>
      <c r="V124" s="193"/>
      <c r="W124" s="79">
        <f ca="1">IF($K124="","",Random!$H63)</f>
        <v>4</v>
      </c>
      <c r="X124" s="79">
        <f ca="1">IF($K124="","",Random!$J63)</f>
        <v>3</v>
      </c>
      <c r="Y124" s="191">
        <f ca="1">IF(Random!$AY63="","",Random!$AX63-Y123)</f>
        <v>0</v>
      </c>
      <c r="Z124" s="195"/>
      <c r="AA124" s="193"/>
      <c r="AB124" s="79">
        <f ca="1">IF($K124="","",Rangliste!$H63)</f>
        <v>1</v>
      </c>
      <c r="AC124" s="79">
        <f ca="1">IF($K124="","",Rangliste!$J63)</f>
        <v>0</v>
      </c>
      <c r="AD124" s="191">
        <f ca="1">IF(Rangliste!$AY63="","",Rangliste!$AX63-AD123)</f>
        <v>0</v>
      </c>
      <c r="AE124" s="195"/>
      <c r="AF124" s="193"/>
      <c r="AG124" s="79">
        <f ca="1">IF($K124="","",Fest!$H63)</f>
        <v>2</v>
      </c>
      <c r="AH124" s="79">
        <f ca="1">IF($K124="","",Fest!$J63)</f>
        <v>1</v>
      </c>
      <c r="AI124" s="191">
        <f ca="1">IF(Fest!$AY63="","",Fest!$AX63-AI123)</f>
        <v>0</v>
      </c>
      <c r="AJ124" s="195"/>
      <c r="AK124" s="193"/>
      <c r="AL124" s="79">
        <f ca="1">IF($K124="","",Nobody!$H63)</f>
        <v>6</v>
      </c>
      <c r="AM124" s="79">
        <f ca="1">IF($K124="","",Nobody!$J63)</f>
        <v>7</v>
      </c>
      <c r="AN124" s="191">
        <f ca="1">IF(Nobody!$AY63="","",Nobody!$AX63-AN123)</f>
        <v>9</v>
      </c>
      <c r="AO124" s="195"/>
      <c r="AP124" s="193"/>
    </row>
    <row r="125" spans="1:42" s="10" customFormat="1">
      <c r="A125" s="2"/>
      <c r="B125" s="2"/>
      <c r="C125" s="2"/>
      <c r="D125" s="2"/>
      <c r="E125" s="2"/>
      <c r="F125" s="2"/>
      <c r="G125" s="2"/>
      <c r="H125" s="2"/>
      <c r="I125" s="2"/>
      <c r="J125" s="2"/>
      <c r="K125" s="2"/>
      <c r="L125" s="193"/>
      <c r="M125" s="199" t="str">
        <f ca="1">IF($K126="","",Bernd!$D64)</f>
        <v>Brasilien</v>
      </c>
      <c r="N125" s="199" t="str">
        <f ca="1">IF($K126="","",Bernd!$F64)</f>
        <v>Niederlande</v>
      </c>
      <c r="O125" s="191">
        <f ca="1">IF(M125="","",IF(AND(M126&lt;&gt;"",$D126=M125),1,0)+IF(AND(N126&lt;&gt;"",$F126=N125),1,0))</f>
        <v>0</v>
      </c>
      <c r="P125" s="195"/>
      <c r="Q125" s="193"/>
      <c r="R125" s="199" t="str">
        <f ca="1">IF($K126="","",Mitspieler!$D64)</f>
        <v>Marokko</v>
      </c>
      <c r="S125" s="199" t="str">
        <f ca="1">IF($K126="","",Mitspieler!$F64)</f>
        <v>Japan</v>
      </c>
      <c r="T125" s="191">
        <f ca="1">IF(R125="","",IF(AND(R126&lt;&gt;"",$D126=R125),1,0)+IF(AND(S126&lt;&gt;"",$F126=S125),1,0))</f>
        <v>0</v>
      </c>
      <c r="U125" s="195"/>
      <c r="V125" s="193"/>
      <c r="W125" s="199" t="str">
        <f ca="1">IF($K126="","",Random!$D64)</f>
        <v>Haiti</v>
      </c>
      <c r="X125" s="199" t="str">
        <f ca="1">IF($K126="","",Random!$F64)</f>
        <v>Niederlande</v>
      </c>
      <c r="Y125" s="191">
        <f ca="1">IF(W125="","",IF(AND(W126&lt;&gt;"",$D126=W125),1,0)+IF(AND(X126&lt;&gt;"",$F126=X125),1,0))</f>
        <v>0</v>
      </c>
      <c r="Z125" s="195"/>
      <c r="AA125" s="193"/>
      <c r="AB125" s="199" t="str">
        <f ca="1">IF($K126="","",Rangliste!$D64)</f>
        <v>Brasilien</v>
      </c>
      <c r="AC125" s="199" t="str">
        <f ca="1">IF($K126="","",Rangliste!$F64)</f>
        <v>Japan</v>
      </c>
      <c r="AD125" s="191">
        <f ca="1">IF(AB125="","",IF(AND(AB126&lt;&gt;"",$D126=AB125),1,0)+IF(AND(AC126&lt;&gt;"",$F126=AC125),1,0))</f>
        <v>0</v>
      </c>
      <c r="AE125" s="195"/>
      <c r="AF125" s="193"/>
      <c r="AG125" s="199" t="str">
        <f ca="1">IF($K126="","",Fest!$D64)</f>
        <v>Schottland</v>
      </c>
      <c r="AH125" s="199" t="str">
        <f ca="1">IF($K126="","",Fest!$F64)</f>
        <v>Niederlande</v>
      </c>
      <c r="AI125" s="191">
        <f ca="1">IF(AG125="","",IF(AND(AG126&lt;&gt;"",$D126=AG125),1,0)+IF(AND(AH126&lt;&gt;"",$F126=AH125),1,0))</f>
        <v>1</v>
      </c>
      <c r="AJ125" s="195"/>
      <c r="AK125" s="193"/>
      <c r="AL125" s="199" t="str">
        <f ca="1">IF($K126="","",Nobody!$D64)</f>
        <v>Schottland</v>
      </c>
      <c r="AM125" s="199" t="str">
        <f ca="1">IF($K126="","",Nobody!$F64)</f>
        <v>Schweden</v>
      </c>
      <c r="AN125" s="191">
        <f ca="1">IF(AL125="","",IF(AND(AL126&lt;&gt;"",$D126=AL125),1,0)+IF(AND(AM126&lt;&gt;"",$F126=AM125),1,0))</f>
        <v>2</v>
      </c>
      <c r="AO125" s="195"/>
      <c r="AP125" s="193"/>
    </row>
    <row r="126" spans="1:42" s="10" customFormat="1">
      <c r="A126" s="2">
        <f>Ergebnisse!A64</f>
        <v>76</v>
      </c>
      <c r="B126" s="6">
        <f>Ergebnisse!B64</f>
        <v>46202.5</v>
      </c>
      <c r="C126" s="6" t="str">
        <f>Ergebnisse!C64</f>
        <v>Houston</v>
      </c>
      <c r="D126" s="38" t="str">
        <f ca="1">Ergebnisse!D64</f>
        <v>Schottland</v>
      </c>
      <c r="E126" s="15" t="str">
        <f>Ergebnisse!E64</f>
        <v>-</v>
      </c>
      <c r="F126" s="223" t="str">
        <f ca="1">Ergebnisse!F64</f>
        <v>Schweden</v>
      </c>
      <c r="G126" s="17">
        <f>Ergebnisse!G64</f>
        <v>0</v>
      </c>
      <c r="H126" s="107">
        <f ca="1">Ergebnisse!H64</f>
        <v>3</v>
      </c>
      <c r="I126" s="11" t="str">
        <f>Ergebnisse!I64</f>
        <v>:</v>
      </c>
      <c r="J126" s="107">
        <f ca="1">Ergebnisse!J64</f>
        <v>4</v>
      </c>
      <c r="K126" s="7" t="str">
        <f ca="1">Ergebnisse!K64</f>
        <v>ok</v>
      </c>
      <c r="L126" s="193"/>
      <c r="M126" s="79">
        <f ca="1">IF($K126="","",Bernd!$H64)</f>
        <v>5</v>
      </c>
      <c r="N126" s="79">
        <f ca="1">IF($K126="","",Bernd!$J64)</f>
        <v>4</v>
      </c>
      <c r="O126" s="191">
        <f ca="1">IF(Bernd!$AY64="","",Bernd!$AX64-O125)</f>
        <v>1</v>
      </c>
      <c r="P126" s="195"/>
      <c r="Q126" s="193"/>
      <c r="R126" s="79">
        <f ca="1">IF($K126="","",Mitspieler!$H64)</f>
        <v>0</v>
      </c>
      <c r="S126" s="79">
        <f ca="1">IF($K126="","",Mitspieler!$J64)</f>
        <v>1</v>
      </c>
      <c r="T126" s="191">
        <f ca="1">IF(Mitspieler!$AY64="","",Mitspieler!$AX64-T125)</f>
        <v>7</v>
      </c>
      <c r="U126" s="195"/>
      <c r="V126" s="193"/>
      <c r="W126" s="79">
        <f ca="1">IF($K126="","",Random!$H64)</f>
        <v>1</v>
      </c>
      <c r="X126" s="79">
        <f ca="1">IF($K126="","",Random!$J64)</f>
        <v>2</v>
      </c>
      <c r="Y126" s="191">
        <f ca="1">IF(Random!$AY64="","",Random!$AX64-Y125)</f>
        <v>7</v>
      </c>
      <c r="Z126" s="195"/>
      <c r="AA126" s="193"/>
      <c r="AB126" s="79">
        <f ca="1">IF($K126="","",Rangliste!$H64)</f>
        <v>1</v>
      </c>
      <c r="AC126" s="79">
        <f ca="1">IF($K126="","",Rangliste!$J64)</f>
        <v>0</v>
      </c>
      <c r="AD126" s="191">
        <f ca="1">IF(Rangliste!$AY64="","",Rangliste!$AX64-AD125)</f>
        <v>0</v>
      </c>
      <c r="AE126" s="195"/>
      <c r="AF126" s="193"/>
      <c r="AG126" s="79">
        <f ca="1">IF($K126="","",Fest!$H64)</f>
        <v>2</v>
      </c>
      <c r="AH126" s="79">
        <f ca="1">IF($K126="","",Fest!$J64)</f>
        <v>1</v>
      </c>
      <c r="AI126" s="191">
        <f ca="1">IF(Fest!$AY64="","",Fest!$AX64-AI125)</f>
        <v>0</v>
      </c>
      <c r="AJ126" s="195"/>
      <c r="AK126" s="193"/>
      <c r="AL126" s="79">
        <f ca="1">IF($K126="","",Nobody!$H64)</f>
        <v>3</v>
      </c>
      <c r="AM126" s="79">
        <f ca="1">IF($K126="","",Nobody!$J64)</f>
        <v>4</v>
      </c>
      <c r="AN126" s="191">
        <f ca="1">IF(Nobody!$AY64="","",Nobody!$AX64-AN125)</f>
        <v>9</v>
      </c>
      <c r="AO126" s="195"/>
      <c r="AP126" s="193"/>
    </row>
    <row r="127" spans="1:42" s="10" customFormat="1">
      <c r="A127" s="2"/>
      <c r="B127" s="2"/>
      <c r="C127" s="2"/>
      <c r="D127" s="2"/>
      <c r="E127" s="2"/>
      <c r="F127" s="2"/>
      <c r="G127" s="2"/>
      <c r="H127" s="2"/>
      <c r="I127" s="2"/>
      <c r="J127" s="2"/>
      <c r="K127" s="2"/>
      <c r="L127" s="193"/>
      <c r="M127" s="199" t="str">
        <f ca="1">IF($K128="","",Bernd!$D65)</f>
        <v>Deutschland</v>
      </c>
      <c r="N127" s="199" t="str">
        <f ca="1">IF($K128="","",Bernd!$F65)</f>
        <v>Türkei</v>
      </c>
      <c r="O127" s="191">
        <f ca="1">IF(M127="","",IF(AND(M128&lt;&gt;"",$D128=M127),1,0)+IF(AND(N128&lt;&gt;"",$F128=N127),1,0))</f>
        <v>0</v>
      </c>
      <c r="P127" s="195"/>
      <c r="Q127" s="193"/>
      <c r="R127" s="199" t="str">
        <f ca="1">IF($K128="","",Mitspieler!$D65)</f>
        <v>Deutschland</v>
      </c>
      <c r="S127" s="199" t="str">
        <f ca="1">IF($K128="","",Mitspieler!$F65)</f>
        <v>Australien</v>
      </c>
      <c r="T127" s="191">
        <f ca="1">IF(R127="","",IF(AND(R128&lt;&gt;"",$D128=R127),1,0)+IF(AND(S128&lt;&gt;"",$F128=S127),1,0))</f>
        <v>0</v>
      </c>
      <c r="U127" s="195"/>
      <c r="V127" s="193"/>
      <c r="W127" s="199" t="str">
        <f ca="1">IF($K128="","",Random!$D65)</f>
        <v>Ecuador</v>
      </c>
      <c r="X127" s="199" t="str">
        <f ca="1">IF($K128="","",Random!$F65)</f>
        <v>Türkei</v>
      </c>
      <c r="Y127" s="191">
        <f ca="1">IF(W127="","",IF(AND(W128&lt;&gt;"",$D128=W127),1,0)+IF(AND(X128&lt;&gt;"",$F128=X127),1,0))</f>
        <v>1</v>
      </c>
      <c r="Z127" s="195"/>
      <c r="AA127" s="193"/>
      <c r="AB127" s="199" t="str">
        <f ca="1">IF($K128="","",Rangliste!$D65)</f>
        <v>Deutschland</v>
      </c>
      <c r="AC127" s="199" t="str">
        <f ca="1">IF($K128="","",Rangliste!$F65)</f>
        <v>Schottland</v>
      </c>
      <c r="AD127" s="191">
        <f ca="1">IF(AB127="","",IF(AND(AB128&lt;&gt;"",$D128=AB127),1,0)+IF(AND(AC128&lt;&gt;"",$F128=AC127),1,0))</f>
        <v>0</v>
      </c>
      <c r="AE127" s="195"/>
      <c r="AF127" s="193"/>
      <c r="AG127" s="199" t="str">
        <f ca="1">IF($K128="","",Fest!$D65)</f>
        <v>Ecuador</v>
      </c>
      <c r="AH127" s="199" t="str">
        <f ca="1">IF($K128="","",Fest!$F65)</f>
        <v>Marokko</v>
      </c>
      <c r="AI127" s="191">
        <f ca="1">IF(AG127="","",IF(AND(AG128&lt;&gt;"",$D128=AG127),1,0)+IF(AND(AH128&lt;&gt;"",$F128=AH127),1,0))</f>
        <v>1</v>
      </c>
      <c r="AJ127" s="195"/>
      <c r="AK127" s="193"/>
      <c r="AL127" s="199" t="str">
        <f ca="1">IF($K128="","",Nobody!$D65)</f>
        <v>Ecuador</v>
      </c>
      <c r="AM127" s="199" t="str">
        <f ca="1">IF($K128="","",Nobody!$F65)</f>
        <v>Brasilien</v>
      </c>
      <c r="AN127" s="191">
        <f ca="1">IF(AL127="","",IF(AND(AL128&lt;&gt;"",$D128=AL127),1,0)+IF(AND(AM128&lt;&gt;"",$F128=AM127),1,0))</f>
        <v>2</v>
      </c>
      <c r="AO127" s="195"/>
      <c r="AP127" s="193"/>
    </row>
    <row r="128" spans="1:42" s="10" customFormat="1">
      <c r="A128" s="2">
        <f>Ergebnisse!A65</f>
        <v>74</v>
      </c>
      <c r="B128" s="6">
        <f>Ergebnisse!B65</f>
        <v>46202.6875</v>
      </c>
      <c r="C128" s="6" t="str">
        <f>Ergebnisse!C65</f>
        <v>Boston</v>
      </c>
      <c r="D128" s="73" t="str">
        <f ca="1">Ergebnisse!D65</f>
        <v>Ecuador</v>
      </c>
      <c r="E128" s="15" t="str">
        <f>Ergebnisse!E65</f>
        <v>-</v>
      </c>
      <c r="F128" s="34" t="str">
        <f ca="1">Ergebnisse!F65</f>
        <v>Brasilien</v>
      </c>
      <c r="G128" s="17">
        <f>Ergebnisse!G65</f>
        <v>0</v>
      </c>
      <c r="H128" s="107">
        <f ca="1">Ergebnisse!H65</f>
        <v>2</v>
      </c>
      <c r="I128" s="11" t="str">
        <f>Ergebnisse!I65</f>
        <v>:</v>
      </c>
      <c r="J128" s="107">
        <f ca="1">Ergebnisse!J65</f>
        <v>1</v>
      </c>
      <c r="K128" s="7" t="str">
        <f ca="1">Ergebnisse!K65</f>
        <v>ok</v>
      </c>
      <c r="L128" s="193"/>
      <c r="M128" s="79">
        <f ca="1">IF($K128="","",Bernd!$H65)</f>
        <v>1</v>
      </c>
      <c r="N128" s="79">
        <f ca="1">IF($K128="","",Bernd!$J65)</f>
        <v>0</v>
      </c>
      <c r="O128" s="191">
        <f ca="1">IF(Bernd!$AY65="","",Bernd!$AX65-O127)</f>
        <v>7</v>
      </c>
      <c r="P128" s="195"/>
      <c r="Q128" s="193"/>
      <c r="R128" s="79">
        <f ca="1">IF($K128="","",Mitspieler!$H65)</f>
        <v>2</v>
      </c>
      <c r="S128" s="79">
        <f ca="1">IF($K128="","",Mitspieler!$J65)</f>
        <v>1</v>
      </c>
      <c r="T128" s="191">
        <f ca="1">IF(Mitspieler!$AY65="","",Mitspieler!$AX65-T127)</f>
        <v>9</v>
      </c>
      <c r="U128" s="195"/>
      <c r="V128" s="193"/>
      <c r="W128" s="79">
        <f ca="1">IF($K128="","",Random!$H65)</f>
        <v>1</v>
      </c>
      <c r="X128" s="79">
        <f ca="1">IF($K128="","",Random!$J65)</f>
        <v>2</v>
      </c>
      <c r="Y128" s="191">
        <f ca="1">IF(Random!$AY65="","",Random!$AX65-Y127)</f>
        <v>0</v>
      </c>
      <c r="Z128" s="195"/>
      <c r="AA128" s="193"/>
      <c r="AB128" s="79">
        <f ca="1">IF($K128="","",Rangliste!$H65)</f>
        <v>4</v>
      </c>
      <c r="AC128" s="79">
        <f ca="1">IF($K128="","",Rangliste!$J65)</f>
        <v>3</v>
      </c>
      <c r="AD128" s="191">
        <f ca="1">IF(Rangliste!$AY65="","",Rangliste!$AX65-AD127)</f>
        <v>7</v>
      </c>
      <c r="AE128" s="195"/>
      <c r="AF128" s="193"/>
      <c r="AG128" s="79">
        <f ca="1">IF($K128="","",Fest!$H65)</f>
        <v>2</v>
      </c>
      <c r="AH128" s="79">
        <f ca="1">IF($K128="","",Fest!$J65)</f>
        <v>1</v>
      </c>
      <c r="AI128" s="191">
        <f ca="1">IF(Fest!$AY65="","",Fest!$AX65-AI127)</f>
        <v>9</v>
      </c>
      <c r="AJ128" s="195"/>
      <c r="AK128" s="193"/>
      <c r="AL128" s="79">
        <f ca="1">IF($K128="","",Nobody!$H65)</f>
        <v>2</v>
      </c>
      <c r="AM128" s="79">
        <f ca="1">IF($K128="","",Nobody!$J65)</f>
        <v>1</v>
      </c>
      <c r="AN128" s="191">
        <f ca="1">IF(Nobody!$AY65="","",Nobody!$AX65-AN127)</f>
        <v>9</v>
      </c>
      <c r="AO128" s="195"/>
      <c r="AP128" s="193"/>
    </row>
    <row r="129" spans="1:42" s="10" customFormat="1">
      <c r="A129" s="2"/>
      <c r="B129" s="2"/>
      <c r="C129" s="2"/>
      <c r="D129" s="2"/>
      <c r="E129" s="2"/>
      <c r="F129" s="2"/>
      <c r="G129" s="2"/>
      <c r="H129" s="2"/>
      <c r="I129" s="2"/>
      <c r="J129" s="2"/>
      <c r="K129" s="2"/>
      <c r="L129" s="193"/>
      <c r="M129" s="199" t="str">
        <f ca="1">IF($K130="","",Bernd!$D66)</f>
        <v>Japan</v>
      </c>
      <c r="N129" s="199" t="str">
        <f ca="1">IF($K130="","",Bernd!$F66)</f>
        <v>Marokko</v>
      </c>
      <c r="O129" s="191">
        <f ca="1">IF(M129="","",IF(AND(M130&lt;&gt;"",$D130=M129),1,0)+IF(AND(N130&lt;&gt;"",$F130=N129),1,0))</f>
        <v>0</v>
      </c>
      <c r="P129" s="195"/>
      <c r="Q129" s="193"/>
      <c r="R129" s="199" t="str">
        <f ca="1">IF($K130="","",Mitspieler!$D66)</f>
        <v>Niederlande</v>
      </c>
      <c r="S129" s="199" t="str">
        <f ca="1">IF($K130="","",Mitspieler!$F66)</f>
        <v>Brasilien</v>
      </c>
      <c r="T129" s="191">
        <f ca="1">IF(R129="","",IF(AND(R130&lt;&gt;"",$D130=R129),1,0)+IF(AND(S130&lt;&gt;"",$F130=S129),1,0))</f>
        <v>1</v>
      </c>
      <c r="U129" s="195"/>
      <c r="V129" s="193"/>
      <c r="W129" s="199" t="str">
        <f ca="1">IF($K130="","",Random!$D66)</f>
        <v>Tunesien</v>
      </c>
      <c r="X129" s="199" t="str">
        <f ca="1">IF($K130="","",Random!$F66)</f>
        <v>Schottland</v>
      </c>
      <c r="Y129" s="191">
        <f ca="1">IF(W129="","",IF(AND(W130&lt;&gt;"",$D130=W129),1,0)+IF(AND(X130&lt;&gt;"",$F130=X129),1,0))</f>
        <v>0</v>
      </c>
      <c r="Z129" s="195"/>
      <c r="AA129" s="193"/>
      <c r="AB129" s="199" t="str">
        <f ca="1">IF($K130="","",Rangliste!$D66)</f>
        <v>Niederlande</v>
      </c>
      <c r="AC129" s="199" t="str">
        <f ca="1">IF($K130="","",Rangliste!$F66)</f>
        <v>Marokko</v>
      </c>
      <c r="AD129" s="191">
        <f ca="1">IF(AB129="","",IF(AND(AB130&lt;&gt;"",$D130=AB129),1,0)+IF(AND(AC130&lt;&gt;"",$F130=AC129),1,0))</f>
        <v>1</v>
      </c>
      <c r="AE129" s="195"/>
      <c r="AF129" s="193"/>
      <c r="AG129" s="199" t="str">
        <f ca="1">IF($K130="","",Fest!$D66)</f>
        <v>Tunesien</v>
      </c>
      <c r="AH129" s="199" t="str">
        <f ca="1">IF($K130="","",Fest!$F66)</f>
        <v>Brasilien</v>
      </c>
      <c r="AI129" s="191">
        <f ca="1">IF(AG129="","",IF(AND(AG130&lt;&gt;"",$D130=AG129),1,0)+IF(AND(AH130&lt;&gt;"",$F130=AH129),1,0))</f>
        <v>0</v>
      </c>
      <c r="AJ129" s="195"/>
      <c r="AK129" s="193"/>
      <c r="AL129" s="199" t="str">
        <f ca="1">IF($K130="","",Nobody!$D66)</f>
        <v>Niederlande</v>
      </c>
      <c r="AM129" s="199" t="str">
        <f ca="1">IF($K130="","",Nobody!$F66)</f>
        <v>Haiti</v>
      </c>
      <c r="AN129" s="191">
        <f ca="1">IF(AL129="","",IF(AND(AL130&lt;&gt;"",$D130=AL129),1,0)+IF(AND(AM130&lt;&gt;"",$F130=AM129),1,0))</f>
        <v>2</v>
      </c>
      <c r="AO129" s="195"/>
      <c r="AP129" s="193"/>
    </row>
    <row r="130" spans="1:42" s="10" customFormat="1">
      <c r="A130" s="2">
        <f>Ergebnisse!A66</f>
        <v>75</v>
      </c>
      <c r="B130" s="6">
        <f>Ergebnisse!B66</f>
        <v>46202.833333333336</v>
      </c>
      <c r="C130" s="6" t="str">
        <f>Ergebnisse!C66</f>
        <v>Monterrey</v>
      </c>
      <c r="D130" s="223" t="str">
        <f ca="1">Ergebnisse!D66</f>
        <v>Niederlande</v>
      </c>
      <c r="E130" s="15" t="str">
        <f>Ergebnisse!E66</f>
        <v>-</v>
      </c>
      <c r="F130" s="38" t="str">
        <f ca="1">Ergebnisse!F66</f>
        <v>Haiti</v>
      </c>
      <c r="G130" s="17">
        <f>Ergebnisse!G66</f>
        <v>0</v>
      </c>
      <c r="H130" s="107">
        <f ca="1">Ergebnisse!H66</f>
        <v>6</v>
      </c>
      <c r="I130" s="11" t="str">
        <f>Ergebnisse!I66</f>
        <v>:</v>
      </c>
      <c r="J130" s="107">
        <f ca="1">Ergebnisse!J66</f>
        <v>7</v>
      </c>
      <c r="K130" s="7" t="str">
        <f ca="1">Ergebnisse!K66</f>
        <v>ok</v>
      </c>
      <c r="L130" s="193"/>
      <c r="M130" s="79">
        <f ca="1">IF($K130="","",Bernd!$H66)</f>
        <v>2</v>
      </c>
      <c r="N130" s="79">
        <f ca="1">IF($K130="","",Bernd!$J66)</f>
        <v>1</v>
      </c>
      <c r="O130" s="191">
        <f ca="1">IF(Bernd!$AY66="","",Bernd!$AX66-O129)</f>
        <v>0</v>
      </c>
      <c r="P130" s="195"/>
      <c r="Q130" s="193"/>
      <c r="R130" s="79">
        <f ca="1">IF($K130="","",Mitspieler!$H66)</f>
        <v>1</v>
      </c>
      <c r="S130" s="79">
        <f ca="1">IF($K130="","",Mitspieler!$J66)</f>
        <v>0</v>
      </c>
      <c r="T130" s="191">
        <f ca="1">IF(Mitspieler!$AY66="","",Mitspieler!$AX66-T129)</f>
        <v>0</v>
      </c>
      <c r="U130" s="195"/>
      <c r="V130" s="193"/>
      <c r="W130" s="79">
        <f ca="1">IF($K130="","",Random!$H66)</f>
        <v>2</v>
      </c>
      <c r="X130" s="79">
        <f ca="1">IF($K130="","",Random!$J66)</f>
        <v>1</v>
      </c>
      <c r="Y130" s="191">
        <f ca="1">IF(Random!$AY66="","",Random!$AX66-Y129)</f>
        <v>0</v>
      </c>
      <c r="Z130" s="195"/>
      <c r="AA130" s="193"/>
      <c r="AB130" s="79">
        <f ca="1">IF($K130="","",Rangliste!$H66)</f>
        <v>1</v>
      </c>
      <c r="AC130" s="79">
        <f ca="1">IF($K130="","",Rangliste!$J66)</f>
        <v>0</v>
      </c>
      <c r="AD130" s="191">
        <f ca="1">IF(Rangliste!$AY66="","",Rangliste!$AX66-AD129)</f>
        <v>0</v>
      </c>
      <c r="AE130" s="195"/>
      <c r="AF130" s="193"/>
      <c r="AG130" s="79">
        <f ca="1">IF($K130="","",Fest!$H66)</f>
        <v>2</v>
      </c>
      <c r="AH130" s="79">
        <f ca="1">IF($K130="","",Fest!$J66)</f>
        <v>1</v>
      </c>
      <c r="AI130" s="191">
        <f ca="1">IF(Fest!$AY66="","",Fest!$AX66-AI129)</f>
        <v>0</v>
      </c>
      <c r="AJ130" s="195"/>
      <c r="AK130" s="193"/>
      <c r="AL130" s="79">
        <f ca="1">IF($K130="","",Nobody!$H66)</f>
        <v>6</v>
      </c>
      <c r="AM130" s="79">
        <f ca="1">IF($K130="","",Nobody!$J66)</f>
        <v>7</v>
      </c>
      <c r="AN130" s="191">
        <f ca="1">IF(Nobody!$AY66="","",Nobody!$AX66-AN129)</f>
        <v>9</v>
      </c>
      <c r="AO130" s="195"/>
      <c r="AP130" s="193"/>
    </row>
    <row r="131" spans="1:42" s="10" customFormat="1">
      <c r="A131" s="2"/>
      <c r="B131" s="2"/>
      <c r="C131" s="2"/>
      <c r="D131" s="2"/>
      <c r="E131" s="2"/>
      <c r="F131" s="2"/>
      <c r="G131" s="2"/>
      <c r="H131" s="2"/>
      <c r="I131" s="2"/>
      <c r="J131" s="2"/>
      <c r="K131" s="2"/>
      <c r="L131" s="193"/>
      <c r="M131" s="199" t="str">
        <f ca="1">IF($K132="","",Bernd!$D67)</f>
        <v>Ecuador</v>
      </c>
      <c r="N131" s="199" t="str">
        <f ca="1">IF($K132="","",Bernd!$F67)</f>
        <v>Frankreich</v>
      </c>
      <c r="O131" s="191">
        <f ca="1">IF(M131="","",IF(AND(M132&lt;&gt;"",$D132=M131),1,0)+IF(AND(N132&lt;&gt;"",$F132=N131),1,0))</f>
        <v>0</v>
      </c>
      <c r="P131" s="195"/>
      <c r="Q131" s="193"/>
      <c r="R131" s="199" t="str">
        <f ca="1">IF($K132="","",Mitspieler!$D67)</f>
        <v>Elfenbeinküste</v>
      </c>
      <c r="S131" s="199" t="str">
        <f ca="1">IF($K132="","",Mitspieler!$F67)</f>
        <v>Senegal</v>
      </c>
      <c r="T131" s="191">
        <f ca="1">IF(R131="","",IF(AND(R132&lt;&gt;"",$D132=R131),1,0)+IF(AND(S132&lt;&gt;"",$F132=S131),1,0))</f>
        <v>2</v>
      </c>
      <c r="U131" s="195"/>
      <c r="V131" s="193"/>
      <c r="W131" s="199" t="str">
        <f ca="1">IF($K132="","",Random!$D67)</f>
        <v>Curaçao</v>
      </c>
      <c r="X131" s="199" t="str">
        <f ca="1">IF($K132="","",Random!$F67)</f>
        <v>Irak</v>
      </c>
      <c r="Y131" s="191">
        <f ca="1">IF(W131="","",IF(AND(W132&lt;&gt;"",$D132=W131),1,0)+IF(AND(X132&lt;&gt;"",$F132=X131),1,0))</f>
        <v>0</v>
      </c>
      <c r="Z131" s="195"/>
      <c r="AA131" s="193"/>
      <c r="AB131" s="199" t="str">
        <f ca="1">IF($K132="","",Rangliste!$D67)</f>
        <v>Ecuador</v>
      </c>
      <c r="AC131" s="199" t="str">
        <f ca="1">IF($K132="","",Rangliste!$F67)</f>
        <v>Senegal</v>
      </c>
      <c r="AD131" s="191">
        <f ca="1">IF(AB131="","",IF(AND(AB132&lt;&gt;"",$D132=AB131),1,0)+IF(AND(AC132&lt;&gt;"",$F132=AC131),1,0))</f>
        <v>1</v>
      </c>
      <c r="AE131" s="195"/>
      <c r="AF131" s="193"/>
      <c r="AG131" s="199" t="str">
        <f ca="1">IF($K132="","",Fest!$D67)</f>
        <v>Deutschland</v>
      </c>
      <c r="AH131" s="199" t="str">
        <f ca="1">IF($K132="","",Fest!$F67)</f>
        <v>Frankreich</v>
      </c>
      <c r="AI131" s="191">
        <f ca="1">IF(AG131="","",IF(AND(AG132&lt;&gt;"",$D132=AG131),1,0)+IF(AND(AH132&lt;&gt;"",$F132=AH131),1,0))</f>
        <v>0</v>
      </c>
      <c r="AJ131" s="195"/>
      <c r="AK131" s="193"/>
      <c r="AL131" s="199" t="str">
        <f ca="1">IF($K132="","",Nobody!$D67)</f>
        <v>Elfenbeinküste</v>
      </c>
      <c r="AM131" s="199" t="str">
        <f ca="1">IF($K132="","",Nobody!$F67)</f>
        <v>Senegal</v>
      </c>
      <c r="AN131" s="191">
        <f ca="1">IF(AL131="","",IF(AND(AL132&lt;&gt;"",$D132=AL131),1,0)+IF(AND(AM132&lt;&gt;"",$F132=AM131),1,0))</f>
        <v>2</v>
      </c>
      <c r="AO131" s="195"/>
      <c r="AP131" s="193"/>
    </row>
    <row r="132" spans="1:42" s="10" customFormat="1">
      <c r="A132" s="2">
        <f>Ergebnisse!A67</f>
        <v>78</v>
      </c>
      <c r="B132" s="6">
        <f>Ergebnisse!B67</f>
        <v>46203.5</v>
      </c>
      <c r="C132" s="6" t="str">
        <f>Ergebnisse!C67</f>
        <v>Dallas</v>
      </c>
      <c r="D132" s="73" t="str">
        <f ca="1">Ergebnisse!D67</f>
        <v>Elfenbeinküste</v>
      </c>
      <c r="E132" s="15" t="str">
        <f>Ergebnisse!E67</f>
        <v>-</v>
      </c>
      <c r="F132" s="238" t="str">
        <f ca="1">Ergebnisse!F67</f>
        <v>Senegal</v>
      </c>
      <c r="G132" s="17">
        <f>Ergebnisse!G67</f>
        <v>0</v>
      </c>
      <c r="H132" s="107">
        <f ca="1">Ergebnisse!H67</f>
        <v>1</v>
      </c>
      <c r="I132" s="11" t="str">
        <f>Ergebnisse!I67</f>
        <v>:</v>
      </c>
      <c r="J132" s="107">
        <f ca="1">Ergebnisse!J67</f>
        <v>0</v>
      </c>
      <c r="K132" s="7" t="str">
        <f ca="1">Ergebnisse!K67</f>
        <v>ok</v>
      </c>
      <c r="L132" s="193"/>
      <c r="M132" s="79">
        <f ca="1">IF($K132="","",Bernd!$H67)</f>
        <v>1</v>
      </c>
      <c r="N132" s="79">
        <f ca="1">IF($K132="","",Bernd!$J67)</f>
        <v>3</v>
      </c>
      <c r="O132" s="191">
        <f ca="1">IF(Bernd!$AY67="","",Bernd!$AX67-O131)</f>
        <v>1</v>
      </c>
      <c r="P132" s="195"/>
      <c r="Q132" s="193"/>
      <c r="R132" s="79">
        <f ca="1">IF($K132="","",Mitspieler!$H67)</f>
        <v>2</v>
      </c>
      <c r="S132" s="79">
        <f ca="1">IF($K132="","",Mitspieler!$J67)</f>
        <v>1</v>
      </c>
      <c r="T132" s="191">
        <f ca="1">IF(Mitspieler!$AY67="","",Mitspieler!$AX67-T131)</f>
        <v>7</v>
      </c>
      <c r="U132" s="195"/>
      <c r="V132" s="193"/>
      <c r="W132" s="79">
        <f ca="1">IF($K132="","",Random!$H67)</f>
        <v>1</v>
      </c>
      <c r="X132" s="79">
        <f ca="1">IF($K132="","",Random!$J67)</f>
        <v>2</v>
      </c>
      <c r="Y132" s="191">
        <f ca="1">IF(Random!$AY67="","",Random!$AX67-Y131)</f>
        <v>1</v>
      </c>
      <c r="Z132" s="195"/>
      <c r="AA132" s="193"/>
      <c r="AB132" s="79">
        <f ca="1">IF($K132="","",Rangliste!$H67)</f>
        <v>1</v>
      </c>
      <c r="AC132" s="79">
        <f ca="1">IF($K132="","",Rangliste!$J67)</f>
        <v>2</v>
      </c>
      <c r="AD132" s="191">
        <f ca="1">IF(Rangliste!$AY67="","",Rangliste!$AX67-AD131)</f>
        <v>1</v>
      </c>
      <c r="AE132" s="195"/>
      <c r="AF132" s="193"/>
      <c r="AG132" s="79">
        <f ca="1">IF($K132="","",Fest!$H67)</f>
        <v>2</v>
      </c>
      <c r="AH132" s="79">
        <f ca="1">IF($K132="","",Fest!$J67)</f>
        <v>1</v>
      </c>
      <c r="AI132" s="191">
        <f ca="1">IF(Fest!$AY67="","",Fest!$AX67-AI131)</f>
        <v>7</v>
      </c>
      <c r="AJ132" s="195"/>
      <c r="AK132" s="193"/>
      <c r="AL132" s="79">
        <f ca="1">IF($K132="","",Nobody!$H67)</f>
        <v>1</v>
      </c>
      <c r="AM132" s="79">
        <f ca="1">IF($K132="","",Nobody!$J67)</f>
        <v>0</v>
      </c>
      <c r="AN132" s="191">
        <f ca="1">IF(Nobody!$AY67="","",Nobody!$AX67-AN131)</f>
        <v>9</v>
      </c>
      <c r="AO132" s="195"/>
      <c r="AP132" s="193"/>
    </row>
    <row r="133" spans="1:42" s="10" customFormat="1">
      <c r="A133" s="2"/>
      <c r="B133" s="2"/>
      <c r="C133" s="2"/>
      <c r="D133" s="2"/>
      <c r="E133" s="2"/>
      <c r="F133" s="2"/>
      <c r="G133" s="2"/>
      <c r="H133" s="2"/>
      <c r="I133" s="2"/>
      <c r="J133" s="2"/>
      <c r="K133" s="2"/>
      <c r="L133" s="193"/>
      <c r="M133" s="199" t="str">
        <f ca="1">IF($K134="","",Bernd!$D68)</f>
        <v>Norwegen</v>
      </c>
      <c r="N133" s="199" t="str">
        <f ca="1">IF($K134="","",Bernd!$F68)</f>
        <v>Schweden</v>
      </c>
      <c r="O133" s="191">
        <f ca="1">IF(M133="","",IF(AND(M134&lt;&gt;"",$D134=M133),1,0)+IF(AND(N134&lt;&gt;"",$F134=N133),1,0))</f>
        <v>0</v>
      </c>
      <c r="P133" s="195"/>
      <c r="Q133" s="193"/>
      <c r="R133" s="199" t="str">
        <f ca="1">IF($K134="","",Mitspieler!$D68)</f>
        <v>Frankreich</v>
      </c>
      <c r="S133" s="199" t="str">
        <f ca="1">IF($K134="","",Mitspieler!$F68)</f>
        <v>Tunesien</v>
      </c>
      <c r="T133" s="191">
        <f ca="1">IF(R133="","",IF(AND(R134&lt;&gt;"",$D134=R133),1,0)+IF(AND(S134&lt;&gt;"",$F134=S133),1,0))</f>
        <v>2</v>
      </c>
      <c r="U133" s="195"/>
      <c r="V133" s="193"/>
      <c r="W133" s="199" t="str">
        <f ca="1">IF($K134="","",Random!$D68)</f>
        <v>Norwegen</v>
      </c>
      <c r="X133" s="199" t="str">
        <f ca="1">IF($K134="","",Random!$F68)</f>
        <v>IR Iran</v>
      </c>
      <c r="Y133" s="191">
        <f ca="1">IF(W133="","",IF(AND(W134&lt;&gt;"",$D134=W133),1,0)+IF(AND(X134&lt;&gt;"",$F134=X133),1,0))</f>
        <v>0</v>
      </c>
      <c r="Z133" s="195"/>
      <c r="AA133" s="193"/>
      <c r="AB133" s="199" t="str">
        <f ca="1">IF($K134="","",Rangliste!$D68)</f>
        <v>Frankreich</v>
      </c>
      <c r="AC133" s="199" t="str">
        <f ca="1">IF($K134="","",Rangliste!$F68)</f>
        <v>Uruguay</v>
      </c>
      <c r="AD133" s="191">
        <f ca="1">IF(AB133="","",IF(AND(AB134&lt;&gt;"",$D134=AB133),1,0)+IF(AND(AC134&lt;&gt;"",$F134=AC133),1,0))</f>
        <v>1</v>
      </c>
      <c r="AE133" s="195"/>
      <c r="AF133" s="193"/>
      <c r="AG133" s="199" t="str">
        <f ca="1">IF($K134="","",Fest!$D68)</f>
        <v>Norwegen</v>
      </c>
      <c r="AH133" s="199" t="str">
        <f ca="1">IF($K134="","",Fest!$F68)</f>
        <v>Japan</v>
      </c>
      <c r="AI133" s="191">
        <f ca="1">IF(AG133="","",IF(AND(AG134&lt;&gt;"",$D134=AG133),1,0)+IF(AND(AH134&lt;&gt;"",$F134=AH133),1,0))</f>
        <v>0</v>
      </c>
      <c r="AJ133" s="195"/>
      <c r="AK133" s="193"/>
      <c r="AL133" s="199" t="str">
        <f ca="1">IF($K134="","",Nobody!$D68)</f>
        <v>Frankreich</v>
      </c>
      <c r="AM133" s="199" t="str">
        <f ca="1">IF($K134="","",Nobody!$F68)</f>
        <v>Tunesien</v>
      </c>
      <c r="AN133" s="191">
        <f ca="1">IF(AL133="","",IF(AND(AL134&lt;&gt;"",$D134=AL133),1,0)+IF(AND(AM134&lt;&gt;"",$F134=AM133),1,0))</f>
        <v>2</v>
      </c>
      <c r="AO133" s="195"/>
      <c r="AP133" s="193"/>
    </row>
    <row r="134" spans="1:42" s="10" customFormat="1">
      <c r="A134" s="2">
        <f>Ergebnisse!A68</f>
        <v>77</v>
      </c>
      <c r="B134" s="6">
        <f>Ergebnisse!B68</f>
        <v>46203.708333333336</v>
      </c>
      <c r="C134" s="6" t="str">
        <f>Ergebnisse!C68</f>
        <v>New York</v>
      </c>
      <c r="D134" s="238" t="str">
        <f ca="1">Ergebnisse!D68</f>
        <v>Frankreich</v>
      </c>
      <c r="E134" s="15" t="str">
        <f>Ergebnisse!E68</f>
        <v>-</v>
      </c>
      <c r="F134" s="34" t="str">
        <f ca="1">Ergebnisse!F68</f>
        <v>Tunesien</v>
      </c>
      <c r="G134" s="17">
        <f>Ergebnisse!G68</f>
        <v>0</v>
      </c>
      <c r="H134" s="107">
        <f ca="1">Ergebnisse!H68</f>
        <v>2</v>
      </c>
      <c r="I134" s="11" t="str">
        <f>Ergebnisse!I68</f>
        <v>:</v>
      </c>
      <c r="J134" s="107">
        <f ca="1">Ergebnisse!J68</f>
        <v>1</v>
      </c>
      <c r="K134" s="7" t="str">
        <f ca="1">Ergebnisse!K68</f>
        <v>ok</v>
      </c>
      <c r="L134" s="193"/>
      <c r="M134" s="79">
        <f ca="1">IF($K134="","",Bernd!$H68)</f>
        <v>1</v>
      </c>
      <c r="N134" s="79">
        <f ca="1">IF($K134="","",Bernd!$J68)</f>
        <v>0</v>
      </c>
      <c r="O134" s="191">
        <f ca="1">IF(Bernd!$AY68="","",Bernd!$AX68-O133)</f>
        <v>7</v>
      </c>
      <c r="P134" s="195"/>
      <c r="Q134" s="193"/>
      <c r="R134" s="79">
        <f ca="1">IF($K134="","",Mitspieler!$H68)</f>
        <v>3</v>
      </c>
      <c r="S134" s="79">
        <f ca="1">IF($K134="","",Mitspieler!$J68)</f>
        <v>1</v>
      </c>
      <c r="T134" s="191">
        <f ca="1">IF(Mitspieler!$AY68="","",Mitspieler!$AX68-T133)</f>
        <v>8</v>
      </c>
      <c r="U134" s="195"/>
      <c r="V134" s="193"/>
      <c r="W134" s="79">
        <f ca="1">IF($K134="","",Random!$H68)</f>
        <v>1</v>
      </c>
      <c r="X134" s="79">
        <f ca="1">IF($K134="","",Random!$J68)</f>
        <v>2</v>
      </c>
      <c r="Y134" s="191">
        <f ca="1">IF(Random!$AY68="","",Random!$AX68-Y133)</f>
        <v>0</v>
      </c>
      <c r="Z134" s="195"/>
      <c r="AA134" s="193"/>
      <c r="AB134" s="79">
        <f ca="1">IF($K134="","",Rangliste!$H68)</f>
        <v>3</v>
      </c>
      <c r="AC134" s="79">
        <f ca="1">IF($K134="","",Rangliste!$J68)</f>
        <v>2</v>
      </c>
      <c r="AD134" s="191">
        <f ca="1">IF(Rangliste!$AY68="","",Rangliste!$AX68-AD133)</f>
        <v>7</v>
      </c>
      <c r="AE134" s="195"/>
      <c r="AF134" s="193"/>
      <c r="AG134" s="79">
        <f ca="1">IF($K134="","",Fest!$H68)</f>
        <v>2</v>
      </c>
      <c r="AH134" s="79">
        <f ca="1">IF($K134="","",Fest!$J68)</f>
        <v>1</v>
      </c>
      <c r="AI134" s="191">
        <f ca="1">IF(Fest!$AY68="","",Fest!$AX68-AI133)</f>
        <v>9</v>
      </c>
      <c r="AJ134" s="195"/>
      <c r="AK134" s="193"/>
      <c r="AL134" s="79">
        <f ca="1">IF($K134="","",Nobody!$H68)</f>
        <v>2</v>
      </c>
      <c r="AM134" s="79">
        <f ca="1">IF($K134="","",Nobody!$J68)</f>
        <v>1</v>
      </c>
      <c r="AN134" s="191">
        <f ca="1">IF(Nobody!$AY68="","",Nobody!$AX68-AN133)</f>
        <v>9</v>
      </c>
      <c r="AO134" s="195"/>
      <c r="AP134" s="193"/>
    </row>
    <row r="135" spans="1:42" s="10" customFormat="1">
      <c r="A135" s="2"/>
      <c r="B135" s="2"/>
      <c r="C135" s="2"/>
      <c r="D135" s="2"/>
      <c r="E135" s="2"/>
      <c r="F135" s="2"/>
      <c r="G135" s="2"/>
      <c r="H135" s="2"/>
      <c r="I135" s="2"/>
      <c r="J135" s="2"/>
      <c r="K135" s="2"/>
      <c r="L135" s="193"/>
      <c r="M135" s="199" t="str">
        <f ca="1">IF($K136="","",Bernd!$D69)</f>
        <v>Mexiko</v>
      </c>
      <c r="N135" s="199" t="str">
        <f ca="1">IF($K136="","",Bernd!$F69)</f>
        <v>Schottland</v>
      </c>
      <c r="O135" s="191">
        <f ca="1">IF(M135="","",IF(AND(M136&lt;&gt;"",$D136=M135),1,0)+IF(AND(N136&lt;&gt;"",$F136=N135),1,0))</f>
        <v>0</v>
      </c>
      <c r="P135" s="195"/>
      <c r="Q135" s="193"/>
      <c r="R135" s="199" t="str">
        <f ca="1">IF($K136="","",Mitspieler!$D69)</f>
        <v>Mexiko</v>
      </c>
      <c r="S135" s="199" t="str">
        <f ca="1">IF($K136="","",Mitspieler!$F69)</f>
        <v>Uruguay</v>
      </c>
      <c r="T135" s="191">
        <f ca="1">IF(R135="","",IF(AND(R136&lt;&gt;"",$D136=R135),1,0)+IF(AND(S136&lt;&gt;"",$F136=S135),1,0))</f>
        <v>0</v>
      </c>
      <c r="U135" s="195"/>
      <c r="V135" s="193"/>
      <c r="W135" s="199" t="str">
        <f ca="1">IF($K136="","",Random!$D69)</f>
        <v>Tschechien</v>
      </c>
      <c r="X135" s="199" t="str">
        <f ca="1">IF($K136="","",Random!$F69)</f>
        <v>Elfenbeinküste</v>
      </c>
      <c r="Y135" s="191">
        <f ca="1">IF(W135="","",IF(AND(W136&lt;&gt;"",$D136=W135),1,0)+IF(AND(X136&lt;&gt;"",$F136=X135),1,0))</f>
        <v>0</v>
      </c>
      <c r="Z135" s="195"/>
      <c r="AA135" s="193"/>
      <c r="AB135" s="199" t="str">
        <f ca="1">IF($K136="","",Rangliste!$D69)</f>
        <v>Mexiko</v>
      </c>
      <c r="AC135" s="199" t="str">
        <f ca="1">IF($K136="","",Rangliste!$F69)</f>
        <v>Norwegen</v>
      </c>
      <c r="AD135" s="191">
        <f ca="1">IF(AB135="","",IF(AND(AB136&lt;&gt;"",$D136=AB135),1,0)+IF(AND(AC136&lt;&gt;"",$F136=AC135),1,0))</f>
        <v>0</v>
      </c>
      <c r="AE135" s="195"/>
      <c r="AF135" s="193"/>
      <c r="AG135" s="199" t="str">
        <f ca="1">IF($K136="","",Fest!$D69)</f>
        <v>Tschechien</v>
      </c>
      <c r="AH135" s="199" t="str">
        <f ca="1">IF($K136="","",Fest!$F69)</f>
        <v>Kap Verde</v>
      </c>
      <c r="AI135" s="191">
        <f ca="1">IF(AG135="","",IF(AND(AG136&lt;&gt;"",$D136=AG135),1,0)+IF(AND(AH136&lt;&gt;"",$F136=AH135),1,0))</f>
        <v>0</v>
      </c>
      <c r="AJ135" s="195"/>
      <c r="AK135" s="193"/>
      <c r="AL135" s="199" t="str">
        <f ca="1">IF($K136="","",Nobody!$D69)</f>
        <v>Südafrika</v>
      </c>
      <c r="AM135" s="199" t="str">
        <f ca="1">IF($K136="","",Nobody!$F69)</f>
        <v>Curaçao</v>
      </c>
      <c r="AN135" s="191">
        <f ca="1">IF(AL135="","",IF(AND(AL136&lt;&gt;"",$D136=AL135),1,0)+IF(AND(AM136&lt;&gt;"",$F136=AM135),1,0))</f>
        <v>2</v>
      </c>
      <c r="AO135" s="195"/>
      <c r="AP135" s="193"/>
    </row>
    <row r="136" spans="1:42" s="10" customFormat="1">
      <c r="A136" s="2">
        <f>Ergebnisse!A69</f>
        <v>79</v>
      </c>
      <c r="B136" s="6">
        <f>Ergebnisse!B69</f>
        <v>46203.833333333336</v>
      </c>
      <c r="C136" s="6" t="str">
        <f>Ergebnisse!C69</f>
        <v>Mexico City</v>
      </c>
      <c r="D136" s="251" t="str">
        <f ca="1">Ergebnisse!D69</f>
        <v>Südafrika</v>
      </c>
      <c r="E136" s="15" t="str">
        <f>Ergebnisse!E69</f>
        <v>-</v>
      </c>
      <c r="F136" s="34" t="str">
        <f ca="1">Ergebnisse!F69</f>
        <v>Curaçao</v>
      </c>
      <c r="G136" s="17">
        <f>Ergebnisse!G69</f>
        <v>0</v>
      </c>
      <c r="H136" s="107">
        <f ca="1">Ergebnisse!H69</f>
        <v>3</v>
      </c>
      <c r="I136" s="11" t="str">
        <f>Ergebnisse!I69</f>
        <v>:</v>
      </c>
      <c r="J136" s="107">
        <f ca="1">Ergebnisse!J69</f>
        <v>2</v>
      </c>
      <c r="K136" s="7" t="str">
        <f ca="1">Ergebnisse!K69</f>
        <v>ok</v>
      </c>
      <c r="L136" s="193"/>
      <c r="M136" s="79">
        <f ca="1">IF($K136="","",Bernd!$H69)</f>
        <v>2</v>
      </c>
      <c r="N136" s="79">
        <f ca="1">IF($K136="","",Bernd!$J69)</f>
        <v>0</v>
      </c>
      <c r="O136" s="191">
        <f ca="1">IF(Bernd!$AY69="","",Bernd!$AX69-O135)</f>
        <v>7</v>
      </c>
      <c r="P136" s="195"/>
      <c r="Q136" s="193"/>
      <c r="R136" s="79">
        <f ca="1">IF($K136="","",Mitspieler!$H69)</f>
        <v>3</v>
      </c>
      <c r="S136" s="79">
        <f ca="1">IF($K136="","",Mitspieler!$J69)</f>
        <v>2</v>
      </c>
      <c r="T136" s="191">
        <f ca="1">IF(Mitspieler!$AY69="","",Mitspieler!$AX69-T135)</f>
        <v>9</v>
      </c>
      <c r="U136" s="195"/>
      <c r="V136" s="193"/>
      <c r="W136" s="79">
        <f ca="1">IF($K136="","",Random!$H69)</f>
        <v>2</v>
      </c>
      <c r="X136" s="79">
        <f ca="1">IF($K136="","",Random!$J69)</f>
        <v>3</v>
      </c>
      <c r="Y136" s="191">
        <f ca="1">IF(Random!$AY69="","",Random!$AX69-Y135)</f>
        <v>0</v>
      </c>
      <c r="Z136" s="195"/>
      <c r="AA136" s="193"/>
      <c r="AB136" s="79">
        <f ca="1">IF($K136="","",Rangliste!$H69)</f>
        <v>1</v>
      </c>
      <c r="AC136" s="79">
        <f ca="1">IF($K136="","",Rangliste!$J69)</f>
        <v>0</v>
      </c>
      <c r="AD136" s="191">
        <f ca="1">IF(Rangliste!$AY69="","",Rangliste!$AX69-AD135)</f>
        <v>7</v>
      </c>
      <c r="AE136" s="195"/>
      <c r="AF136" s="193"/>
      <c r="AG136" s="79">
        <f ca="1">IF($K136="","",Fest!$H69)</f>
        <v>2</v>
      </c>
      <c r="AH136" s="79">
        <f ca="1">IF($K136="","",Fest!$J69)</f>
        <v>1</v>
      </c>
      <c r="AI136" s="191">
        <f ca="1">IF(Fest!$AY69="","",Fest!$AX69-AI135)</f>
        <v>7</v>
      </c>
      <c r="AJ136" s="195"/>
      <c r="AK136" s="193"/>
      <c r="AL136" s="79">
        <f ca="1">IF($K136="","",Nobody!$H69)</f>
        <v>3</v>
      </c>
      <c r="AM136" s="79">
        <f ca="1">IF($K136="","",Nobody!$J69)</f>
        <v>2</v>
      </c>
      <c r="AN136" s="191">
        <f ca="1">IF(Nobody!$AY69="","",Nobody!$AX69-AN135)</f>
        <v>9</v>
      </c>
      <c r="AO136" s="195"/>
      <c r="AP136" s="193"/>
    </row>
    <row r="137" spans="1:42" s="10" customFormat="1">
      <c r="A137" s="2"/>
      <c r="B137" s="2"/>
      <c r="C137" s="2"/>
      <c r="D137" s="2"/>
      <c r="E137" s="2"/>
      <c r="F137" s="2"/>
      <c r="G137" s="2"/>
      <c r="H137" s="2"/>
      <c r="I137" s="2"/>
      <c r="J137" s="2"/>
      <c r="K137" s="2"/>
      <c r="L137" s="193"/>
      <c r="M137" s="199" t="str">
        <f ca="1">IF($K138="","",Bernd!$D70)</f>
        <v>Kroatien</v>
      </c>
      <c r="N137" s="199" t="str">
        <f ca="1">IF($K138="","",Bernd!$F70)</f>
        <v>DR Kongo</v>
      </c>
      <c r="O137" s="191">
        <f ca="1">IF(M137="","",IF(AND(M138&lt;&gt;"",$D138=M137),1,0)+IF(AND(N138&lt;&gt;"",$F138=N137),1,0))</f>
        <v>1</v>
      </c>
      <c r="P137" s="195"/>
      <c r="Q137" s="193"/>
      <c r="R137" s="199" t="str">
        <f ca="1">IF($K138="","",Mitspieler!$D70)</f>
        <v>Panama</v>
      </c>
      <c r="S137" s="199" t="str">
        <f ca="1">IF($K138="","",Mitspieler!$F70)</f>
        <v>Kolumbien</v>
      </c>
      <c r="T137" s="191">
        <f ca="1">IF(R137="","",IF(AND(R138&lt;&gt;"",$D138=R137),1,0)+IF(AND(S138&lt;&gt;"",$F138=S137),1,0))</f>
        <v>0</v>
      </c>
      <c r="U137" s="195"/>
      <c r="V137" s="193"/>
      <c r="W137" s="199" t="str">
        <f ca="1">IF($K138="","",Random!$D70)</f>
        <v>Ghana</v>
      </c>
      <c r="X137" s="199" t="str">
        <f ca="1">IF($K138="","",Random!$F70)</f>
        <v>Frankreich</v>
      </c>
      <c r="Y137" s="191">
        <f ca="1">IF(W137="","",IF(AND(W138&lt;&gt;"",$D138=W137),1,0)+IF(AND(X138&lt;&gt;"",$F138=X137),1,0))</f>
        <v>1</v>
      </c>
      <c r="Z137" s="195"/>
      <c r="AA137" s="193"/>
      <c r="AB137" s="199" t="str">
        <f ca="1">IF($K138="","",Rangliste!$D70)</f>
        <v>England</v>
      </c>
      <c r="AC137" s="199" t="str">
        <f ca="1">IF($K138="","",Rangliste!$F70)</f>
        <v>Usbekistan</v>
      </c>
      <c r="AD137" s="191">
        <f ca="1">IF(AB137="","",IF(AND(AB138&lt;&gt;"",$D138=AB137),1,0)+IF(AND(AC138&lt;&gt;"",$F138=AC137),1,0))</f>
        <v>0</v>
      </c>
      <c r="AE137" s="195"/>
      <c r="AF137" s="193"/>
      <c r="AG137" s="199" t="str">
        <f ca="1">IF($K138="","",Fest!$D70)</f>
        <v>Panama</v>
      </c>
      <c r="AH137" s="199" t="str">
        <f ca="1">IF($K138="","",Fest!$F70)</f>
        <v>Curaçao</v>
      </c>
      <c r="AI137" s="191">
        <f ca="1">IF(AG137="","",IF(AND(AG138&lt;&gt;"",$D138=AG137),1,0)+IF(AND(AH138&lt;&gt;"",$F138=AH137),1,0))</f>
        <v>0</v>
      </c>
      <c r="AJ137" s="195"/>
      <c r="AK137" s="193"/>
      <c r="AL137" s="199" t="str">
        <f ca="1">IF($K138="","",Nobody!$D70)</f>
        <v>Ghana</v>
      </c>
      <c r="AM137" s="199" t="str">
        <f ca="1">IF($K138="","",Nobody!$F70)</f>
        <v>DR Kongo</v>
      </c>
      <c r="AN137" s="191">
        <f ca="1">IF(AL137="","",IF(AND(AL138&lt;&gt;"",$D138=AL137),1,0)+IF(AND(AM138&lt;&gt;"",$F138=AM137),1,0))</f>
        <v>2</v>
      </c>
      <c r="AO137" s="195"/>
      <c r="AP137" s="193"/>
    </row>
    <row r="138" spans="1:42" s="10" customFormat="1">
      <c r="A138" s="2">
        <f>Ergebnisse!A70</f>
        <v>80</v>
      </c>
      <c r="B138" s="6">
        <f>Ergebnisse!B70</f>
        <v>46204.5</v>
      </c>
      <c r="C138" s="6" t="str">
        <f>Ergebnisse!C70</f>
        <v>Atlanta</v>
      </c>
      <c r="D138" s="237" t="str">
        <f ca="1">Ergebnisse!D70</f>
        <v>Ghana</v>
      </c>
      <c r="E138" s="15" t="str">
        <f>Ergebnisse!E70</f>
        <v>-</v>
      </c>
      <c r="F138" s="34" t="str">
        <f ca="1">Ergebnisse!F70</f>
        <v>DR Kongo</v>
      </c>
      <c r="G138" s="17">
        <f>Ergebnisse!G70</f>
        <v>0</v>
      </c>
      <c r="H138" s="107">
        <f ca="1">Ergebnisse!H70</f>
        <v>0</v>
      </c>
      <c r="I138" s="11" t="str">
        <f>Ergebnisse!I70</f>
        <v>:</v>
      </c>
      <c r="J138" s="107">
        <f ca="1">Ergebnisse!J70</f>
        <v>1</v>
      </c>
      <c r="K138" s="7" t="str">
        <f ca="1">Ergebnisse!K70</f>
        <v>ok</v>
      </c>
      <c r="L138" s="193"/>
      <c r="M138" s="79">
        <f ca="1">IF($K138="","",Bernd!$H70)</f>
        <v>3</v>
      </c>
      <c r="N138" s="79">
        <f ca="1">IF($K138="","",Bernd!$J70)</f>
        <v>1</v>
      </c>
      <c r="O138" s="191">
        <f ca="1">IF(Bernd!$AY70="","",Bernd!$AX70-O137)</f>
        <v>1</v>
      </c>
      <c r="P138" s="195"/>
      <c r="Q138" s="193"/>
      <c r="R138" s="79">
        <f ca="1">IF($K138="","",Mitspieler!$H70)</f>
        <v>1</v>
      </c>
      <c r="S138" s="79">
        <f ca="1">IF($K138="","",Mitspieler!$J70)</f>
        <v>0</v>
      </c>
      <c r="T138" s="191">
        <f ca="1">IF(Mitspieler!$AY70="","",Mitspieler!$AX70-T137)</f>
        <v>0</v>
      </c>
      <c r="U138" s="195"/>
      <c r="V138" s="193"/>
      <c r="W138" s="79">
        <f ca="1">IF($K138="","",Random!$H70)</f>
        <v>0</v>
      </c>
      <c r="X138" s="79">
        <f ca="1">IF($K138="","",Random!$J70)</f>
        <v>1</v>
      </c>
      <c r="Y138" s="191">
        <f ca="1">IF(Random!$AY70="","",Random!$AX70-Y137)</f>
        <v>9</v>
      </c>
      <c r="Z138" s="195"/>
      <c r="AA138" s="193"/>
      <c r="AB138" s="79">
        <f ca="1">IF($K138="","",Rangliste!$H70)</f>
        <v>2</v>
      </c>
      <c r="AC138" s="79">
        <f ca="1">IF($K138="","",Rangliste!$J70)</f>
        <v>0</v>
      </c>
      <c r="AD138" s="191">
        <f ca="1">IF(Rangliste!$AY70="","",Rangliste!$AX70-AD137)</f>
        <v>0</v>
      </c>
      <c r="AE138" s="195"/>
      <c r="AF138" s="193"/>
      <c r="AG138" s="79">
        <f ca="1">IF($K138="","",Fest!$H70)</f>
        <v>2</v>
      </c>
      <c r="AH138" s="79">
        <f ca="1">IF($K138="","",Fest!$J70)</f>
        <v>1</v>
      </c>
      <c r="AI138" s="191">
        <f ca="1">IF(Fest!$AY70="","",Fest!$AX70-AI137)</f>
        <v>1</v>
      </c>
      <c r="AJ138" s="195"/>
      <c r="AK138" s="193"/>
      <c r="AL138" s="79">
        <f ca="1">IF($K138="","",Nobody!$H70)</f>
        <v>0</v>
      </c>
      <c r="AM138" s="79">
        <f ca="1">IF($K138="","",Nobody!$J70)</f>
        <v>1</v>
      </c>
      <c r="AN138" s="191">
        <f ca="1">IF(Nobody!$AY70="","",Nobody!$AX70-AN137)</f>
        <v>9</v>
      </c>
      <c r="AO138" s="195"/>
      <c r="AP138" s="193"/>
    </row>
    <row r="139" spans="1:42" s="10" customFormat="1">
      <c r="A139" s="2"/>
      <c r="B139" s="2"/>
      <c r="C139" s="2"/>
      <c r="D139" s="2"/>
      <c r="E139" s="2"/>
      <c r="F139" s="2"/>
      <c r="G139" s="2"/>
      <c r="H139" s="2"/>
      <c r="I139" s="2"/>
      <c r="J139" s="2"/>
      <c r="K139" s="2"/>
      <c r="L139" s="193"/>
      <c r="M139" s="199" t="str">
        <f ca="1">IF($K140="","",Bernd!$D71)</f>
        <v>Belgien</v>
      </c>
      <c r="N139" s="199" t="str">
        <f ca="1">IF($K140="","",Bernd!$F71)</f>
        <v>Südkorea</v>
      </c>
      <c r="O139" s="191">
        <f ca="1">IF(M139="","",IF(AND(M140&lt;&gt;"",$D140=M139),1,0)+IF(AND(N140&lt;&gt;"",$F140=N139),1,0))</f>
        <v>1</v>
      </c>
      <c r="P139" s="195"/>
      <c r="Q139" s="193"/>
      <c r="R139" s="199" t="str">
        <f ca="1">IF($K140="","",Mitspieler!$D71)</f>
        <v>Belgien</v>
      </c>
      <c r="S139" s="199" t="str">
        <f ca="1">IF($K140="","",Mitspieler!$F71)</f>
        <v>Tschechien</v>
      </c>
      <c r="T139" s="191">
        <f ca="1">IF(R139="","",IF(AND(R140&lt;&gt;"",$D140=R139),1,0)+IF(AND(S140&lt;&gt;"",$F140=S139),1,0))</f>
        <v>0</v>
      </c>
      <c r="U139" s="195"/>
      <c r="V139" s="193"/>
      <c r="W139" s="199" t="str">
        <f ca="1">IF($K140="","",Random!$D71)</f>
        <v>Belgien</v>
      </c>
      <c r="X139" s="199" t="str">
        <f ca="1">IF($K140="","",Random!$F71)</f>
        <v>Mexiko</v>
      </c>
      <c r="Y139" s="191">
        <f ca="1">IF(W139="","",IF(AND(W140&lt;&gt;"",$D140=W139),1,0)+IF(AND(X140&lt;&gt;"",$F140=X139),1,0))</f>
        <v>0</v>
      </c>
      <c r="Z139" s="195"/>
      <c r="AA139" s="193"/>
      <c r="AB139" s="199" t="str">
        <f ca="1">IF($K140="","",Rangliste!$D71)</f>
        <v>Belgien</v>
      </c>
      <c r="AC139" s="199" t="str">
        <f ca="1">IF($K140="","",Rangliste!$F71)</f>
        <v>Tschechien</v>
      </c>
      <c r="AD139" s="191">
        <f ca="1">IF(AB139="","",IF(AND(AB140&lt;&gt;"",$D140=AB139),1,0)+IF(AND(AC140&lt;&gt;"",$F140=AC139),1,0))</f>
        <v>0</v>
      </c>
      <c r="AE139" s="195"/>
      <c r="AF139" s="193"/>
      <c r="AG139" s="199" t="str">
        <f ca="1">IF($K140="","",Fest!$D71)</f>
        <v>Neuseeland</v>
      </c>
      <c r="AH139" s="199" t="str">
        <f ca="1">IF($K140="","",Fest!$F71)</f>
        <v>Südafrika</v>
      </c>
      <c r="AI139" s="191">
        <f ca="1">IF(AG139="","",IF(AND(AG140&lt;&gt;"",$D140=AG139),1,0)+IF(AND(AH140&lt;&gt;"",$F140=AH139),1,0))</f>
        <v>1</v>
      </c>
      <c r="AJ139" s="195"/>
      <c r="AK139" s="193"/>
      <c r="AL139" s="199" t="str">
        <f ca="1">IF($K140="","",Nobody!$D71)</f>
        <v>Neuseeland</v>
      </c>
      <c r="AM139" s="199" t="str">
        <f ca="1">IF($K140="","",Nobody!$F71)</f>
        <v>Südkorea</v>
      </c>
      <c r="AN139" s="191">
        <f ca="1">IF(AL139="","",IF(AND(AL140&lt;&gt;"",$D140=AL139),1,0)+IF(AND(AM140&lt;&gt;"",$F140=AM139),1,0))</f>
        <v>2</v>
      </c>
      <c r="AO139" s="195"/>
      <c r="AP139" s="193"/>
    </row>
    <row r="140" spans="1:42" s="10" customFormat="1">
      <c r="A140" s="2">
        <f>Ergebnisse!A71</f>
        <v>82</v>
      </c>
      <c r="B140" s="6">
        <f>Ergebnisse!B71</f>
        <v>46204.541666666664</v>
      </c>
      <c r="C140" s="6" t="str">
        <f>Ergebnisse!C71</f>
        <v>Seattle</v>
      </c>
      <c r="D140" s="228" t="str">
        <f ca="1">Ergebnisse!D71</f>
        <v>Neuseeland</v>
      </c>
      <c r="E140" s="15" t="str">
        <f>Ergebnisse!E71</f>
        <v>-</v>
      </c>
      <c r="F140" s="34" t="str">
        <f ca="1">Ergebnisse!F71</f>
        <v>Südkorea</v>
      </c>
      <c r="G140" s="17">
        <f>Ergebnisse!G71</f>
        <v>0</v>
      </c>
      <c r="H140" s="107">
        <f ca="1">Ergebnisse!H71</f>
        <v>3</v>
      </c>
      <c r="I140" s="11" t="str">
        <f>Ergebnisse!I71</f>
        <v>:</v>
      </c>
      <c r="J140" s="107">
        <f ca="1">Ergebnisse!J71</f>
        <v>2</v>
      </c>
      <c r="K140" s="7" t="str">
        <f ca="1">Ergebnisse!K71</f>
        <v>ok</v>
      </c>
      <c r="L140" s="193"/>
      <c r="M140" s="79">
        <f ca="1">IF($K140="","",Bernd!$H71)</f>
        <v>4</v>
      </c>
      <c r="N140" s="79">
        <f ca="1">IF($K140="","",Bernd!$J71)</f>
        <v>3</v>
      </c>
      <c r="O140" s="191">
        <f ca="1">IF(Bernd!$AY71="","",Bernd!$AX71-O139)</f>
        <v>7</v>
      </c>
      <c r="P140" s="195"/>
      <c r="Q140" s="193"/>
      <c r="R140" s="79">
        <f ca="1">IF($K140="","",Mitspieler!$H71)</f>
        <v>2</v>
      </c>
      <c r="S140" s="79">
        <f ca="1">IF($K140="","",Mitspieler!$J71)</f>
        <v>1</v>
      </c>
      <c r="T140" s="191">
        <f ca="1">IF(Mitspieler!$AY71="","",Mitspieler!$AX71-T139)</f>
        <v>7</v>
      </c>
      <c r="U140" s="195"/>
      <c r="V140" s="193"/>
      <c r="W140" s="79">
        <f ca="1">IF($K140="","",Random!$H71)</f>
        <v>2</v>
      </c>
      <c r="X140" s="79">
        <f ca="1">IF($K140="","",Random!$J71)</f>
        <v>3</v>
      </c>
      <c r="Y140" s="191">
        <f ca="1">IF(Random!$AY71="","",Random!$AX71-Y139)</f>
        <v>0</v>
      </c>
      <c r="Z140" s="195"/>
      <c r="AA140" s="193"/>
      <c r="AB140" s="79">
        <f ca="1">IF($K140="","",Rangliste!$H71)</f>
        <v>4</v>
      </c>
      <c r="AC140" s="79">
        <f ca="1">IF($K140="","",Rangliste!$J71)</f>
        <v>3</v>
      </c>
      <c r="AD140" s="191">
        <f ca="1">IF(Rangliste!$AY71="","",Rangliste!$AX71-AD139)</f>
        <v>7</v>
      </c>
      <c r="AE140" s="195"/>
      <c r="AF140" s="193"/>
      <c r="AG140" s="79">
        <f ca="1">IF($K140="","",Fest!$H71)</f>
        <v>2</v>
      </c>
      <c r="AH140" s="79">
        <f ca="1">IF($K140="","",Fest!$J71)</f>
        <v>1</v>
      </c>
      <c r="AI140" s="191">
        <f ca="1">IF(Fest!$AY71="","",Fest!$AX71-AI139)</f>
        <v>7</v>
      </c>
      <c r="AJ140" s="195"/>
      <c r="AK140" s="193"/>
      <c r="AL140" s="79">
        <f ca="1">IF($K140="","",Nobody!$H71)</f>
        <v>3</v>
      </c>
      <c r="AM140" s="79">
        <f ca="1">IF($K140="","",Nobody!$J71)</f>
        <v>2</v>
      </c>
      <c r="AN140" s="191">
        <f ca="1">IF(Nobody!$AY71="","",Nobody!$AX71-AN139)</f>
        <v>9</v>
      </c>
      <c r="AO140" s="195"/>
      <c r="AP140" s="193"/>
    </row>
    <row r="141" spans="1:42" s="10" customFormat="1">
      <c r="A141" s="2"/>
      <c r="B141" s="2"/>
      <c r="C141" s="2"/>
      <c r="D141" s="2"/>
      <c r="E141" s="2"/>
      <c r="F141" s="2"/>
      <c r="G141" s="2"/>
      <c r="H141" s="2"/>
      <c r="I141" s="2"/>
      <c r="J141" s="2"/>
      <c r="K141" s="2"/>
      <c r="L141" s="193"/>
      <c r="M141" s="199" t="str">
        <f ca="1">IF($K142="","",Bernd!$D72)</f>
        <v>Paraguay</v>
      </c>
      <c r="N141" s="199" t="str">
        <f ca="1">IF($K142="","",Bernd!$F72)</f>
        <v>Senegal</v>
      </c>
      <c r="O141" s="191">
        <f ca="1">IF(M141="","",IF(AND(M142&lt;&gt;"",$D142=M141),1,0)+IF(AND(N142&lt;&gt;"",$F142=N141),1,0))</f>
        <v>0</v>
      </c>
      <c r="P141" s="195"/>
      <c r="Q141" s="193"/>
      <c r="R141" s="199" t="str">
        <f ca="1">IF($K142="","",Mitspieler!$D72)</f>
        <v>Türkei</v>
      </c>
      <c r="S141" s="199" t="str">
        <f ca="1">IF($K142="","",Mitspieler!$F72)</f>
        <v>Ecuador</v>
      </c>
      <c r="T141" s="191">
        <f ca="1">IF(R141="","",IF(AND(R142&lt;&gt;"",$D142=R141),1,0)+IF(AND(S142&lt;&gt;"",$F142=S141),1,0))</f>
        <v>1</v>
      </c>
      <c r="U141" s="195"/>
      <c r="V141" s="193"/>
      <c r="W141" s="199" t="str">
        <f ca="1">IF($K142="","",Random!$D72)</f>
        <v>Australien</v>
      </c>
      <c r="X141" s="199" t="str">
        <f ca="1">IF($K142="","",Random!$F72)</f>
        <v>Kanada</v>
      </c>
      <c r="Y141" s="191">
        <f ca="1">IF(W141="","",IF(AND(W142&lt;&gt;"",$D142=W141),1,0)+IF(AND(X142&lt;&gt;"",$F142=X141),1,0))</f>
        <v>0</v>
      </c>
      <c r="Z141" s="195"/>
      <c r="AA141" s="193"/>
      <c r="AB141" s="199" t="str">
        <f ca="1">IF($K142="","",Rangliste!$D72)</f>
        <v>USA</v>
      </c>
      <c r="AC141" s="199" t="str">
        <f ca="1">IF($K142="","",Rangliste!$F72)</f>
        <v>Katar</v>
      </c>
      <c r="AD141" s="191">
        <f ca="1">IF(AB141="","",IF(AND(AB142&lt;&gt;"",$D142=AB141),1,0)+IF(AND(AC142&lt;&gt;"",$F142=AC141),1,0))</f>
        <v>0</v>
      </c>
      <c r="AE141" s="195"/>
      <c r="AF141" s="193"/>
      <c r="AG141" s="199" t="str">
        <f ca="1">IF($K142="","",Fest!$D72)</f>
        <v>Türkei</v>
      </c>
      <c r="AH141" s="199" t="str">
        <f ca="1">IF($K142="","",Fest!$F72)</f>
        <v>Bosnien/Herzg.</v>
      </c>
      <c r="AI141" s="191">
        <f ca="1">IF(AG141="","",IF(AND(AG142&lt;&gt;"",$D142=AG141),1,0)+IF(AND(AH142&lt;&gt;"",$F142=AH141),1,0))</f>
        <v>1</v>
      </c>
      <c r="AJ141" s="195"/>
      <c r="AK141" s="193"/>
      <c r="AL141" s="199" t="str">
        <f ca="1">IF($K142="","",Nobody!$D72)</f>
        <v>Türkei</v>
      </c>
      <c r="AM141" s="199" t="str">
        <f ca="1">IF($K142="","",Nobody!$F72)</f>
        <v>Irak</v>
      </c>
      <c r="AN141" s="191">
        <f ca="1">IF(AL141="","",IF(AND(AL142&lt;&gt;"",$D142=AL141),1,0)+IF(AND(AM142&lt;&gt;"",$F142=AM141),1,0))</f>
        <v>2</v>
      </c>
      <c r="AO141" s="195"/>
      <c r="AP141" s="193"/>
    </row>
    <row r="142" spans="1:42" s="10" customFormat="1">
      <c r="A142" s="2">
        <f>Ergebnisse!A72</f>
        <v>81</v>
      </c>
      <c r="B142" s="6">
        <f>Ergebnisse!B72</f>
        <v>46204.708333333336</v>
      </c>
      <c r="C142" s="6" t="str">
        <f>Ergebnisse!C72</f>
        <v>San Francisco</v>
      </c>
      <c r="D142" s="177" t="str">
        <f ca="1">Ergebnisse!D72</f>
        <v>Türkei</v>
      </c>
      <c r="E142" s="15" t="str">
        <f>Ergebnisse!E72</f>
        <v>-</v>
      </c>
      <c r="F142" s="34" t="str">
        <f ca="1">Ergebnisse!F72</f>
        <v>Irak</v>
      </c>
      <c r="G142" s="17">
        <f>Ergebnisse!G72</f>
        <v>0</v>
      </c>
      <c r="H142" s="107">
        <f ca="1">Ergebnisse!H72</f>
        <v>2</v>
      </c>
      <c r="I142" s="11" t="str">
        <f>Ergebnisse!I72</f>
        <v>:</v>
      </c>
      <c r="J142" s="107">
        <f ca="1">Ergebnisse!J72</f>
        <v>1</v>
      </c>
      <c r="K142" s="7" t="str">
        <f ca="1">Ergebnisse!K72</f>
        <v>ok</v>
      </c>
      <c r="L142" s="193"/>
      <c r="M142" s="79">
        <f ca="1">IF($K142="","",Bernd!$H72)</f>
        <v>1</v>
      </c>
      <c r="N142" s="79">
        <f ca="1">IF($K142="","",Bernd!$J72)</f>
        <v>2</v>
      </c>
      <c r="O142" s="191">
        <f ca="1">IF(Bernd!$AY72="","",Bernd!$AX72-O141)</f>
        <v>0</v>
      </c>
      <c r="P142" s="195"/>
      <c r="Q142" s="193"/>
      <c r="R142" s="79">
        <f ca="1">IF($K142="","",Mitspieler!$H72)</f>
        <v>0</v>
      </c>
      <c r="S142" s="79">
        <f ca="1">IF($K142="","",Mitspieler!$J72)</f>
        <v>1</v>
      </c>
      <c r="T142" s="191">
        <f ca="1">IF(Mitspieler!$AY72="","",Mitspieler!$AX72-T141)</f>
        <v>1</v>
      </c>
      <c r="U142" s="195"/>
      <c r="V142" s="193"/>
      <c r="W142" s="79">
        <f ca="1">IF($K142="","",Random!$H72)</f>
        <v>1</v>
      </c>
      <c r="X142" s="79">
        <f ca="1">IF($K142="","",Random!$J72)</f>
        <v>2</v>
      </c>
      <c r="Y142" s="191">
        <f ca="1">IF(Random!$AY72="","",Random!$AX72-Y141)</f>
        <v>0</v>
      </c>
      <c r="Z142" s="195"/>
      <c r="AA142" s="193"/>
      <c r="AB142" s="79">
        <f ca="1">IF($K142="","",Rangliste!$H72)</f>
        <v>3</v>
      </c>
      <c r="AC142" s="79">
        <f ca="1">IF($K142="","",Rangliste!$J72)</f>
        <v>2</v>
      </c>
      <c r="AD142" s="191">
        <f ca="1">IF(Rangliste!$AY72="","",Rangliste!$AX72-AD141)</f>
        <v>7</v>
      </c>
      <c r="AE142" s="195"/>
      <c r="AF142" s="193"/>
      <c r="AG142" s="79">
        <f ca="1">IF($K142="","",Fest!$H72)</f>
        <v>2</v>
      </c>
      <c r="AH142" s="79">
        <f ca="1">IF($K142="","",Fest!$J72)</f>
        <v>1</v>
      </c>
      <c r="AI142" s="191">
        <f ca="1">IF(Fest!$AY72="","",Fest!$AX72-AI141)</f>
        <v>9</v>
      </c>
      <c r="AJ142" s="195"/>
      <c r="AK142" s="193"/>
      <c r="AL142" s="79">
        <f ca="1">IF($K142="","",Nobody!$H72)</f>
        <v>2</v>
      </c>
      <c r="AM142" s="79">
        <f ca="1">IF($K142="","",Nobody!$J72)</f>
        <v>1</v>
      </c>
      <c r="AN142" s="191">
        <f ca="1">IF(Nobody!$AY72="","",Nobody!$AX72-AN141)</f>
        <v>9</v>
      </c>
      <c r="AO142" s="195"/>
      <c r="AP142" s="193"/>
    </row>
    <row r="143" spans="1:42" s="10" customFormat="1">
      <c r="A143" s="2"/>
      <c r="B143" s="2"/>
      <c r="C143" s="2"/>
      <c r="D143" s="2"/>
      <c r="E143" s="2"/>
      <c r="F143" s="2"/>
      <c r="G143" s="2"/>
      <c r="H143" s="2"/>
      <c r="I143" s="2"/>
      <c r="J143" s="2"/>
      <c r="K143" s="2"/>
      <c r="L143" s="193"/>
      <c r="M143" s="199" t="str">
        <f ca="1">IF($K144="","",Bernd!$D73)</f>
        <v>Spanien</v>
      </c>
      <c r="N143" s="199" t="str">
        <f ca="1">IF($K144="","",Bernd!$F73)</f>
        <v>Algerien</v>
      </c>
      <c r="O143" s="191">
        <f ca="1">IF(M143="","",IF(AND(M144&lt;&gt;"",$D144=M143),1,0)+IF(AND(N144&lt;&gt;"",$F144=N143),1,0))</f>
        <v>1</v>
      </c>
      <c r="P143" s="195"/>
      <c r="Q143" s="193"/>
      <c r="R143" s="199" t="str">
        <f ca="1">IF($K144="","",Mitspieler!$D73)</f>
        <v>Spanien</v>
      </c>
      <c r="S143" s="199" t="str">
        <f ca="1">IF($K144="","",Mitspieler!$F73)</f>
        <v>Algerien</v>
      </c>
      <c r="T143" s="191">
        <f ca="1">IF(R143="","",IF(AND(R144&lt;&gt;"",$D144=R143),1,0)+IF(AND(S144&lt;&gt;"",$F144=S143),1,0))</f>
        <v>1</v>
      </c>
      <c r="U143" s="195"/>
      <c r="V143" s="193"/>
      <c r="W143" s="199" t="str">
        <f ca="1">IF($K144="","",Random!$D73)</f>
        <v>Saudiarabien</v>
      </c>
      <c r="X143" s="199" t="str">
        <f ca="1">IF($K144="","",Random!$F73)</f>
        <v>Jordanien</v>
      </c>
      <c r="Y143" s="191">
        <f ca="1">IF(W143="","",IF(AND(W144&lt;&gt;"",$D144=W143),1,0)+IF(AND(X144&lt;&gt;"",$F144=X143),1,0))</f>
        <v>0</v>
      </c>
      <c r="Z143" s="195"/>
      <c r="AA143" s="193"/>
      <c r="AB143" s="199" t="str">
        <f ca="1">IF($K144="","",Rangliste!$D73)</f>
        <v>Spanien</v>
      </c>
      <c r="AC143" s="199" t="str">
        <f ca="1">IF($K144="","",Rangliste!$F73)</f>
        <v>Österreich</v>
      </c>
      <c r="AD143" s="191">
        <f ca="1">IF(AB143="","",IF(AND(AB144&lt;&gt;"",$D144=AB143),1,0)+IF(AND(AC144&lt;&gt;"",$F144=AC143),1,0))</f>
        <v>0</v>
      </c>
      <c r="AE143" s="195"/>
      <c r="AF143" s="193"/>
      <c r="AG143" s="199" t="str">
        <f ca="1">IF($K144="","",Fest!$D73)</f>
        <v>Uruguay</v>
      </c>
      <c r="AH143" s="199" t="str">
        <f ca="1">IF($K144="","",Fest!$F73)</f>
        <v>Argentinien</v>
      </c>
      <c r="AI143" s="191">
        <f ca="1">IF(AG143="","",IF(AND(AG144&lt;&gt;"",$D144=AG143),1,0)+IF(AND(AH144&lt;&gt;"",$F144=AH143),1,0))</f>
        <v>1</v>
      </c>
      <c r="AJ143" s="195"/>
      <c r="AK143" s="193"/>
      <c r="AL143" s="199" t="str">
        <f ca="1">IF($K144="","",Nobody!$D73)</f>
        <v>Uruguay</v>
      </c>
      <c r="AM143" s="199" t="str">
        <f ca="1">IF($K144="","",Nobody!$F73)</f>
        <v>Algerien</v>
      </c>
      <c r="AN143" s="191">
        <f ca="1">IF(AL143="","",IF(AND(AL144&lt;&gt;"",$D144=AL143),1,0)+IF(AND(AM144&lt;&gt;"",$F144=AM143),1,0))</f>
        <v>2</v>
      </c>
      <c r="AO143" s="195"/>
      <c r="AP143" s="193"/>
    </row>
    <row r="144" spans="1:42" s="10" customFormat="1">
      <c r="A144" s="2">
        <f>Ergebnisse!A73</f>
        <v>84</v>
      </c>
      <c r="B144" s="6">
        <f>Ergebnisse!B73</f>
        <v>46205.5</v>
      </c>
      <c r="C144" s="6" t="str">
        <f>Ergebnisse!C73</f>
        <v>Los Angeles</v>
      </c>
      <c r="D144" s="233" t="str">
        <f ca="1">Ergebnisse!D73</f>
        <v>Uruguay</v>
      </c>
      <c r="E144" s="15" t="str">
        <f>Ergebnisse!E73</f>
        <v>-</v>
      </c>
      <c r="F144" s="227" t="str">
        <f ca="1">Ergebnisse!F73</f>
        <v>Algerien</v>
      </c>
      <c r="G144" s="17">
        <f>Ergebnisse!G73</f>
        <v>0</v>
      </c>
      <c r="H144" s="107">
        <f ca="1">Ergebnisse!H73</f>
        <v>0</v>
      </c>
      <c r="I144" s="11" t="str">
        <f>Ergebnisse!I73</f>
        <v>:</v>
      </c>
      <c r="J144" s="107">
        <f ca="1">Ergebnisse!J73</f>
        <v>1</v>
      </c>
      <c r="K144" s="7" t="str">
        <f ca="1">Ergebnisse!K73</f>
        <v>ok</v>
      </c>
      <c r="L144" s="193"/>
      <c r="M144" s="79">
        <f ca="1">IF($K144="","",Bernd!$H73)</f>
        <v>4</v>
      </c>
      <c r="N144" s="79">
        <f ca="1">IF($K144="","",Bernd!$J73)</f>
        <v>1</v>
      </c>
      <c r="O144" s="191">
        <f ca="1">IF(Bernd!$AY73="","",Bernd!$AX73-O143)</f>
        <v>1</v>
      </c>
      <c r="P144" s="195"/>
      <c r="Q144" s="193"/>
      <c r="R144" s="79">
        <f ca="1">IF($K144="","",Mitspieler!$H73)</f>
        <v>3</v>
      </c>
      <c r="S144" s="79">
        <f ca="1">IF($K144="","",Mitspieler!$J73)</f>
        <v>2</v>
      </c>
      <c r="T144" s="191">
        <f ca="1">IF(Mitspieler!$AY73="","",Mitspieler!$AX73-T143)</f>
        <v>0</v>
      </c>
      <c r="U144" s="195"/>
      <c r="V144" s="193"/>
      <c r="W144" s="79">
        <f ca="1">IF($K144="","",Random!$H73)</f>
        <v>0</v>
      </c>
      <c r="X144" s="79">
        <f ca="1">IF($K144="","",Random!$J73)</f>
        <v>1</v>
      </c>
      <c r="Y144" s="191">
        <f ca="1">IF(Random!$AY73="","",Random!$AX73-Y143)</f>
        <v>9</v>
      </c>
      <c r="Z144" s="195"/>
      <c r="AA144" s="193"/>
      <c r="AB144" s="79">
        <f ca="1">IF($K144="","",Rangliste!$H73)</f>
        <v>5</v>
      </c>
      <c r="AC144" s="79">
        <f ca="1">IF($K144="","",Rangliste!$J73)</f>
        <v>4</v>
      </c>
      <c r="AD144" s="191">
        <f ca="1">IF(Rangliste!$AY73="","",Rangliste!$AX73-AD143)</f>
        <v>0</v>
      </c>
      <c r="AE144" s="195"/>
      <c r="AF144" s="193"/>
      <c r="AG144" s="79">
        <f ca="1">IF($K144="","",Fest!$H73)</f>
        <v>2</v>
      </c>
      <c r="AH144" s="79">
        <f ca="1">IF($K144="","",Fest!$J73)</f>
        <v>1</v>
      </c>
      <c r="AI144" s="191">
        <f ca="1">IF(Fest!$AY73="","",Fest!$AX73-AI143)</f>
        <v>1</v>
      </c>
      <c r="AJ144" s="195"/>
      <c r="AK144" s="193"/>
      <c r="AL144" s="79">
        <f ca="1">IF($K144="","",Nobody!$H73)</f>
        <v>0</v>
      </c>
      <c r="AM144" s="79">
        <f ca="1">IF($K144="","",Nobody!$J73)</f>
        <v>1</v>
      </c>
      <c r="AN144" s="191">
        <f ca="1">IF(Nobody!$AY73="","",Nobody!$AX73-AN143)</f>
        <v>9</v>
      </c>
      <c r="AO144" s="195"/>
      <c r="AP144" s="193"/>
    </row>
    <row r="145" spans="1:42" s="10" customFormat="1">
      <c r="A145" s="2"/>
      <c r="B145" s="2"/>
      <c r="C145" s="2"/>
      <c r="D145" s="2"/>
      <c r="E145" s="2"/>
      <c r="F145" s="2"/>
      <c r="G145" s="2"/>
      <c r="H145" s="2"/>
      <c r="I145" s="2"/>
      <c r="J145" s="2"/>
      <c r="K145" s="2"/>
      <c r="L145" s="193"/>
      <c r="M145" s="199" t="str">
        <f ca="1">IF($K146="","",Bernd!$D74)</f>
        <v>Kolumbien</v>
      </c>
      <c r="N145" s="199" t="str">
        <f ca="1">IF($K146="","",Bernd!$F74)</f>
        <v>England</v>
      </c>
      <c r="O145" s="191">
        <f ca="1">IF(M145="","",IF(AND(M146&lt;&gt;"",$D146=M145),1,0)+IF(AND(N146&lt;&gt;"",$F146=N145),1,0))</f>
        <v>0</v>
      </c>
      <c r="P145" s="195"/>
      <c r="Q145" s="193"/>
      <c r="R145" s="199" t="str">
        <f ca="1">IF($K146="","",Mitspieler!$D74)</f>
        <v>Usbekistan</v>
      </c>
      <c r="S145" s="199" t="str">
        <f ca="1">IF($K146="","",Mitspieler!$F74)</f>
        <v>England</v>
      </c>
      <c r="T145" s="191">
        <f ca="1">IF(R145="","",IF(AND(R146&lt;&gt;"",$D146=R145),1,0)+IF(AND(S146&lt;&gt;"",$F146=S145),1,0))</f>
        <v>1</v>
      </c>
      <c r="U145" s="195"/>
      <c r="V145" s="193"/>
      <c r="W145" s="199" t="str">
        <f ca="1">IF($K146="","",Random!$D74)</f>
        <v>Usbekistan</v>
      </c>
      <c r="X145" s="199" t="str">
        <f ca="1">IF($K146="","",Random!$F74)</f>
        <v>Panama</v>
      </c>
      <c r="Y145" s="191">
        <f ca="1">IF(W145="","",IF(AND(W146&lt;&gt;"",$D146=W145),1,0)+IF(AND(X146&lt;&gt;"",$F146=X145),1,0))</f>
        <v>2</v>
      </c>
      <c r="Z145" s="195"/>
      <c r="AA145" s="193"/>
      <c r="AB145" s="199" t="str">
        <f ca="1">IF($K146="","",Rangliste!$D74)</f>
        <v>Kolumbien</v>
      </c>
      <c r="AC145" s="199" t="str">
        <f ca="1">IF($K146="","",Rangliste!$F74)</f>
        <v>Kroatien</v>
      </c>
      <c r="AD145" s="191">
        <f ca="1">IF(AB145="","",IF(AND(AB146&lt;&gt;"",$D146=AB145),1,0)+IF(AND(AC146&lt;&gt;"",$F146=AC145),1,0))</f>
        <v>0</v>
      </c>
      <c r="AE145" s="195"/>
      <c r="AF145" s="193"/>
      <c r="AG145" s="199" t="str">
        <f ca="1">IF($K146="","",Fest!$D74)</f>
        <v>Portugal</v>
      </c>
      <c r="AH145" s="199" t="str">
        <f ca="1">IF($K146="","",Fest!$F74)</f>
        <v>England</v>
      </c>
      <c r="AI145" s="191">
        <f ca="1">IF(AG145="","",IF(AND(AG146&lt;&gt;"",$D146=AG145),1,0)+IF(AND(AH146&lt;&gt;"",$F146=AH145),1,0))</f>
        <v>0</v>
      </c>
      <c r="AJ145" s="195"/>
      <c r="AK145" s="193"/>
      <c r="AL145" s="199" t="str">
        <f ca="1">IF($K146="","",Nobody!$D74)</f>
        <v>Usbekistan</v>
      </c>
      <c r="AM145" s="199" t="str">
        <f ca="1">IF($K146="","",Nobody!$F74)</f>
        <v>Panama</v>
      </c>
      <c r="AN145" s="191">
        <f ca="1">IF(AL145="","",IF(AND(AL146&lt;&gt;"",$D146=AL145),1,0)+IF(AND(AM146&lt;&gt;"",$F146=AM145),1,0))</f>
        <v>2</v>
      </c>
      <c r="AO145" s="195"/>
      <c r="AP145" s="193"/>
    </row>
    <row r="146" spans="1:42" s="10" customFormat="1">
      <c r="A146" s="2">
        <f>Ergebnisse!A74</f>
        <v>83</v>
      </c>
      <c r="B146" s="6">
        <f>Ergebnisse!B74</f>
        <v>46205.791666666664</v>
      </c>
      <c r="C146" s="6" t="str">
        <f>Ergebnisse!C74</f>
        <v>Toronto</v>
      </c>
      <c r="D146" s="232" t="str">
        <f ca="1">Ergebnisse!D74</f>
        <v>Usbekistan</v>
      </c>
      <c r="E146" s="15" t="str">
        <f>Ergebnisse!E74</f>
        <v>-</v>
      </c>
      <c r="F146" s="237" t="str">
        <f ca="1">Ergebnisse!F74</f>
        <v>Panama</v>
      </c>
      <c r="G146" s="17">
        <f>Ergebnisse!G74</f>
        <v>0</v>
      </c>
      <c r="H146" s="107">
        <f ca="1">Ergebnisse!H74</f>
        <v>2</v>
      </c>
      <c r="I146" s="11" t="str">
        <f>Ergebnisse!I74</f>
        <v>:</v>
      </c>
      <c r="J146" s="107">
        <f ca="1">Ergebnisse!J74</f>
        <v>3</v>
      </c>
      <c r="K146" s="7" t="str">
        <f ca="1">Ergebnisse!K74</f>
        <v>ok</v>
      </c>
      <c r="L146" s="193"/>
      <c r="M146" s="79">
        <f ca="1">IF($K146="","",Bernd!$H74)</f>
        <v>1</v>
      </c>
      <c r="N146" s="79">
        <f ca="1">IF($K146="","",Bernd!$J74)</f>
        <v>2</v>
      </c>
      <c r="O146" s="191">
        <f ca="1">IF(Bernd!$AY74="","",Bernd!$AX74-O145)</f>
        <v>7</v>
      </c>
      <c r="P146" s="195"/>
      <c r="Q146" s="193"/>
      <c r="R146" s="79">
        <f ca="1">IF($K146="","",Mitspieler!$H74)</f>
        <v>2</v>
      </c>
      <c r="S146" s="79">
        <f ca="1">IF($K146="","",Mitspieler!$J74)</f>
        <v>4</v>
      </c>
      <c r="T146" s="191">
        <f ca="1">IF(Mitspieler!$AY74="","",Mitspieler!$AX74-T145)</f>
        <v>8</v>
      </c>
      <c r="U146" s="195"/>
      <c r="V146" s="193"/>
      <c r="W146" s="79">
        <f ca="1">IF($K146="","",Random!$H74)</f>
        <v>4</v>
      </c>
      <c r="X146" s="79">
        <f ca="1">IF($K146="","",Random!$J74)</f>
        <v>5</v>
      </c>
      <c r="Y146" s="191">
        <f ca="1">IF(Random!$AY74="","",Random!$AX74-Y145)</f>
        <v>7</v>
      </c>
      <c r="Z146" s="195"/>
      <c r="AA146" s="193"/>
      <c r="AB146" s="79">
        <f ca="1">IF($K146="","",Rangliste!$H74)</f>
        <v>0</v>
      </c>
      <c r="AC146" s="79">
        <f ca="1">IF($K146="","",Rangliste!$J74)</f>
        <v>1</v>
      </c>
      <c r="AD146" s="191">
        <f ca="1">IF(Rangliste!$AY74="","",Rangliste!$AX74-AD145)</f>
        <v>7</v>
      </c>
      <c r="AE146" s="195"/>
      <c r="AF146" s="193"/>
      <c r="AG146" s="79">
        <f ca="1">IF($K146="","",Fest!$H74)</f>
        <v>2</v>
      </c>
      <c r="AH146" s="79">
        <f ca="1">IF($K146="","",Fest!$J74)</f>
        <v>1</v>
      </c>
      <c r="AI146" s="191">
        <f ca="1">IF(Fest!$AY74="","",Fest!$AX74-AI145)</f>
        <v>1</v>
      </c>
      <c r="AJ146" s="195"/>
      <c r="AK146" s="193"/>
      <c r="AL146" s="79">
        <f ca="1">IF($K146="","",Nobody!$H74)</f>
        <v>2</v>
      </c>
      <c r="AM146" s="79">
        <f ca="1">IF($K146="","",Nobody!$J74)</f>
        <v>3</v>
      </c>
      <c r="AN146" s="191">
        <f ca="1">IF(Nobody!$AY74="","",Nobody!$AX74-AN145)</f>
        <v>9</v>
      </c>
      <c r="AO146" s="195"/>
      <c r="AP146" s="193"/>
    </row>
    <row r="147" spans="1:42" s="10" customFormat="1">
      <c r="A147" s="2"/>
      <c r="B147" s="2"/>
      <c r="C147" s="2"/>
      <c r="D147" s="2"/>
      <c r="E147" s="2"/>
      <c r="F147" s="2"/>
      <c r="G147" s="2"/>
      <c r="H147" s="2"/>
      <c r="I147" s="2"/>
      <c r="J147" s="2"/>
      <c r="K147" s="2"/>
      <c r="L147" s="193"/>
      <c r="M147" s="199" t="str">
        <f ca="1">IF($K148="","",Bernd!$D75)</f>
        <v>Kanada</v>
      </c>
      <c r="N147" s="199" t="str">
        <f ca="1">IF($K148="","",Bernd!$F75)</f>
        <v>Elfenbeinküste</v>
      </c>
      <c r="O147" s="191">
        <f ca="1">IF(M147="","",IF(AND(M148&lt;&gt;"",$D148=M147),1,0)+IF(AND(N148&lt;&gt;"",$F148=N147),1,0))</f>
        <v>1</v>
      </c>
      <c r="P147" s="195"/>
      <c r="Q147" s="193"/>
      <c r="R147" s="199" t="str">
        <f ca="1">IF($K148="","",Mitspieler!$D75)</f>
        <v>Schweiz</v>
      </c>
      <c r="S147" s="199" t="str">
        <f ca="1">IF($K148="","",Mitspieler!$F75)</f>
        <v>Ägypten</v>
      </c>
      <c r="T147" s="191">
        <f ca="1">IF(R147="","",IF(AND(R148&lt;&gt;"",$D148=R147),1,0)+IF(AND(S148&lt;&gt;"",$F148=S147),1,0))</f>
        <v>0</v>
      </c>
      <c r="U147" s="195"/>
      <c r="V147" s="193"/>
      <c r="W147" s="199" t="str">
        <f ca="1">IF($K148="","",Random!$D75)</f>
        <v>Schweiz</v>
      </c>
      <c r="X147" s="199" t="str">
        <f ca="1">IF($K148="","",Random!$F75)</f>
        <v>Österreich</v>
      </c>
      <c r="Y147" s="191">
        <f ca="1">IF(W147="","",IF(AND(W148&lt;&gt;"",$D148=W147),1,0)+IF(AND(X148&lt;&gt;"",$F148=X147),1,0))</f>
        <v>0</v>
      </c>
      <c r="Z147" s="195"/>
      <c r="AA147" s="193"/>
      <c r="AB147" s="199" t="str">
        <f ca="1">IF($K148="","",Rangliste!$D75)</f>
        <v>Schweiz</v>
      </c>
      <c r="AC147" s="199" t="str">
        <f ca="1">IF($K148="","",Rangliste!$F75)</f>
        <v>Ägypten</v>
      </c>
      <c r="AD147" s="191">
        <f ca="1">IF(AB147="","",IF(AND(AB148&lt;&gt;"",$D148=AB147),1,0)+IF(AND(AC148&lt;&gt;"",$F148=AC147),1,0))</f>
        <v>0</v>
      </c>
      <c r="AE147" s="195"/>
      <c r="AF147" s="193"/>
      <c r="AG147" s="199" t="str">
        <f ca="1">IF($K148="","",Fest!$D75)</f>
        <v>Schweiz</v>
      </c>
      <c r="AH147" s="199" t="str">
        <f ca="1">IF($K148="","",Fest!$F75)</f>
        <v>Ägypten</v>
      </c>
      <c r="AI147" s="191">
        <f ca="1">IF(AG147="","",IF(AND(AG148&lt;&gt;"",$D148=AG147),1,0)+IF(AND(AH148&lt;&gt;"",$F148=AH147),1,0))</f>
        <v>0</v>
      </c>
      <c r="AJ147" s="195"/>
      <c r="AK147" s="193"/>
      <c r="AL147" s="199" t="str">
        <f ca="1">IF($K148="","",Nobody!$D75)</f>
        <v>Kanada</v>
      </c>
      <c r="AM147" s="199" t="str">
        <f ca="1">IF($K148="","",Nobody!$F75)</f>
        <v>Belgien</v>
      </c>
      <c r="AN147" s="191">
        <f ca="1">IF(AL147="","",IF(AND(AL148&lt;&gt;"",$D148=AL147),1,0)+IF(AND(AM148&lt;&gt;"",$F148=AM147),1,0))</f>
        <v>2</v>
      </c>
      <c r="AO147" s="195"/>
      <c r="AP147" s="193"/>
    </row>
    <row r="148" spans="1:42" s="10" customFormat="1">
      <c r="A148" s="2">
        <f>Ergebnisse!A75</f>
        <v>85</v>
      </c>
      <c r="B148" s="6">
        <f>Ergebnisse!B75</f>
        <v>46205.833333333336</v>
      </c>
      <c r="C148" s="6" t="str">
        <f>Ergebnisse!C75</f>
        <v>Vancouver</v>
      </c>
      <c r="D148" s="37" t="str">
        <f ca="1">Ergebnisse!D75</f>
        <v>Kanada</v>
      </c>
      <c r="E148" s="15" t="str">
        <f>Ergebnisse!E75</f>
        <v>-</v>
      </c>
      <c r="F148" s="34" t="str">
        <f ca="1">Ergebnisse!F75</f>
        <v>Belgien</v>
      </c>
      <c r="G148" s="17">
        <f>Ergebnisse!G75</f>
        <v>0</v>
      </c>
      <c r="H148" s="107">
        <f ca="1">Ergebnisse!H75</f>
        <v>0</v>
      </c>
      <c r="I148" s="11" t="str">
        <f>Ergebnisse!I75</f>
        <v>:</v>
      </c>
      <c r="J148" s="107">
        <f ca="1">Ergebnisse!J75</f>
        <v>1</v>
      </c>
      <c r="K148" s="7" t="str">
        <f ca="1">Ergebnisse!K75</f>
        <v>ok</v>
      </c>
      <c r="L148" s="193"/>
      <c r="M148" s="79">
        <f ca="1">IF($K148="","",Bernd!$H75)</f>
        <v>7</v>
      </c>
      <c r="N148" s="79">
        <f ca="1">IF($K148="","",Bernd!$J75)</f>
        <v>6</v>
      </c>
      <c r="O148" s="191">
        <f ca="1">IF(Bernd!$AY75="","",Bernd!$AX75-O147)</f>
        <v>0</v>
      </c>
      <c r="P148" s="195"/>
      <c r="Q148" s="193"/>
      <c r="R148" s="79">
        <f ca="1">IF($K148="","",Mitspieler!$H75)</f>
        <v>5</v>
      </c>
      <c r="S148" s="79">
        <f ca="1">IF($K148="","",Mitspieler!$J75)</f>
        <v>4</v>
      </c>
      <c r="T148" s="191">
        <f ca="1">IF(Mitspieler!$AY75="","",Mitspieler!$AX75-T147)</f>
        <v>0</v>
      </c>
      <c r="U148" s="195"/>
      <c r="V148" s="193"/>
      <c r="W148" s="79">
        <f ca="1">IF($K148="","",Random!$H75)</f>
        <v>4</v>
      </c>
      <c r="X148" s="79">
        <f ca="1">IF($K148="","",Random!$J75)</f>
        <v>3</v>
      </c>
      <c r="Y148" s="191">
        <f ca="1">IF(Random!$AY75="","",Random!$AX75-Y147)</f>
        <v>0</v>
      </c>
      <c r="Z148" s="195"/>
      <c r="AA148" s="193"/>
      <c r="AB148" s="79">
        <f ca="1">IF($K148="","",Rangliste!$H75)</f>
        <v>2</v>
      </c>
      <c r="AC148" s="79">
        <f ca="1">IF($K148="","",Rangliste!$J75)</f>
        <v>1</v>
      </c>
      <c r="AD148" s="191">
        <f ca="1">IF(Rangliste!$AY75="","",Rangliste!$AX75-AD147)</f>
        <v>1</v>
      </c>
      <c r="AE148" s="195"/>
      <c r="AF148" s="193"/>
      <c r="AG148" s="79">
        <f ca="1">IF($K148="","",Fest!$H75)</f>
        <v>2</v>
      </c>
      <c r="AH148" s="79">
        <f ca="1">IF($K148="","",Fest!$J75)</f>
        <v>1</v>
      </c>
      <c r="AI148" s="191">
        <f ca="1">IF(Fest!$AY75="","",Fest!$AX75-AI147)</f>
        <v>1</v>
      </c>
      <c r="AJ148" s="195"/>
      <c r="AK148" s="193"/>
      <c r="AL148" s="79">
        <f ca="1">IF($K148="","",Nobody!$H75)</f>
        <v>0</v>
      </c>
      <c r="AM148" s="79">
        <f ca="1">IF($K148="","",Nobody!$J75)</f>
        <v>1</v>
      </c>
      <c r="AN148" s="191">
        <f ca="1">IF(Nobody!$AY75="","",Nobody!$AX75-AN147)</f>
        <v>9</v>
      </c>
      <c r="AO148" s="195"/>
      <c r="AP148" s="193"/>
    </row>
    <row r="149" spans="1:42" s="10" customFormat="1">
      <c r="A149" s="2"/>
      <c r="B149" s="2"/>
      <c r="C149" s="2"/>
      <c r="D149" s="2"/>
      <c r="E149" s="2"/>
      <c r="F149" s="2"/>
      <c r="G149" s="2"/>
      <c r="H149" s="2"/>
      <c r="I149" s="2"/>
      <c r="J149" s="2"/>
      <c r="K149" s="2"/>
      <c r="L149" s="193"/>
      <c r="M149" s="199" t="str">
        <f ca="1">IF($K150="","",Bernd!$D76)</f>
        <v>USA</v>
      </c>
      <c r="N149" s="199" t="str">
        <f ca="1">IF($K150="","",Bernd!$F76)</f>
        <v>IR Iran</v>
      </c>
      <c r="O149" s="191">
        <f ca="1">IF(M149="","",IF(AND(M150&lt;&gt;"",$D150=M149),1,0)+IF(AND(N150&lt;&gt;"",$F150=N149),1,0))</f>
        <v>1</v>
      </c>
      <c r="P149" s="195"/>
      <c r="Q149" s="193"/>
      <c r="R149" s="199" t="str">
        <f ca="1">IF($K150="","",Mitspieler!$D76)</f>
        <v>USA</v>
      </c>
      <c r="S149" s="199" t="str">
        <f ca="1">IF($K150="","",Mitspieler!$F76)</f>
        <v>IR Iran</v>
      </c>
      <c r="T149" s="191">
        <f ca="1">IF(R149="","",IF(AND(R150&lt;&gt;"",$D150=R149),1,0)+IF(AND(S150&lt;&gt;"",$F150=S149),1,0))</f>
        <v>1</v>
      </c>
      <c r="U149" s="195"/>
      <c r="V149" s="193"/>
      <c r="W149" s="199" t="str">
        <f ca="1">IF($K150="","",Random!$D76)</f>
        <v>Paraguay</v>
      </c>
      <c r="X149" s="199" t="str">
        <f ca="1">IF($K150="","",Random!$F76)</f>
        <v>Neuseeland</v>
      </c>
      <c r="Y149" s="191">
        <f ca="1">IF(W149="","",IF(AND(W150&lt;&gt;"",$D150=W149),1,0)+IF(AND(X150&lt;&gt;"",$F150=X149),1,0))</f>
        <v>0</v>
      </c>
      <c r="Z149" s="195"/>
      <c r="AA149" s="193"/>
      <c r="AB149" s="199" t="str">
        <f ca="1">IF($K150="","",Rangliste!$D76)</f>
        <v>Australien</v>
      </c>
      <c r="AC149" s="199" t="str">
        <f ca="1">IF($K150="","",Rangliste!$F76)</f>
        <v>IR Iran</v>
      </c>
      <c r="AD149" s="191">
        <f ca="1">IF(AB149="","",IF(AND(AB150&lt;&gt;"",$D150=AB149),1,0)+IF(AND(AC150&lt;&gt;"",$F150=AC149),1,0))</f>
        <v>2</v>
      </c>
      <c r="AE149" s="195"/>
      <c r="AF149" s="193"/>
      <c r="AG149" s="199" t="str">
        <f ca="1">IF($K150="","",Fest!$D76)</f>
        <v>USA</v>
      </c>
      <c r="AH149" s="199" t="str">
        <f ca="1">IF($K150="","",Fest!$F76)</f>
        <v>Belgien</v>
      </c>
      <c r="AI149" s="191">
        <f ca="1">IF(AG149="","",IF(AND(AG150&lt;&gt;"",$D150=AG149),1,0)+IF(AND(AH150&lt;&gt;"",$F150=AH149),1,0))</f>
        <v>0</v>
      </c>
      <c r="AJ149" s="195"/>
      <c r="AK149" s="193"/>
      <c r="AL149" s="199" t="str">
        <f ca="1">IF($K150="","",Nobody!$D76)</f>
        <v>Australien</v>
      </c>
      <c r="AM149" s="199" t="str">
        <f ca="1">IF($K150="","",Nobody!$F76)</f>
        <v>IR Iran</v>
      </c>
      <c r="AN149" s="191">
        <f ca="1">IF(AL149="","",IF(AND(AL150&lt;&gt;"",$D150=AL149),1,0)+IF(AND(AM150&lt;&gt;"",$F150=AM149),1,0))</f>
        <v>2</v>
      </c>
      <c r="AO149" s="195"/>
      <c r="AP149" s="193"/>
    </row>
    <row r="150" spans="1:42" s="10" customFormat="1">
      <c r="A150" s="2">
        <f>Ergebnisse!A76</f>
        <v>88</v>
      </c>
      <c r="B150" s="6">
        <f>Ergebnisse!B76</f>
        <v>46206.541666666672</v>
      </c>
      <c r="C150" s="6" t="str">
        <f>Ergebnisse!C76</f>
        <v>Dallas</v>
      </c>
      <c r="D150" s="177" t="str">
        <f ca="1">Ergebnisse!D76</f>
        <v>Australien</v>
      </c>
      <c r="E150" s="15" t="str">
        <f>Ergebnisse!E76</f>
        <v>-</v>
      </c>
      <c r="F150" s="228" t="str">
        <f ca="1">Ergebnisse!F76</f>
        <v>IR Iran</v>
      </c>
      <c r="G150" s="17">
        <f>Ergebnisse!G76</f>
        <v>0</v>
      </c>
      <c r="H150" s="107">
        <f ca="1">Ergebnisse!H76</f>
        <v>2</v>
      </c>
      <c r="I150" s="11" t="str">
        <f>Ergebnisse!I76</f>
        <v>:</v>
      </c>
      <c r="J150" s="107">
        <f ca="1">Ergebnisse!J76</f>
        <v>1</v>
      </c>
      <c r="K150" s="7" t="str">
        <f ca="1">Ergebnisse!K76</f>
        <v>ok</v>
      </c>
      <c r="L150" s="193"/>
      <c r="M150" s="79">
        <f ca="1">IF($K150="","",Bernd!$H76)</f>
        <v>1</v>
      </c>
      <c r="N150" s="79">
        <f ca="1">IF($K150="","",Bernd!$J76)</f>
        <v>0</v>
      </c>
      <c r="O150" s="191">
        <f ca="1">IF(Bernd!$AY76="","",Bernd!$AX76-O149)</f>
        <v>7</v>
      </c>
      <c r="P150" s="195"/>
      <c r="Q150" s="193"/>
      <c r="R150" s="79">
        <f ca="1">IF($K150="","",Mitspieler!$H76)</f>
        <v>3</v>
      </c>
      <c r="S150" s="79">
        <f ca="1">IF($K150="","",Mitspieler!$J76)</f>
        <v>1</v>
      </c>
      <c r="T150" s="191">
        <f ca="1">IF(Mitspieler!$AY76="","",Mitspieler!$AX76-T149)</f>
        <v>8</v>
      </c>
      <c r="U150" s="195"/>
      <c r="V150" s="193"/>
      <c r="W150" s="79">
        <f ca="1">IF($K150="","",Random!$H76)</f>
        <v>2</v>
      </c>
      <c r="X150" s="79">
        <f ca="1">IF($K150="","",Random!$J76)</f>
        <v>1</v>
      </c>
      <c r="Y150" s="191">
        <f ca="1">IF(Random!$AY76="","",Random!$AX76-Y149)</f>
        <v>9</v>
      </c>
      <c r="Z150" s="195"/>
      <c r="AA150" s="193"/>
      <c r="AB150" s="79">
        <f ca="1">IF($K150="","",Rangliste!$H76)</f>
        <v>0</v>
      </c>
      <c r="AC150" s="79">
        <f ca="1">IF($K150="","",Rangliste!$J76)</f>
        <v>1</v>
      </c>
      <c r="AD150" s="191">
        <f ca="1">IF(Rangliste!$AY76="","",Rangliste!$AX76-AD149)</f>
        <v>1</v>
      </c>
      <c r="AE150" s="195"/>
      <c r="AF150" s="193"/>
      <c r="AG150" s="79">
        <f ca="1">IF($K150="","",Fest!$H76)</f>
        <v>2</v>
      </c>
      <c r="AH150" s="79">
        <f ca="1">IF($K150="","",Fest!$J76)</f>
        <v>1</v>
      </c>
      <c r="AI150" s="191">
        <f ca="1">IF(Fest!$AY76="","",Fest!$AX76-AI149)</f>
        <v>9</v>
      </c>
      <c r="AJ150" s="195"/>
      <c r="AK150" s="193"/>
      <c r="AL150" s="79">
        <f ca="1">IF($K150="","",Nobody!$H76)</f>
        <v>2</v>
      </c>
      <c r="AM150" s="79">
        <f ca="1">IF($K150="","",Nobody!$J76)</f>
        <v>1</v>
      </c>
      <c r="AN150" s="191">
        <f ca="1">IF(Nobody!$AY76="","",Nobody!$AX76-AN149)</f>
        <v>9</v>
      </c>
      <c r="AO150" s="195"/>
      <c r="AP150" s="193"/>
    </row>
    <row r="151" spans="1:42" s="10" customFormat="1">
      <c r="A151" s="2"/>
      <c r="B151" s="2"/>
      <c r="C151" s="2"/>
      <c r="D151" s="2"/>
      <c r="E151" s="2"/>
      <c r="F151" s="2"/>
      <c r="G151" s="2"/>
      <c r="H151" s="2"/>
      <c r="I151" s="2"/>
      <c r="J151" s="2"/>
      <c r="K151" s="2"/>
      <c r="L151" s="193"/>
      <c r="M151" s="199" t="str">
        <f ca="1">IF($K152="","",Bernd!$D77)</f>
        <v>Argentinien</v>
      </c>
      <c r="N151" s="199" t="str">
        <f ca="1">IF($K152="","",Bernd!$F77)</f>
        <v>Uruguay</v>
      </c>
      <c r="O151" s="191">
        <f ca="1">IF(M151="","",IF(AND(M152&lt;&gt;"",$D152=M151),1,0)+IF(AND(N152&lt;&gt;"",$F152=N151),1,0))</f>
        <v>1</v>
      </c>
      <c r="P151" s="195"/>
      <c r="Q151" s="193"/>
      <c r="R151" s="199" t="str">
        <f ca="1">IF($K152="","",Mitspieler!$D77)</f>
        <v>Argentinien</v>
      </c>
      <c r="S151" s="199" t="str">
        <f ca="1">IF($K152="","",Mitspieler!$F77)</f>
        <v>Saudiarabien</v>
      </c>
      <c r="T151" s="191">
        <f ca="1">IF(R151="","",IF(AND(R152&lt;&gt;"",$D152=R151),1,0)+IF(AND(S152&lt;&gt;"",$F152=S151),1,0))</f>
        <v>1</v>
      </c>
      <c r="U151" s="195"/>
      <c r="V151" s="193"/>
      <c r="W151" s="199" t="str">
        <f ca="1">IF($K152="","",Random!$D77)</f>
        <v>Argentinien</v>
      </c>
      <c r="X151" s="199" t="str">
        <f ca="1">IF($K152="","",Random!$F77)</f>
        <v>Uruguay</v>
      </c>
      <c r="Y151" s="191">
        <f ca="1">IF(W151="","",IF(AND(W152&lt;&gt;"",$D152=W151),1,0)+IF(AND(X152&lt;&gt;"",$F152=X151),1,0))</f>
        <v>1</v>
      </c>
      <c r="Z151" s="195"/>
      <c r="AA151" s="193"/>
      <c r="AB151" s="199" t="str">
        <f ca="1">IF($K152="","",Rangliste!$D77)</f>
        <v>Argentinien</v>
      </c>
      <c r="AC151" s="199" t="str">
        <f ca="1">IF($K152="","",Rangliste!$F77)</f>
        <v>Saudiarabien</v>
      </c>
      <c r="AD151" s="191">
        <f ca="1">IF(AB151="","",IF(AND(AB152&lt;&gt;"",$D152=AB151),1,0)+IF(AND(AC152&lt;&gt;"",$F152=AC151),1,0))</f>
        <v>1</v>
      </c>
      <c r="AE151" s="195"/>
      <c r="AF151" s="193"/>
      <c r="AG151" s="199" t="str">
        <f ca="1">IF($K152="","",Fest!$D77)</f>
        <v>Jordanien</v>
      </c>
      <c r="AH151" s="199" t="str">
        <f ca="1">IF($K152="","",Fest!$F77)</f>
        <v>Spanien</v>
      </c>
      <c r="AI151" s="191">
        <f ca="1">IF(AG151="","",IF(AND(AG152&lt;&gt;"",$D152=AG151),1,0)+IF(AND(AH152&lt;&gt;"",$F152=AH151),1,0))</f>
        <v>1</v>
      </c>
      <c r="AJ151" s="195"/>
      <c r="AK151" s="193"/>
      <c r="AL151" s="199" t="str">
        <f ca="1">IF($K152="","",Nobody!$D77)</f>
        <v>Argentinien</v>
      </c>
      <c r="AM151" s="199" t="str">
        <f ca="1">IF($K152="","",Nobody!$F77)</f>
        <v>Spanien</v>
      </c>
      <c r="AN151" s="191">
        <f ca="1">IF(AL151="","",IF(AND(AL152&lt;&gt;"",$D152=AL151),1,0)+IF(AND(AM152&lt;&gt;"",$F152=AM151),1,0))</f>
        <v>2</v>
      </c>
      <c r="AO151" s="195"/>
      <c r="AP151" s="193"/>
    </row>
    <row r="152" spans="1:42" s="10" customFormat="1">
      <c r="A152" s="2">
        <f>Ergebnisse!A77</f>
        <v>86</v>
      </c>
      <c r="B152" s="6">
        <f>Ergebnisse!B77</f>
        <v>46206.75</v>
      </c>
      <c r="C152" s="6" t="str">
        <f>Ergebnisse!C77</f>
        <v>Miami</v>
      </c>
      <c r="D152" s="227" t="str">
        <f ca="1">Ergebnisse!D77</f>
        <v>Argentinien</v>
      </c>
      <c r="E152" s="15" t="str">
        <f>Ergebnisse!E77</f>
        <v>-</v>
      </c>
      <c r="F152" s="233" t="str">
        <f ca="1">Ergebnisse!F77</f>
        <v>Spanien</v>
      </c>
      <c r="G152" s="17">
        <f>Ergebnisse!G77</f>
        <v>0</v>
      </c>
      <c r="H152" s="107">
        <f ca="1">Ergebnisse!H77</f>
        <v>3</v>
      </c>
      <c r="I152" s="11" t="str">
        <f>Ergebnisse!I77</f>
        <v>:</v>
      </c>
      <c r="J152" s="107">
        <f ca="1">Ergebnisse!J77</f>
        <v>2</v>
      </c>
      <c r="K152" s="7" t="str">
        <f ca="1">Ergebnisse!K77</f>
        <v>ok</v>
      </c>
      <c r="L152" s="193"/>
      <c r="M152" s="79">
        <f ca="1">IF($K152="","",Bernd!$H77)</f>
        <v>2</v>
      </c>
      <c r="N152" s="79">
        <f ca="1">IF($K152="","",Bernd!$J77)</f>
        <v>1</v>
      </c>
      <c r="O152" s="191">
        <f ca="1">IF(Bernd!$AY77="","",Bernd!$AX77-O151)</f>
        <v>7</v>
      </c>
      <c r="P152" s="195"/>
      <c r="Q152" s="193"/>
      <c r="R152" s="79">
        <f ca="1">IF($K152="","",Mitspieler!$H77)</f>
        <v>3</v>
      </c>
      <c r="S152" s="79">
        <f ca="1">IF($K152="","",Mitspieler!$J77)</f>
        <v>1</v>
      </c>
      <c r="T152" s="191">
        <f ca="1">IF(Mitspieler!$AY77="","",Mitspieler!$AX77-T151)</f>
        <v>8</v>
      </c>
      <c r="U152" s="195"/>
      <c r="V152" s="193"/>
      <c r="W152" s="79">
        <f ca="1">IF($K152="","",Random!$H77)</f>
        <v>4</v>
      </c>
      <c r="X152" s="79">
        <f ca="1">IF($K152="","",Random!$J77)</f>
        <v>5</v>
      </c>
      <c r="Y152" s="191">
        <f ca="1">IF(Random!$AY77="","",Random!$AX77-Y151)</f>
        <v>0</v>
      </c>
      <c r="Z152" s="195"/>
      <c r="AA152" s="193"/>
      <c r="AB152" s="79">
        <f ca="1">IF($K152="","",Rangliste!$H77)</f>
        <v>4</v>
      </c>
      <c r="AC152" s="79">
        <f ca="1">IF($K152="","",Rangliste!$J77)</f>
        <v>2</v>
      </c>
      <c r="AD152" s="191">
        <f ca="1">IF(Rangliste!$AY77="","",Rangliste!$AX77-AD151)</f>
        <v>8</v>
      </c>
      <c r="AE152" s="195"/>
      <c r="AF152" s="193"/>
      <c r="AG152" s="79">
        <f ca="1">IF($K152="","",Fest!$H77)</f>
        <v>2</v>
      </c>
      <c r="AH152" s="79">
        <f ca="1">IF($K152="","",Fest!$J77)</f>
        <v>1</v>
      </c>
      <c r="AI152" s="191">
        <f ca="1">IF(Fest!$AY77="","",Fest!$AX77-AI151)</f>
        <v>7</v>
      </c>
      <c r="AJ152" s="195"/>
      <c r="AK152" s="193"/>
      <c r="AL152" s="79">
        <f ca="1">IF($K152="","",Nobody!$H77)</f>
        <v>3</v>
      </c>
      <c r="AM152" s="79">
        <f ca="1">IF($K152="","",Nobody!$J77)</f>
        <v>2</v>
      </c>
      <c r="AN152" s="191">
        <f ca="1">IF(Nobody!$AY77="","",Nobody!$AX77-AN151)</f>
        <v>9</v>
      </c>
      <c r="AO152" s="195"/>
      <c r="AP152" s="193"/>
    </row>
    <row r="153" spans="1:42" s="10" customFormat="1">
      <c r="A153" s="2"/>
      <c r="B153" s="2"/>
      <c r="C153" s="2"/>
      <c r="D153" s="2"/>
      <c r="E153" s="2"/>
      <c r="F153" s="2"/>
      <c r="G153" s="2"/>
      <c r="H153" s="2"/>
      <c r="I153" s="2"/>
      <c r="J153" s="2"/>
      <c r="K153" s="2"/>
      <c r="L153" s="193"/>
      <c r="M153" s="199" t="str">
        <f ca="1">IF($K154="","",Bernd!$D78)</f>
        <v>Portugal</v>
      </c>
      <c r="N153" s="199" t="str">
        <f ca="1">IF($K154="","",Bernd!$F78)</f>
        <v>Ghana</v>
      </c>
      <c r="O153" s="191">
        <f ca="1">IF(M153="","",IF(AND(M154&lt;&gt;"",$D154=M153),1,0)+IF(AND(N154&lt;&gt;"",$F154=N153),1,0))</f>
        <v>1</v>
      </c>
      <c r="P153" s="195"/>
      <c r="Q153" s="193"/>
      <c r="R153" s="199" t="str">
        <f ca="1">IF($K154="","",Mitspieler!$D78)</f>
        <v>Portugal</v>
      </c>
      <c r="S153" s="199" t="str">
        <f ca="1">IF($K154="","",Mitspieler!$F78)</f>
        <v>Kroatien</v>
      </c>
      <c r="T153" s="191">
        <f ca="1">IF(R153="","",IF(AND(R154&lt;&gt;"",$D154=R153),1,0)+IF(AND(S154&lt;&gt;"",$F154=S153),1,0))</f>
        <v>2</v>
      </c>
      <c r="U153" s="195"/>
      <c r="V153" s="193"/>
      <c r="W153" s="199" t="str">
        <f ca="1">IF($K154="","",Random!$D78)</f>
        <v>Kolumbien</v>
      </c>
      <c r="X153" s="199" t="str">
        <f ca="1">IF($K154="","",Random!$F78)</f>
        <v>Kroatien</v>
      </c>
      <c r="Y153" s="191">
        <f ca="1">IF(W153="","",IF(AND(W154&lt;&gt;"",$D154=W153),1,0)+IF(AND(X154&lt;&gt;"",$F154=X153),1,0))</f>
        <v>1</v>
      </c>
      <c r="Z153" s="195"/>
      <c r="AA153" s="193"/>
      <c r="AB153" s="199" t="str">
        <f ca="1">IF($K154="","",Rangliste!$D78)</f>
        <v>Portugal</v>
      </c>
      <c r="AC153" s="199" t="str">
        <f ca="1">IF($K154="","",Rangliste!$F78)</f>
        <v>Panama</v>
      </c>
      <c r="AD153" s="191">
        <f ca="1">IF(AB153="","",IF(AND(AB154&lt;&gt;"",$D154=AB153),1,0)+IF(AND(AC154&lt;&gt;"",$F154=AC153),1,0))</f>
        <v>1</v>
      </c>
      <c r="AE153" s="195"/>
      <c r="AF153" s="193"/>
      <c r="AG153" s="199" t="str">
        <f ca="1">IF($K154="","",Fest!$D78)</f>
        <v>Kolumbien</v>
      </c>
      <c r="AH153" s="199" t="str">
        <f ca="1">IF($K154="","",Fest!$F78)</f>
        <v>Paraguay</v>
      </c>
      <c r="AI153" s="191">
        <f ca="1">IF(AG153="","",IF(AND(AG154&lt;&gt;"",$D154=AG153),1,0)+IF(AND(AH154&lt;&gt;"",$F154=AH153),1,0))</f>
        <v>0</v>
      </c>
      <c r="AJ153" s="195"/>
      <c r="AK153" s="193"/>
      <c r="AL153" s="199" t="str">
        <f ca="1">IF($K154="","",Nobody!$D78)</f>
        <v>Portugal</v>
      </c>
      <c r="AM153" s="199" t="str">
        <f ca="1">IF($K154="","",Nobody!$F78)</f>
        <v>Kroatien</v>
      </c>
      <c r="AN153" s="191">
        <f ca="1">IF(AL153="","",IF(AND(AL154&lt;&gt;"",$D154=AL153),1,0)+IF(AND(AM154&lt;&gt;"",$F154=AM153),1,0))</f>
        <v>2</v>
      </c>
      <c r="AO153" s="195"/>
      <c r="AP153" s="193"/>
    </row>
    <row r="154" spans="1:42" s="10" customFormat="1">
      <c r="A154" s="2">
        <f>Ergebnisse!A78</f>
        <v>87</v>
      </c>
      <c r="B154" s="6">
        <f>Ergebnisse!B78</f>
        <v>46206.854166666672</v>
      </c>
      <c r="C154" s="6" t="str">
        <f>Ergebnisse!C78</f>
        <v>Kansas City</v>
      </c>
      <c r="D154" s="232" t="str">
        <f ca="1">Ergebnisse!D78</f>
        <v>Portugal</v>
      </c>
      <c r="E154" s="15" t="str">
        <f>Ergebnisse!E78</f>
        <v>-</v>
      </c>
      <c r="F154" s="34" t="str">
        <f ca="1">Ergebnisse!F78</f>
        <v>Kroatien</v>
      </c>
      <c r="G154" s="17">
        <f>Ergebnisse!G78</f>
        <v>0</v>
      </c>
      <c r="H154" s="107">
        <f ca="1">Ergebnisse!H78</f>
        <v>1</v>
      </c>
      <c r="I154" s="11" t="str">
        <f>Ergebnisse!I78</f>
        <v>:</v>
      </c>
      <c r="J154" s="107">
        <f ca="1">Ergebnisse!J78</f>
        <v>2</v>
      </c>
      <c r="K154" s="7" t="str">
        <f ca="1">Ergebnisse!K78</f>
        <v>ok</v>
      </c>
      <c r="L154" s="193"/>
      <c r="M154" s="79">
        <f ca="1">IF($K154="","",Bernd!$H78)</f>
        <v>3</v>
      </c>
      <c r="N154" s="79">
        <f ca="1">IF($K154="","",Bernd!$J78)</f>
        <v>2</v>
      </c>
      <c r="O154" s="191">
        <f ca="1">IF(Bernd!$AY78="","",Bernd!$AX78-O153)</f>
        <v>1</v>
      </c>
      <c r="P154" s="195"/>
      <c r="Q154" s="193"/>
      <c r="R154" s="79">
        <f ca="1">IF($K154="","",Mitspieler!$H78)</f>
        <v>1</v>
      </c>
      <c r="S154" s="79">
        <f ca="1">IF($K154="","",Mitspieler!$J78)</f>
        <v>0</v>
      </c>
      <c r="T154" s="191">
        <f ca="1">IF(Mitspieler!$AY78="","",Mitspieler!$AX78-T153)</f>
        <v>1</v>
      </c>
      <c r="U154" s="195"/>
      <c r="V154" s="193"/>
      <c r="W154" s="79">
        <f ca="1">IF($K154="","",Random!$H78)</f>
        <v>3</v>
      </c>
      <c r="X154" s="79">
        <f ca="1">IF($K154="","",Random!$J78)</f>
        <v>2</v>
      </c>
      <c r="Y154" s="191">
        <f ca="1">IF(Random!$AY78="","",Random!$AX78-Y153)</f>
        <v>1</v>
      </c>
      <c r="Z154" s="195"/>
      <c r="AA154" s="193"/>
      <c r="AB154" s="79">
        <f ca="1">IF($K154="","",Rangliste!$H78)</f>
        <v>4</v>
      </c>
      <c r="AC154" s="79">
        <f ca="1">IF($K154="","",Rangliste!$J78)</f>
        <v>3</v>
      </c>
      <c r="AD154" s="191">
        <f ca="1">IF(Rangliste!$AY78="","",Rangliste!$AX78-AD153)</f>
        <v>0</v>
      </c>
      <c r="AE154" s="195"/>
      <c r="AF154" s="193"/>
      <c r="AG154" s="79">
        <f ca="1">IF($K154="","",Fest!$H78)</f>
        <v>2</v>
      </c>
      <c r="AH154" s="79">
        <f ca="1">IF($K154="","",Fest!$J78)</f>
        <v>1</v>
      </c>
      <c r="AI154" s="191">
        <f ca="1">IF(Fest!$AY78="","",Fest!$AX78-AI153)</f>
        <v>0</v>
      </c>
      <c r="AJ154" s="195"/>
      <c r="AK154" s="193"/>
      <c r="AL154" s="79">
        <f ca="1">IF($K154="","",Nobody!$H78)</f>
        <v>1</v>
      </c>
      <c r="AM154" s="79">
        <f ca="1">IF($K154="","",Nobody!$J78)</f>
        <v>2</v>
      </c>
      <c r="AN154" s="191">
        <f ca="1">IF(Nobody!$AY78="","",Nobody!$AX78-AN153)</f>
        <v>9</v>
      </c>
      <c r="AO154" s="195"/>
      <c r="AP154" s="193"/>
    </row>
    <row r="155" spans="1:42" s="10" customFormat="1">
      <c r="B155" s="17"/>
      <c r="C155" s="21"/>
      <c r="D155" s="17"/>
      <c r="E155" s="14"/>
      <c r="F155" s="17"/>
      <c r="G155" s="17"/>
      <c r="H155" s="79"/>
      <c r="I155" s="58"/>
      <c r="J155" s="58"/>
      <c r="K155" s="136"/>
      <c r="L155" s="193"/>
      <c r="M155" s="136"/>
      <c r="N155" s="136"/>
      <c r="O155" s="193"/>
      <c r="P155" s="195"/>
      <c r="Q155" s="193"/>
      <c r="R155" s="136"/>
      <c r="S155" s="136"/>
      <c r="T155" s="193"/>
      <c r="U155" s="195"/>
      <c r="V155" s="193"/>
      <c r="W155" s="136"/>
      <c r="X155" s="136"/>
      <c r="Y155" s="193"/>
      <c r="Z155" s="195"/>
      <c r="AA155" s="193"/>
      <c r="AB155" s="136"/>
      <c r="AC155" s="136"/>
      <c r="AD155" s="193"/>
      <c r="AE155" s="195"/>
      <c r="AF155" s="193"/>
      <c r="AG155" s="136"/>
      <c r="AH155" s="136"/>
      <c r="AI155" s="193"/>
      <c r="AJ155" s="195"/>
      <c r="AK155" s="193"/>
      <c r="AL155" s="136"/>
      <c r="AM155" s="136"/>
      <c r="AN155" s="193"/>
      <c r="AO155" s="195"/>
      <c r="AP155" s="193"/>
    </row>
    <row r="156" spans="1:42" s="10" customFormat="1">
      <c r="B156" s="17" t="str">
        <f>Ergebnisse!B80</f>
        <v>Achtelfinale</v>
      </c>
      <c r="C156" s="21"/>
      <c r="D156" s="17"/>
      <c r="E156" s="14"/>
      <c r="F156" s="17"/>
      <c r="G156" s="17"/>
      <c r="H156" s="79"/>
      <c r="I156" s="58"/>
      <c r="J156" s="58"/>
      <c r="K156" s="136"/>
      <c r="L156" s="193"/>
      <c r="M156" s="136"/>
      <c r="N156" s="136"/>
      <c r="O156" s="193"/>
      <c r="P156" s="195"/>
      <c r="Q156" s="193"/>
      <c r="R156" s="136"/>
      <c r="S156" s="136"/>
      <c r="T156" s="193"/>
      <c r="U156" s="195"/>
      <c r="V156" s="193"/>
      <c r="W156" s="136"/>
      <c r="X156" s="136"/>
      <c r="Y156" s="193"/>
      <c r="Z156" s="195"/>
      <c r="AA156" s="193"/>
      <c r="AB156" s="136"/>
      <c r="AC156" s="136"/>
      <c r="AD156" s="193"/>
      <c r="AE156" s="195"/>
      <c r="AF156" s="193"/>
      <c r="AG156" s="136"/>
      <c r="AH156" s="136"/>
      <c r="AI156" s="193"/>
      <c r="AJ156" s="195"/>
      <c r="AK156" s="193"/>
      <c r="AL156" s="136"/>
      <c r="AM156" s="136"/>
      <c r="AN156" s="193"/>
      <c r="AO156" s="195"/>
      <c r="AP156" s="193"/>
    </row>
    <row r="157" spans="1:42" s="10" customFormat="1">
      <c r="B157" s="17"/>
      <c r="C157" s="21"/>
      <c r="D157" s="17"/>
      <c r="E157" s="14"/>
      <c r="F157" s="17"/>
      <c r="G157" s="17"/>
      <c r="H157" s="79"/>
      <c r="I157" s="58"/>
      <c r="J157" s="58"/>
      <c r="K157" s="136"/>
      <c r="L157" s="193"/>
      <c r="M157" s="199" t="str">
        <f ca="1">IF($K158="","",Bernd!$D82)</f>
        <v>Deutschland</v>
      </c>
      <c r="N157" s="199" t="str">
        <f ca="1">IF($K158="","",Bernd!$F82)</f>
        <v>Norwegen</v>
      </c>
      <c r="O157" s="191">
        <f ca="1">IF(M157="","",IF(AND(M158&lt;&gt;"",$D158=M157),1,0)+IF(AND(N158&lt;&gt;"",$F158=N157),1,0))</f>
        <v>0</v>
      </c>
      <c r="P157" s="195"/>
      <c r="Q157" s="193"/>
      <c r="R157" s="199" t="str">
        <f ca="1">IF($K158="","",Mitspieler!$D82)</f>
        <v>Deutschland</v>
      </c>
      <c r="S157" s="199" t="str">
        <f ca="1">IF($K158="","",Mitspieler!$F82)</f>
        <v>Frankreich</v>
      </c>
      <c r="T157" s="191">
        <f ca="1">IF(R157="","",IF(AND(R158&lt;&gt;"",$D158=R157),1,0)+IF(AND(S158&lt;&gt;"",$F158=S157),1,0))</f>
        <v>1</v>
      </c>
      <c r="U157" s="195"/>
      <c r="V157" s="193"/>
      <c r="W157" s="199" t="str">
        <f ca="1">IF($K158="","",Random!$D82)</f>
        <v>Türkei</v>
      </c>
      <c r="X157" s="199" t="str">
        <f ca="1">IF($K158="","",Random!$F82)</f>
        <v>IR Iran</v>
      </c>
      <c r="Y157" s="191">
        <f ca="1">IF(W157="","",IF(AND(W158&lt;&gt;"",$D158=W157),1,0)+IF(AND(X158&lt;&gt;"",$F158=X157),1,0))</f>
        <v>0</v>
      </c>
      <c r="Z157" s="195"/>
      <c r="AA157" s="193"/>
      <c r="AB157" s="199" t="str">
        <f ca="1">IF($K158="","",Rangliste!$D82)</f>
        <v>Deutschland</v>
      </c>
      <c r="AC157" s="199" t="str">
        <f ca="1">IF($K158="","",Rangliste!$F82)</f>
        <v>Frankreich</v>
      </c>
      <c r="AD157" s="191">
        <f ca="1">IF(AB157="","",IF(AND(AB158&lt;&gt;"",$D158=AB157),1,0)+IF(AND(AC158&lt;&gt;"",$F158=AC157),1,0))</f>
        <v>1</v>
      </c>
      <c r="AE157" s="195"/>
      <c r="AF157" s="193"/>
      <c r="AG157" s="199" t="str">
        <f ca="1">IF($K158="","",Fest!$D82)</f>
        <v>Ecuador</v>
      </c>
      <c r="AH157" s="199" t="str">
        <f ca="1">IF($K158="","",Fest!$F82)</f>
        <v>Norwegen</v>
      </c>
      <c r="AI157" s="191">
        <f ca="1">IF(AG157="","",IF(AND(AG158&lt;&gt;"",$D158=AG157),1,0)+IF(AND(AH158&lt;&gt;"",$F158=AH157),1,0))</f>
        <v>1</v>
      </c>
      <c r="AJ157" s="195"/>
      <c r="AK157" s="193"/>
      <c r="AL157" s="199" t="str">
        <f ca="1">IF($K158="","",Nobody!$D82)</f>
        <v>Ecuador</v>
      </c>
      <c r="AM157" s="199" t="str">
        <f ca="1">IF($K158="","",Nobody!$F82)</f>
        <v>Frankreich</v>
      </c>
      <c r="AN157" s="191">
        <f ca="1">IF(AL157="","",IF(AND(AL158&lt;&gt;"",$D158=AL157),1,0)+IF(AND(AM158&lt;&gt;"",$F158=AM157),1,0))</f>
        <v>2</v>
      </c>
      <c r="AO157" s="195"/>
      <c r="AP157" s="193"/>
    </row>
    <row r="158" spans="1:42">
      <c r="A158" s="2">
        <f>Ergebnisse!A82</f>
        <v>89</v>
      </c>
      <c r="B158" s="6">
        <f>Ergebnisse!B82</f>
        <v>46207.708333333336</v>
      </c>
      <c r="C158" s="4" t="str">
        <f>Ergebnisse!C82</f>
        <v>Philadelphia</v>
      </c>
      <c r="D158" s="258" t="str">
        <f ca="1">Ergebnisse!D82</f>
        <v>Ecuador</v>
      </c>
      <c r="E158" s="15" t="str">
        <f>Ergebnisse!E82</f>
        <v>-</v>
      </c>
      <c r="F158" s="258" t="str">
        <f ca="1">Ergebnisse!F82</f>
        <v>Frankreich</v>
      </c>
      <c r="G158" s="17">
        <f>Ergebnisse!G82</f>
        <v>0</v>
      </c>
      <c r="H158" s="57">
        <f ca="1">Ergebnisse!H82</f>
        <v>6</v>
      </c>
      <c r="I158" s="80" t="str">
        <f>Ergebnisse!I82</f>
        <v>:</v>
      </c>
      <c r="J158" s="57">
        <f ca="1">Ergebnisse!J82</f>
        <v>7</v>
      </c>
      <c r="K158" s="81" t="str">
        <f ca="1">IF(Ergebnisse!K82="","",Ergebnisse!K82)</f>
        <v>ok</v>
      </c>
      <c r="L158" s="192"/>
      <c r="M158" s="79">
        <f ca="1">IF($K158="","",Bernd!$H82)</f>
        <v>3</v>
      </c>
      <c r="N158" s="79">
        <f ca="1">IF($K158="","",Bernd!$J82)</f>
        <v>1</v>
      </c>
      <c r="O158" s="191">
        <f ca="1">IF(Bernd!$AY82="","",Bernd!$AX82-O157)</f>
        <v>0</v>
      </c>
      <c r="P158" s="195"/>
      <c r="Q158" s="192"/>
      <c r="R158" s="79">
        <f ca="1">IF($K158="","",Mitspieler!$H82)</f>
        <v>3</v>
      </c>
      <c r="S158" s="79">
        <f ca="1">IF($K158="","",Mitspieler!$J82)</f>
        <v>4</v>
      </c>
      <c r="T158" s="191">
        <f ca="1">IF(Mitspieler!$AY82="","",Mitspieler!$AX82-T157)</f>
        <v>8</v>
      </c>
      <c r="U158" s="195"/>
      <c r="V158" s="192"/>
      <c r="W158" s="79">
        <f ca="1">IF($K158="","",Random!$H82)</f>
        <v>1</v>
      </c>
      <c r="X158" s="79">
        <f ca="1">IF($K158="","",Random!$J82)</f>
        <v>0</v>
      </c>
      <c r="Y158" s="191">
        <f ca="1">IF(Random!$AY82="","",Random!$AX82-Y157)</f>
        <v>0</v>
      </c>
      <c r="Z158" s="195"/>
      <c r="AA158" s="192"/>
      <c r="AB158" s="79">
        <f ca="1">IF($K158="","",Rangliste!$H82)</f>
        <v>3</v>
      </c>
      <c r="AC158" s="79">
        <f ca="1">IF($K158="","",Rangliste!$J82)</f>
        <v>4</v>
      </c>
      <c r="AD158" s="191">
        <f ca="1">IF(Rangliste!$AY82="","",Rangliste!$AX82-AD157)</f>
        <v>8</v>
      </c>
      <c r="AE158" s="195"/>
      <c r="AF158" s="192"/>
      <c r="AG158" s="79">
        <f ca="1">IF($K158="","",Fest!$H82)</f>
        <v>2</v>
      </c>
      <c r="AH158" s="79">
        <f ca="1">IF($K158="","",Fest!$J82)</f>
        <v>1</v>
      </c>
      <c r="AI158" s="191">
        <f ca="1">IF(Fest!$AY82="","",Fest!$AX82-AI157)</f>
        <v>1</v>
      </c>
      <c r="AJ158" s="195"/>
      <c r="AK158" s="192"/>
      <c r="AL158" s="79">
        <f ca="1">IF($K158="","",Nobody!$H82)</f>
        <v>6</v>
      </c>
      <c r="AM158" s="79">
        <f ca="1">IF($K158="","",Nobody!$J82)</f>
        <v>7</v>
      </c>
      <c r="AN158" s="191">
        <f ca="1">IF(Nobody!$AY82="","",Nobody!$AX82-AN157)</f>
        <v>11</v>
      </c>
      <c r="AO158" s="195"/>
      <c r="AP158" s="192"/>
    </row>
    <row r="159" spans="1:42">
      <c r="B159" s="6"/>
      <c r="C159" s="4"/>
      <c r="G159" s="17"/>
      <c r="H159" s="79"/>
      <c r="I159" s="53"/>
      <c r="J159" s="79"/>
      <c r="L159" s="192"/>
      <c r="M159" s="199" t="str">
        <f ca="1">IF($K160="","",Bernd!$D83)</f>
        <v>Schweiz</v>
      </c>
      <c r="N159" s="199" t="str">
        <f ca="1">IF($K160="","",Bernd!$F83)</f>
        <v>Japan</v>
      </c>
      <c r="O159" s="191">
        <f ca="1">IF(M159="","",IF(AND(M160&lt;&gt;"",$D160=M159),1,0)+IF(AND(N160&lt;&gt;"",$F160=N159),1,0))</f>
        <v>1</v>
      </c>
      <c r="P159" s="195"/>
      <c r="Q159" s="192"/>
      <c r="R159" s="199" t="str">
        <f ca="1">IF($K160="","",Mitspieler!$D83)</f>
        <v>Südkorea</v>
      </c>
      <c r="S159" s="199" t="str">
        <f ca="1">IF($K160="","",Mitspieler!$F83)</f>
        <v>Niederlande</v>
      </c>
      <c r="T159" s="191">
        <f ca="1">IF(R159="","",IF(AND(R160&lt;&gt;"",$D160=R159),1,0)+IF(AND(S160&lt;&gt;"",$F160=S159),1,0))</f>
        <v>0</v>
      </c>
      <c r="U159" s="195"/>
      <c r="V159" s="192"/>
      <c r="W159" s="199" t="str">
        <f ca="1">IF($K160="","",Random!$D83)</f>
        <v>Südkorea</v>
      </c>
      <c r="X159" s="199" t="str">
        <f ca="1">IF($K160="","",Random!$F83)</f>
        <v>Tunesien</v>
      </c>
      <c r="Y159" s="191">
        <f ca="1">IF(W159="","",IF(AND(W160&lt;&gt;"",$D160=W159),1,0)+IF(AND(X160&lt;&gt;"",$F160=X159),1,0))</f>
        <v>0</v>
      </c>
      <c r="Z159" s="195"/>
      <c r="AA159" s="192"/>
      <c r="AB159" s="199" t="str">
        <f ca="1">IF($K160="","",Rangliste!$D83)</f>
        <v>Südkorea</v>
      </c>
      <c r="AC159" s="199" t="str">
        <f ca="1">IF($K160="","",Rangliste!$F83)</f>
        <v>Niederlande</v>
      </c>
      <c r="AD159" s="191">
        <f ca="1">IF(AB159="","",IF(AND(AB160&lt;&gt;"",$D160=AB159),1,0)+IF(AND(AC160&lt;&gt;"",$F160=AC159),1,0))</f>
        <v>0</v>
      </c>
      <c r="AE159" s="195"/>
      <c r="AF159" s="192"/>
      <c r="AG159" s="199" t="str">
        <f ca="1">IF($K160="","",Fest!$D83)</f>
        <v>Mexiko</v>
      </c>
      <c r="AH159" s="199" t="str">
        <f ca="1">IF($K160="","",Fest!$F83)</f>
        <v>Tunesien</v>
      </c>
      <c r="AI159" s="191">
        <f ca="1">IF(AG159="","",IF(AND(AG160&lt;&gt;"",$D160=AG159),1,0)+IF(AND(AH160&lt;&gt;"",$F160=AH159),1,0))</f>
        <v>0</v>
      </c>
      <c r="AJ159" s="195"/>
      <c r="AK159" s="192"/>
      <c r="AL159" s="199" t="str">
        <f ca="1">IF($K160="","",Nobody!$D83)</f>
        <v>Schweiz</v>
      </c>
      <c r="AM159" s="199" t="str">
        <f ca="1">IF($K160="","",Nobody!$F83)</f>
        <v>Haiti</v>
      </c>
      <c r="AN159" s="191">
        <f ca="1">IF(AL159="","",IF(AND(AL160&lt;&gt;"",$D160=AL159),1,0)+IF(AND(AM160&lt;&gt;"",$F160=AM159),1,0))</f>
        <v>2</v>
      </c>
      <c r="AO159" s="195"/>
      <c r="AP159" s="192"/>
    </row>
    <row r="160" spans="1:42">
      <c r="A160" s="2">
        <f>Ergebnisse!A83</f>
        <v>90</v>
      </c>
      <c r="B160" s="6">
        <f>Ergebnisse!B83</f>
        <v>46207.5</v>
      </c>
      <c r="C160" s="4" t="str">
        <f>Ergebnisse!C83</f>
        <v>Houston</v>
      </c>
      <c r="D160" s="258" t="str">
        <f ca="1">Ergebnisse!D83</f>
        <v>Schweiz</v>
      </c>
      <c r="E160" s="15" t="str">
        <f>Ergebnisse!E83</f>
        <v>-</v>
      </c>
      <c r="F160" s="258" t="str">
        <f ca="1">Ergebnisse!F83</f>
        <v>Haiti</v>
      </c>
      <c r="G160" s="17">
        <f>Ergebnisse!G83</f>
        <v>0</v>
      </c>
      <c r="H160" s="57">
        <f ca="1">Ergebnisse!H83</f>
        <v>0</v>
      </c>
      <c r="I160" s="80" t="str">
        <f>Ergebnisse!I83</f>
        <v>:</v>
      </c>
      <c r="J160" s="57">
        <f ca="1">Ergebnisse!J83</f>
        <v>1</v>
      </c>
      <c r="K160" s="81" t="str">
        <f ca="1">IF(Ergebnisse!K83="","",Ergebnisse!K83)</f>
        <v>ok</v>
      </c>
      <c r="L160" s="192"/>
      <c r="M160" s="79">
        <f ca="1">IF($K160="","",Bernd!$H83)</f>
        <v>1</v>
      </c>
      <c r="N160" s="79">
        <f ca="1">IF($K160="","",Bernd!$J83)</f>
        <v>2</v>
      </c>
      <c r="O160" s="191">
        <f ca="1">IF(Bernd!$AY83="","",Bernd!$AX83-O159)</f>
        <v>8</v>
      </c>
      <c r="P160" s="195"/>
      <c r="Q160" s="192"/>
      <c r="R160" s="79">
        <f ca="1">IF($K160="","",Mitspieler!$H83)</f>
        <v>2</v>
      </c>
      <c r="S160" s="79">
        <f ca="1">IF($K160="","",Mitspieler!$J83)</f>
        <v>3</v>
      </c>
      <c r="T160" s="191">
        <f ca="1">IF(Mitspieler!$AY83="","",Mitspieler!$AX83-T159)</f>
        <v>7</v>
      </c>
      <c r="U160" s="195"/>
      <c r="V160" s="192"/>
      <c r="W160" s="79">
        <f ca="1">IF($K160="","",Random!$H83)</f>
        <v>2</v>
      </c>
      <c r="X160" s="79">
        <f ca="1">IF($K160="","",Random!$J83)</f>
        <v>1</v>
      </c>
      <c r="Y160" s="191">
        <f ca="1">IF(Random!$AY83="","",Random!$AX83-Y159)</f>
        <v>1</v>
      </c>
      <c r="Z160" s="195"/>
      <c r="AA160" s="192"/>
      <c r="AB160" s="79">
        <f ca="1">IF($K160="","",Rangliste!$H83)</f>
        <v>3</v>
      </c>
      <c r="AC160" s="79">
        <f ca="1">IF($K160="","",Rangliste!$J83)</f>
        <v>4</v>
      </c>
      <c r="AD160" s="191">
        <f ca="1">IF(Rangliste!$AY83="","",Rangliste!$AX83-AD159)</f>
        <v>7</v>
      </c>
      <c r="AE160" s="195"/>
      <c r="AF160" s="192"/>
      <c r="AG160" s="79">
        <f ca="1">IF($K160="","",Fest!$H83)</f>
        <v>2</v>
      </c>
      <c r="AH160" s="79">
        <f ca="1">IF($K160="","",Fest!$J83)</f>
        <v>1</v>
      </c>
      <c r="AI160" s="191">
        <f ca="1">IF(Fest!$AY83="","",Fest!$AX83-AI159)</f>
        <v>1</v>
      </c>
      <c r="AJ160" s="195"/>
      <c r="AK160" s="192"/>
      <c r="AL160" s="79">
        <f ca="1">IF($K160="","",Nobody!$H83)</f>
        <v>0</v>
      </c>
      <c r="AM160" s="79">
        <f ca="1">IF($K160="","",Nobody!$J83)</f>
        <v>1</v>
      </c>
      <c r="AN160" s="191">
        <f ca="1">IF(Nobody!$AY83="","",Nobody!$AX83-AN159)</f>
        <v>11</v>
      </c>
      <c r="AO160" s="195"/>
      <c r="AP160" s="192"/>
    </row>
    <row r="161" spans="1:42">
      <c r="B161" s="6"/>
      <c r="C161" s="4"/>
      <c r="G161" s="17"/>
      <c r="H161" s="79"/>
      <c r="I161" s="53"/>
      <c r="J161" s="79"/>
      <c r="L161" s="192"/>
      <c r="M161" s="199" t="str">
        <f ca="1">IF($K162="","",Bernd!$D84)</f>
        <v>Brasilien</v>
      </c>
      <c r="N161" s="199" t="str">
        <f ca="1">IF($K162="","",Bernd!$F84)</f>
        <v>Frankreich</v>
      </c>
      <c r="O161" s="191">
        <f ca="1">IF(M161="","",IF(AND(M162&lt;&gt;"",$D162=M161),1,0)+IF(AND(N162&lt;&gt;"",$F162=N161),1,0))</f>
        <v>0</v>
      </c>
      <c r="P161" s="195"/>
      <c r="Q161" s="192"/>
      <c r="R161" s="199" t="str">
        <f ca="1">IF($K162="","",Mitspieler!$D84)</f>
        <v>Japan</v>
      </c>
      <c r="S161" s="199" t="str">
        <f ca="1">IF($K162="","",Mitspieler!$F84)</f>
        <v>Elfenbeinküste</v>
      </c>
      <c r="T161" s="191">
        <f ca="1">IF(R161="","",IF(AND(R162&lt;&gt;"",$D162=R161),1,0)+IF(AND(S162&lt;&gt;"",$F162=S161),1,0))</f>
        <v>1</v>
      </c>
      <c r="U161" s="195"/>
      <c r="V161" s="192"/>
      <c r="W161" s="199" t="str">
        <f ca="1">IF($K162="","",Random!$D84)</f>
        <v>Niederlande</v>
      </c>
      <c r="X161" s="199" t="str">
        <f ca="1">IF($K162="","",Random!$F84)</f>
        <v>Irak</v>
      </c>
      <c r="Y161" s="191">
        <f ca="1">IF(W161="","",IF(AND(W162&lt;&gt;"",$D162=W161),1,0)+IF(AND(X162&lt;&gt;"",$F162=X161),1,0))</f>
        <v>0</v>
      </c>
      <c r="Z161" s="195"/>
      <c r="AA161" s="192"/>
      <c r="AB161" s="199" t="str">
        <f ca="1">IF($K162="","",Rangliste!$D84)</f>
        <v>Brasilien</v>
      </c>
      <c r="AC161" s="199" t="str">
        <f ca="1">IF($K162="","",Rangliste!$F84)</f>
        <v>Senegal</v>
      </c>
      <c r="AD161" s="191">
        <f ca="1">IF(AB161="","",IF(AND(AB162&lt;&gt;"",$D162=AB161),1,0)+IF(AND(AC162&lt;&gt;"",$F162=AC161),1,0))</f>
        <v>0</v>
      </c>
      <c r="AE161" s="195"/>
      <c r="AF161" s="192"/>
      <c r="AG161" s="199" t="str">
        <f ca="1">IF($K162="","",Fest!$D84)</f>
        <v>Schottland</v>
      </c>
      <c r="AH161" s="199" t="str">
        <f ca="1">IF($K162="","",Fest!$F84)</f>
        <v>Deutschland</v>
      </c>
      <c r="AI161" s="191">
        <f ca="1">IF(AG161="","",IF(AND(AG162&lt;&gt;"",$D162=AG161),1,0)+IF(AND(AH162&lt;&gt;"",$F162=AH161),1,0))</f>
        <v>0</v>
      </c>
      <c r="AJ161" s="195"/>
      <c r="AK161" s="192"/>
      <c r="AL161" s="199" t="str">
        <f ca="1">IF($K162="","",Nobody!$D84)</f>
        <v>Schweden</v>
      </c>
      <c r="AM161" s="199" t="str">
        <f ca="1">IF($K162="","",Nobody!$F84)</f>
        <v>Elfenbeinküste</v>
      </c>
      <c r="AN161" s="191">
        <f ca="1">IF(AL161="","",IF(AND(AL162&lt;&gt;"",$D162=AL161),1,0)+IF(AND(AM162&lt;&gt;"",$F162=AM161),1,0))</f>
        <v>2</v>
      </c>
      <c r="AO161" s="195"/>
      <c r="AP161" s="192"/>
    </row>
    <row r="162" spans="1:42">
      <c r="A162" s="2">
        <f>Ergebnisse!A84</f>
        <v>91</v>
      </c>
      <c r="B162" s="6">
        <f>Ergebnisse!B84</f>
        <v>46208.666666666664</v>
      </c>
      <c r="C162" s="4" t="str">
        <f>Ergebnisse!C84</f>
        <v>New York</v>
      </c>
      <c r="D162" s="261" t="str">
        <f ca="1">Ergebnisse!D84</f>
        <v>Schweden</v>
      </c>
      <c r="E162" s="15" t="str">
        <f>Ergebnisse!E84</f>
        <v>-</v>
      </c>
      <c r="F162" s="261" t="str">
        <f ca="1">Ergebnisse!F84</f>
        <v>Elfenbeinküste</v>
      </c>
      <c r="G162" s="17">
        <f>Ergebnisse!G84</f>
        <v>0</v>
      </c>
      <c r="H162" s="57">
        <f ca="1">Ergebnisse!H84</f>
        <v>6</v>
      </c>
      <c r="I162" s="80" t="str">
        <f>Ergebnisse!I84</f>
        <v>:</v>
      </c>
      <c r="J162" s="57">
        <f ca="1">Ergebnisse!J84</f>
        <v>7</v>
      </c>
      <c r="K162" s="81" t="str">
        <f ca="1">IF(Ergebnisse!K84="","",Ergebnisse!K84)</f>
        <v>ok</v>
      </c>
      <c r="L162" s="192"/>
      <c r="M162" s="79">
        <f ca="1">IF($K162="","",Bernd!$H84)</f>
        <v>2</v>
      </c>
      <c r="N162" s="79">
        <f ca="1">IF($K162="","",Bernd!$J84)</f>
        <v>3</v>
      </c>
      <c r="O162" s="191">
        <f ca="1">IF(Bernd!$AY84="","",Bernd!$AX84-O161)</f>
        <v>7</v>
      </c>
      <c r="P162" s="195"/>
      <c r="Q162" s="192"/>
      <c r="R162" s="79">
        <f ca="1">IF($K162="","",Mitspieler!$H84)</f>
        <v>1</v>
      </c>
      <c r="S162" s="79">
        <f ca="1">IF($K162="","",Mitspieler!$J84)</f>
        <v>0</v>
      </c>
      <c r="T162" s="191">
        <f ca="1">IF(Mitspieler!$AY84="","",Mitspieler!$AX84-T161)</f>
        <v>1</v>
      </c>
      <c r="U162" s="195"/>
      <c r="V162" s="192"/>
      <c r="W162" s="79">
        <f ca="1">IF($K162="","",Random!$H84)</f>
        <v>4</v>
      </c>
      <c r="X162" s="79">
        <f ca="1">IF($K162="","",Random!$J84)</f>
        <v>5</v>
      </c>
      <c r="Y162" s="191">
        <f ca="1">IF(Random!$AY84="","",Random!$AX84-Y161)</f>
        <v>7</v>
      </c>
      <c r="Z162" s="195"/>
      <c r="AA162" s="192"/>
      <c r="AB162" s="79">
        <f ca="1">IF($K162="","",Rangliste!$H84)</f>
        <v>2</v>
      </c>
      <c r="AC162" s="79">
        <f ca="1">IF($K162="","",Rangliste!$J84)</f>
        <v>1</v>
      </c>
      <c r="AD162" s="191">
        <f ca="1">IF(Rangliste!$AY84="","",Rangliste!$AX84-AD161)</f>
        <v>0</v>
      </c>
      <c r="AE162" s="195"/>
      <c r="AF162" s="192"/>
      <c r="AG162" s="79">
        <f ca="1">IF($K162="","",Fest!$H84)</f>
        <v>2</v>
      </c>
      <c r="AH162" s="79">
        <f ca="1">IF($K162="","",Fest!$J84)</f>
        <v>1</v>
      </c>
      <c r="AI162" s="191">
        <f ca="1">IF(Fest!$AY84="","",Fest!$AX84-AI161)</f>
        <v>0</v>
      </c>
      <c r="AJ162" s="195"/>
      <c r="AK162" s="192"/>
      <c r="AL162" s="79">
        <f ca="1">IF($K162="","",Nobody!$H84)</f>
        <v>6</v>
      </c>
      <c r="AM162" s="79">
        <f ca="1">IF($K162="","",Nobody!$J84)</f>
        <v>7</v>
      </c>
      <c r="AN162" s="191">
        <f ca="1">IF(Nobody!$AY84="","",Nobody!$AX84-AN161)</f>
        <v>11</v>
      </c>
      <c r="AO162" s="195"/>
      <c r="AP162" s="192"/>
    </row>
    <row r="163" spans="1:42">
      <c r="B163" s="6"/>
      <c r="C163" s="4"/>
      <c r="G163" s="17"/>
      <c r="H163" s="79"/>
      <c r="I163" s="53"/>
      <c r="J163" s="79"/>
      <c r="L163" s="192"/>
      <c r="M163" s="199" t="str">
        <f ca="1">IF($K164="","",Bernd!$D85)</f>
        <v>Mexiko</v>
      </c>
      <c r="N163" s="199" t="str">
        <f ca="1">IF($K164="","",Bernd!$F85)</f>
        <v>Kroatien</v>
      </c>
      <c r="O163" s="191">
        <f ca="1">IF(M163="","",IF(AND(M164&lt;&gt;"",$D164=M163),1,0)+IF(AND(N164&lt;&gt;"",$F164=N163),1,0))</f>
        <v>0</v>
      </c>
      <c r="P163" s="195"/>
      <c r="Q163" s="192"/>
      <c r="R163" s="199" t="str">
        <f ca="1">IF($K164="","",Mitspieler!$D85)</f>
        <v>Mexiko</v>
      </c>
      <c r="S163" s="199" t="str">
        <f ca="1">IF($K164="","",Mitspieler!$F85)</f>
        <v>Panama</v>
      </c>
      <c r="T163" s="191">
        <f ca="1">IF(R163="","",IF(AND(R164&lt;&gt;"",$D164=R163),1,0)+IF(AND(S164&lt;&gt;"",$F164=S163),1,0))</f>
        <v>0</v>
      </c>
      <c r="U163" s="195"/>
      <c r="V163" s="192"/>
      <c r="W163" s="199" t="str">
        <f ca="1">IF($K164="","",Random!$D85)</f>
        <v>Elfenbeinküste</v>
      </c>
      <c r="X163" s="199" t="str">
        <f ca="1">IF($K164="","",Random!$F85)</f>
        <v>Frankreich</v>
      </c>
      <c r="Y163" s="191">
        <f ca="1">IF(W163="","",IF(AND(W164&lt;&gt;"",$D164=W163),1,0)+IF(AND(X164&lt;&gt;"",$F164=X163),1,0))</f>
        <v>0</v>
      </c>
      <c r="Z163" s="195"/>
      <c r="AA163" s="192"/>
      <c r="AB163" s="199" t="str">
        <f ca="1">IF($K164="","",Rangliste!$D85)</f>
        <v>Mexiko</v>
      </c>
      <c r="AC163" s="199" t="str">
        <f ca="1">IF($K164="","",Rangliste!$F85)</f>
        <v>England</v>
      </c>
      <c r="AD163" s="191">
        <f ca="1">IF(AB163="","",IF(AND(AB164&lt;&gt;"",$D164=AB163),1,0)+IF(AND(AC164&lt;&gt;"",$F164=AC163),1,0))</f>
        <v>0</v>
      </c>
      <c r="AE163" s="195"/>
      <c r="AF163" s="192"/>
      <c r="AG163" s="199" t="str">
        <f ca="1">IF($K164="","",Fest!$D85)</f>
        <v>Tschechien</v>
      </c>
      <c r="AH163" s="199" t="str">
        <f ca="1">IF($K164="","",Fest!$F85)</f>
        <v>Panama</v>
      </c>
      <c r="AI163" s="191">
        <f ca="1">IF(AG163="","",IF(AND(AG164&lt;&gt;"",$D164=AG163),1,0)+IF(AND(AH164&lt;&gt;"",$F164=AH163),1,0))</f>
        <v>0</v>
      </c>
      <c r="AJ163" s="195"/>
      <c r="AK163" s="192"/>
      <c r="AL163" s="199" t="str">
        <f ca="1">IF($K164="","",Nobody!$D85)</f>
        <v>Südafrika</v>
      </c>
      <c r="AM163" s="199" t="str">
        <f ca="1">IF($K164="","",Nobody!$F85)</f>
        <v>DR Kongo</v>
      </c>
      <c r="AN163" s="191">
        <f ca="1">IF(AL163="","",IF(AND(AL164&lt;&gt;"",$D164=AL163),1,0)+IF(AND(AM164&lt;&gt;"",$F164=AM163),1,0))</f>
        <v>2</v>
      </c>
      <c r="AO163" s="195"/>
      <c r="AP163" s="192"/>
    </row>
    <row r="164" spans="1:42">
      <c r="A164" s="2">
        <f>Ergebnisse!A85</f>
        <v>92</v>
      </c>
      <c r="B164" s="6">
        <f>Ergebnisse!B85</f>
        <v>46208.791666666672</v>
      </c>
      <c r="C164" s="4" t="str">
        <f>Ergebnisse!C85</f>
        <v>Mexico City</v>
      </c>
      <c r="D164" s="261" t="str">
        <f ca="1">Ergebnisse!D85</f>
        <v>Südafrika</v>
      </c>
      <c r="E164" s="15" t="str">
        <f>Ergebnisse!E85</f>
        <v>-</v>
      </c>
      <c r="F164" s="261" t="str">
        <f ca="1">Ergebnisse!F85</f>
        <v>DR Kongo</v>
      </c>
      <c r="G164" s="17">
        <f>Ergebnisse!G85</f>
        <v>0</v>
      </c>
      <c r="H164" s="57">
        <f ca="1">Ergebnisse!H85</f>
        <v>5</v>
      </c>
      <c r="I164" s="80" t="str">
        <f>Ergebnisse!I85</f>
        <v>:</v>
      </c>
      <c r="J164" s="57">
        <f ca="1">Ergebnisse!J85</f>
        <v>4</v>
      </c>
      <c r="K164" s="81" t="str">
        <f ca="1">IF(Ergebnisse!K85="","",Ergebnisse!K85)</f>
        <v>ok</v>
      </c>
      <c r="L164" s="192"/>
      <c r="M164" s="79">
        <f ca="1">IF($K164="","",Bernd!$H85)</f>
        <v>2</v>
      </c>
      <c r="N164" s="79">
        <f ca="1">IF($K164="","",Bernd!$J85)</f>
        <v>0</v>
      </c>
      <c r="O164" s="191">
        <f ca="1">IF(Bernd!$AY85="","",Bernd!$AX85-O163)</f>
        <v>7</v>
      </c>
      <c r="P164" s="195"/>
      <c r="Q164" s="192"/>
      <c r="R164" s="79">
        <f ca="1">IF($K164="","",Mitspieler!$H85)</f>
        <v>3</v>
      </c>
      <c r="S164" s="79">
        <f ca="1">IF($K164="","",Mitspieler!$J85)</f>
        <v>2</v>
      </c>
      <c r="T164" s="191">
        <f ca="1">IF(Mitspieler!$AY85="","",Mitspieler!$AX85-T163)</f>
        <v>7</v>
      </c>
      <c r="U164" s="195"/>
      <c r="V164" s="192"/>
      <c r="W164" s="79">
        <f ca="1">IF($K164="","",Random!$H85)</f>
        <v>0</v>
      </c>
      <c r="X164" s="79">
        <f ca="1">IF($K164="","",Random!$J85)</f>
        <v>1</v>
      </c>
      <c r="Y164" s="191">
        <f ca="1">IF(Random!$AY85="","",Random!$AX85-Y163)</f>
        <v>0</v>
      </c>
      <c r="Z164" s="195"/>
      <c r="AA164" s="192"/>
      <c r="AB164" s="79">
        <f ca="1">IF($K164="","",Rangliste!$H85)</f>
        <v>3</v>
      </c>
      <c r="AC164" s="79">
        <f ca="1">IF($K164="","",Rangliste!$J85)</f>
        <v>4</v>
      </c>
      <c r="AD164" s="191">
        <f ca="1">IF(Rangliste!$AY85="","",Rangliste!$AX85-AD163)</f>
        <v>1</v>
      </c>
      <c r="AE164" s="195"/>
      <c r="AF164" s="192"/>
      <c r="AG164" s="79">
        <f ca="1">IF($K164="","",Fest!$H85)</f>
        <v>2</v>
      </c>
      <c r="AH164" s="79">
        <f ca="1">IF($K164="","",Fest!$J85)</f>
        <v>1</v>
      </c>
      <c r="AI164" s="191">
        <f ca="1">IF(Fest!$AY85="","",Fest!$AX85-AI163)</f>
        <v>7</v>
      </c>
      <c r="AJ164" s="195"/>
      <c r="AK164" s="192"/>
      <c r="AL164" s="79">
        <f ca="1">IF($K164="","",Nobody!$H85)</f>
        <v>5</v>
      </c>
      <c r="AM164" s="79">
        <f ca="1">IF($K164="","",Nobody!$J85)</f>
        <v>4</v>
      </c>
      <c r="AN164" s="191">
        <f ca="1">IF(Nobody!$AY85="","",Nobody!$AX85-AN163)</f>
        <v>11</v>
      </c>
      <c r="AO164" s="195"/>
      <c r="AP164" s="192"/>
    </row>
    <row r="165" spans="1:42">
      <c r="B165" s="6"/>
      <c r="C165" s="4"/>
      <c r="G165" s="17"/>
      <c r="H165" s="79"/>
      <c r="I165" s="53"/>
      <c r="J165" s="79"/>
      <c r="L165" s="192"/>
      <c r="M165" s="199" t="str">
        <f ca="1">IF($K166="","",Bernd!$D86)</f>
        <v>England</v>
      </c>
      <c r="N165" s="199" t="str">
        <f ca="1">IF($K166="","",Bernd!$F86)</f>
        <v>Spanien</v>
      </c>
      <c r="O165" s="191">
        <f ca="1">IF(M165="","",IF(AND(M166&lt;&gt;"",$D166=M165),1,0)+IF(AND(N166&lt;&gt;"",$F166=N165),1,0))</f>
        <v>0</v>
      </c>
      <c r="P165" s="195"/>
      <c r="Q165" s="192"/>
      <c r="R165" s="199" t="str">
        <f ca="1">IF($K166="","",Mitspieler!$D86)</f>
        <v>England</v>
      </c>
      <c r="S165" s="199" t="str">
        <f ca="1">IF($K166="","",Mitspieler!$F86)</f>
        <v>Spanien</v>
      </c>
      <c r="T165" s="191">
        <f ca="1">IF(R165="","",IF(AND(R166&lt;&gt;"",$D166=R165),1,0)+IF(AND(S166&lt;&gt;"",$F166=S165),1,0))</f>
        <v>0</v>
      </c>
      <c r="U165" s="195"/>
      <c r="V165" s="192"/>
      <c r="W165" s="199" t="str">
        <f ca="1">IF($K166="","",Random!$D86)</f>
        <v>Panama</v>
      </c>
      <c r="X165" s="199" t="str">
        <f ca="1">IF($K166="","",Random!$F86)</f>
        <v>Jordanien</v>
      </c>
      <c r="Y165" s="191">
        <f ca="1">IF(W165="","",IF(AND(W166&lt;&gt;"",$D166=W165),1,0)+IF(AND(X166&lt;&gt;"",$F166=X165),1,0))</f>
        <v>1</v>
      </c>
      <c r="Z165" s="195"/>
      <c r="AA165" s="192"/>
      <c r="AB165" s="199" t="str">
        <f ca="1">IF($K166="","",Rangliste!$D86)</f>
        <v>Kroatien</v>
      </c>
      <c r="AC165" s="199" t="str">
        <f ca="1">IF($K166="","",Rangliste!$F86)</f>
        <v>Spanien</v>
      </c>
      <c r="AD165" s="191">
        <f ca="1">IF(AB165="","",IF(AND(AB166&lt;&gt;"",$D166=AB165),1,0)+IF(AND(AC166&lt;&gt;"",$F166=AC165),1,0))</f>
        <v>0</v>
      </c>
      <c r="AE165" s="195"/>
      <c r="AF165" s="192"/>
      <c r="AG165" s="199" t="str">
        <f ca="1">IF($K166="","",Fest!$D86)</f>
        <v>Portugal</v>
      </c>
      <c r="AH165" s="199" t="str">
        <f ca="1">IF($K166="","",Fest!$F86)</f>
        <v>Uruguay</v>
      </c>
      <c r="AI165" s="191">
        <f ca="1">IF(AG165="","",IF(AND(AG166&lt;&gt;"",$D166=AG165),1,0)+IF(AND(AH166&lt;&gt;"",$F166=AH165),1,0))</f>
        <v>0</v>
      </c>
      <c r="AJ165" s="195"/>
      <c r="AK165" s="192"/>
      <c r="AL165" s="199" t="str">
        <f ca="1">IF($K166="","",Nobody!$D86)</f>
        <v>Panama</v>
      </c>
      <c r="AM165" s="199" t="str">
        <f ca="1">IF($K166="","",Nobody!$F86)</f>
        <v>Algerien</v>
      </c>
      <c r="AN165" s="191">
        <f ca="1">IF(AL165="","",IF(AND(AL166&lt;&gt;"",$D166=AL165),1,0)+IF(AND(AM166&lt;&gt;"",$F166=AM165),1,0))</f>
        <v>2</v>
      </c>
      <c r="AO165" s="195"/>
      <c r="AP165" s="192"/>
    </row>
    <row r="166" spans="1:42">
      <c r="A166" s="2">
        <f>Ergebnisse!A86</f>
        <v>93</v>
      </c>
      <c r="B166" s="6">
        <f>Ergebnisse!B86</f>
        <v>46209.583333333336</v>
      </c>
      <c r="C166" s="4" t="str">
        <f>Ergebnisse!C86</f>
        <v>Dallas</v>
      </c>
      <c r="D166" s="256" t="str">
        <f ca="1">Ergebnisse!D86</f>
        <v>Panama</v>
      </c>
      <c r="E166" s="15" t="str">
        <f>Ergebnisse!E86</f>
        <v>-</v>
      </c>
      <c r="F166" s="256" t="str">
        <f ca="1">Ergebnisse!F86</f>
        <v>Algerien</v>
      </c>
      <c r="G166" s="17">
        <f>Ergebnisse!G86</f>
        <v>0</v>
      </c>
      <c r="H166" s="57">
        <f ca="1">Ergebnisse!H86</f>
        <v>4</v>
      </c>
      <c r="I166" s="80" t="str">
        <f>Ergebnisse!I86</f>
        <v>:</v>
      </c>
      <c r="J166" s="57">
        <f ca="1">Ergebnisse!J86</f>
        <v>3</v>
      </c>
      <c r="K166" s="81" t="str">
        <f ca="1">IF(Ergebnisse!K86="","",Ergebnisse!K86)</f>
        <v>ok</v>
      </c>
      <c r="L166" s="192"/>
      <c r="M166" s="79">
        <f ca="1">IF($K166="","",Bernd!$H86)</f>
        <v>1</v>
      </c>
      <c r="N166" s="79">
        <f ca="1">IF($K166="","",Bernd!$J86)</f>
        <v>3</v>
      </c>
      <c r="O166" s="191">
        <f ca="1">IF(Bernd!$AY86="","",Bernd!$AX86-O165)</f>
        <v>1</v>
      </c>
      <c r="P166" s="195"/>
      <c r="Q166" s="192"/>
      <c r="R166" s="79">
        <f ca="1">IF($K166="","",Mitspieler!$H86)</f>
        <v>1</v>
      </c>
      <c r="S166" s="79">
        <f ca="1">IF($K166="","",Mitspieler!$J86)</f>
        <v>2</v>
      </c>
      <c r="T166" s="191">
        <f ca="1">IF(Mitspieler!$AY86="","",Mitspieler!$AX86-T165)</f>
        <v>0</v>
      </c>
      <c r="U166" s="195"/>
      <c r="V166" s="192"/>
      <c r="W166" s="79">
        <f ca="1">IF($K166="","",Random!$H86)</f>
        <v>4</v>
      </c>
      <c r="X166" s="79">
        <f ca="1">IF($K166="","",Random!$J86)</f>
        <v>3</v>
      </c>
      <c r="Y166" s="191">
        <f ca="1">IF(Random!$AY86="","",Random!$AX86-Y165)</f>
        <v>10</v>
      </c>
      <c r="Z166" s="195"/>
      <c r="AA166" s="192"/>
      <c r="AB166" s="79">
        <f ca="1">IF($K166="","",Rangliste!$H86)</f>
        <v>3</v>
      </c>
      <c r="AC166" s="79">
        <f ca="1">IF($K166="","",Rangliste!$J86)</f>
        <v>4</v>
      </c>
      <c r="AD166" s="191">
        <f ca="1">IF(Rangliste!$AY86="","",Rangliste!$AX86-AD165)</f>
        <v>0</v>
      </c>
      <c r="AE166" s="195"/>
      <c r="AF166" s="192"/>
      <c r="AG166" s="79">
        <f ca="1">IF($K166="","",Fest!$H86)</f>
        <v>2</v>
      </c>
      <c r="AH166" s="79">
        <f ca="1">IF($K166="","",Fest!$J86)</f>
        <v>1</v>
      </c>
      <c r="AI166" s="191">
        <f ca="1">IF(Fest!$AY86="","",Fest!$AX86-AI165)</f>
        <v>7</v>
      </c>
      <c r="AJ166" s="195"/>
      <c r="AK166" s="192"/>
      <c r="AL166" s="79">
        <f ca="1">IF($K166="","",Nobody!$H86)</f>
        <v>4</v>
      </c>
      <c r="AM166" s="79">
        <f ca="1">IF($K166="","",Nobody!$J86)</f>
        <v>3</v>
      </c>
      <c r="AN166" s="191">
        <f ca="1">IF(Nobody!$AY86="","",Nobody!$AX86-AN165)</f>
        <v>11</v>
      </c>
      <c r="AO166" s="195"/>
      <c r="AP166" s="192"/>
    </row>
    <row r="167" spans="1:42">
      <c r="B167" s="6"/>
      <c r="C167" s="4"/>
      <c r="G167" s="17"/>
      <c r="H167" s="79"/>
      <c r="I167" s="53"/>
      <c r="J167" s="79"/>
      <c r="L167" s="192"/>
      <c r="M167" s="199" t="str">
        <f ca="1">IF($K168="","",Bernd!$D87)</f>
        <v>Senegal</v>
      </c>
      <c r="N167" s="199" t="str">
        <f ca="1">IF($K168="","",Bernd!$F87)</f>
        <v>Belgien</v>
      </c>
      <c r="O167" s="191">
        <f ca="1">IF(M167="","",IF(AND(M168&lt;&gt;"",$D168=M167),1,0)+IF(AND(N168&lt;&gt;"",$F168=N167),1,0))</f>
        <v>0</v>
      </c>
      <c r="P167" s="195"/>
      <c r="Q167" s="192"/>
      <c r="R167" s="199" t="str">
        <f ca="1">IF($K168="","",Mitspieler!$D87)</f>
        <v>Ecuador</v>
      </c>
      <c r="S167" s="199" t="str">
        <f ca="1">IF($K168="","",Mitspieler!$F87)</f>
        <v>Belgien</v>
      </c>
      <c r="T167" s="191">
        <f ca="1">IF(R167="","",IF(AND(R168&lt;&gt;"",$D168=R167),1,0)+IF(AND(S168&lt;&gt;"",$F168=S167),1,0))</f>
        <v>0</v>
      </c>
      <c r="U167" s="195"/>
      <c r="V167" s="192"/>
      <c r="W167" s="199" t="str">
        <f ca="1">IF($K168="","",Random!$D87)</f>
        <v>Kanada</v>
      </c>
      <c r="X167" s="199" t="str">
        <f ca="1">IF($K168="","",Random!$F87)</f>
        <v>Mexiko</v>
      </c>
      <c r="Y167" s="191">
        <f ca="1">IF(W167="","",IF(AND(W168&lt;&gt;"",$D168=W167),1,0)+IF(AND(X168&lt;&gt;"",$F168=X167),1,0))</f>
        <v>0</v>
      </c>
      <c r="Z167" s="195"/>
      <c r="AA167" s="192"/>
      <c r="AB167" s="199" t="str">
        <f ca="1">IF($K168="","",Rangliste!$D87)</f>
        <v>USA</v>
      </c>
      <c r="AC167" s="199" t="str">
        <f ca="1">IF($K168="","",Rangliste!$F87)</f>
        <v>Belgien</v>
      </c>
      <c r="AD167" s="191">
        <f ca="1">IF(AB167="","",IF(AND(AB168&lt;&gt;"",$D168=AB167),1,0)+IF(AND(AC168&lt;&gt;"",$F168=AC167),1,0))</f>
        <v>0</v>
      </c>
      <c r="AE167" s="195"/>
      <c r="AF167" s="192"/>
      <c r="AG167" s="199" t="str">
        <f ca="1">IF($K168="","",Fest!$D87)</f>
        <v>Türkei</v>
      </c>
      <c r="AH167" s="199" t="str">
        <f ca="1">IF($K168="","",Fest!$F87)</f>
        <v>Neuseeland</v>
      </c>
      <c r="AI167" s="191">
        <f ca="1">IF(AG167="","",IF(AND(AG168&lt;&gt;"",$D168=AG167),1,0)+IF(AND(AH168&lt;&gt;"",$F168=AH167),1,0))</f>
        <v>2</v>
      </c>
      <c r="AJ167" s="195"/>
      <c r="AK167" s="192"/>
      <c r="AL167" s="199" t="str">
        <f ca="1">IF($K168="","",Nobody!$D87)</f>
        <v>Türkei</v>
      </c>
      <c r="AM167" s="199" t="str">
        <f ca="1">IF($K168="","",Nobody!$F87)</f>
        <v>Neuseeland</v>
      </c>
      <c r="AN167" s="191">
        <f ca="1">IF(AL167="","",IF(AND(AL168&lt;&gt;"",$D168=AL167),1,0)+IF(AND(AM168&lt;&gt;"",$F168=AM167),1,0))</f>
        <v>2</v>
      </c>
      <c r="AO167" s="195"/>
      <c r="AP167" s="192"/>
    </row>
    <row r="168" spans="1:42">
      <c r="A168" s="2">
        <f>Ergebnisse!A87</f>
        <v>94</v>
      </c>
      <c r="B168" s="6">
        <f>Ergebnisse!B87</f>
        <v>46209.708333333336</v>
      </c>
      <c r="C168" s="4" t="str">
        <f>Ergebnisse!C87</f>
        <v>Seattle</v>
      </c>
      <c r="D168" s="256" t="str">
        <f ca="1">Ergebnisse!D87</f>
        <v>Türkei</v>
      </c>
      <c r="E168" s="15" t="str">
        <f>Ergebnisse!E87</f>
        <v>-</v>
      </c>
      <c r="F168" s="256" t="str">
        <f ca="1">Ergebnisse!F87</f>
        <v>Neuseeland</v>
      </c>
      <c r="G168" s="17">
        <f>Ergebnisse!G87</f>
        <v>0</v>
      </c>
      <c r="H168" s="57">
        <f ca="1">Ergebnisse!H87</f>
        <v>3</v>
      </c>
      <c r="I168" s="80" t="str">
        <f>Ergebnisse!I87</f>
        <v>:</v>
      </c>
      <c r="J168" s="57">
        <f ca="1">Ergebnisse!J87</f>
        <v>4</v>
      </c>
      <c r="K168" s="81" t="str">
        <f ca="1">IF(Ergebnisse!K87="","",Ergebnisse!K87)</f>
        <v>ok</v>
      </c>
      <c r="L168" s="192"/>
      <c r="M168" s="79">
        <f ca="1">IF($K168="","",Bernd!$H87)</f>
        <v>0</v>
      </c>
      <c r="N168" s="79">
        <f ca="1">IF($K168="","",Bernd!$J87)</f>
        <v>1</v>
      </c>
      <c r="O168" s="191">
        <f ca="1">IF(Bernd!$AY87="","",Bernd!$AX87-O167)</f>
        <v>7</v>
      </c>
      <c r="P168" s="195"/>
      <c r="Q168" s="192"/>
      <c r="R168" s="79">
        <f ca="1">IF($K168="","",Mitspieler!$H87)</f>
        <v>0</v>
      </c>
      <c r="S168" s="79">
        <f ca="1">IF($K168="","",Mitspieler!$J87)</f>
        <v>1</v>
      </c>
      <c r="T168" s="191">
        <f ca="1">IF(Mitspieler!$AY87="","",Mitspieler!$AX87-T167)</f>
        <v>7</v>
      </c>
      <c r="U168" s="195"/>
      <c r="V168" s="192"/>
      <c r="W168" s="79">
        <f ca="1">IF($K168="","",Random!$H87)</f>
        <v>4</v>
      </c>
      <c r="X168" s="79">
        <f ca="1">IF($K168="","",Random!$J87)</f>
        <v>5</v>
      </c>
      <c r="Y168" s="191">
        <f ca="1">IF(Random!$AY87="","",Random!$AX87-Y167)</f>
        <v>7</v>
      </c>
      <c r="Z168" s="195"/>
      <c r="AA168" s="192"/>
      <c r="AB168" s="79">
        <f ca="1">IF($K168="","",Rangliste!$H87)</f>
        <v>1</v>
      </c>
      <c r="AC168" s="79">
        <f ca="1">IF($K168="","",Rangliste!$J87)</f>
        <v>2</v>
      </c>
      <c r="AD168" s="191">
        <f ca="1">IF(Rangliste!$AY87="","",Rangliste!$AX87-AD167)</f>
        <v>7</v>
      </c>
      <c r="AE168" s="195"/>
      <c r="AF168" s="192"/>
      <c r="AG168" s="79">
        <f ca="1">IF($K168="","",Fest!$H87)</f>
        <v>2</v>
      </c>
      <c r="AH168" s="79">
        <f ca="1">IF($K168="","",Fest!$J87)</f>
        <v>1</v>
      </c>
      <c r="AI168" s="191">
        <f ca="1">IF(Fest!$AY87="","",Fest!$AX87-AI167)</f>
        <v>2</v>
      </c>
      <c r="AJ168" s="195"/>
      <c r="AK168" s="192"/>
      <c r="AL168" s="79">
        <f ca="1">IF($K168="","",Nobody!$H87)</f>
        <v>3</v>
      </c>
      <c r="AM168" s="79">
        <f ca="1">IF($K168="","",Nobody!$J87)</f>
        <v>4</v>
      </c>
      <c r="AN168" s="191">
        <f ca="1">IF(Nobody!$AY87="","",Nobody!$AX87-AN167)</f>
        <v>11</v>
      </c>
      <c r="AO168" s="195"/>
      <c r="AP168" s="192"/>
    </row>
    <row r="169" spans="1:42">
      <c r="B169" s="6"/>
      <c r="C169" s="4"/>
      <c r="D169" s="10"/>
      <c r="E169" s="10"/>
      <c r="F169" s="10"/>
      <c r="G169" s="17"/>
      <c r="H169" s="79"/>
      <c r="I169" s="53"/>
      <c r="J169" s="79"/>
      <c r="L169" s="192"/>
      <c r="M169" s="199" t="str">
        <f ca="1">IF($K170="","",Bernd!$D88)</f>
        <v>Argentinien</v>
      </c>
      <c r="N169" s="199" t="str">
        <f ca="1">IF($K170="","",Bernd!$F88)</f>
        <v>USA</v>
      </c>
      <c r="O169" s="191">
        <f ca="1">IF(M169="","",IF(AND(M170&lt;&gt;"",$D170=M169),1,0)+IF(AND(N170&lt;&gt;"",$F170=N169),1,0))</f>
        <v>1</v>
      </c>
      <c r="P169" s="195"/>
      <c r="Q169" s="192"/>
      <c r="R169" s="199" t="str">
        <f ca="1">IF($K170="","",Mitspieler!$D88)</f>
        <v>Argentinien</v>
      </c>
      <c r="S169" s="199" t="str">
        <f ca="1">IF($K170="","",Mitspieler!$F88)</f>
        <v>USA</v>
      </c>
      <c r="T169" s="191">
        <f ca="1">IF(R169="","",IF(AND(R170&lt;&gt;"",$D170=R169),1,0)+IF(AND(S170&lt;&gt;"",$F170=S169),1,0))</f>
        <v>1</v>
      </c>
      <c r="U169" s="195"/>
      <c r="V169" s="192"/>
      <c r="W169" s="199" t="str">
        <f ca="1">IF($K170="","",Random!$D88)</f>
        <v>Uruguay</v>
      </c>
      <c r="X169" s="199" t="str">
        <f ca="1">IF($K170="","",Random!$F88)</f>
        <v>Paraguay</v>
      </c>
      <c r="Y169" s="191">
        <f ca="1">IF(W169="","",IF(AND(W170&lt;&gt;"",$D170=W169),1,0)+IF(AND(X170&lt;&gt;"",$F170=X169),1,0))</f>
        <v>0</v>
      </c>
      <c r="Z169" s="195"/>
      <c r="AA169" s="192"/>
      <c r="AB169" s="199" t="str">
        <f ca="1">IF($K170="","",Rangliste!$D88)</f>
        <v>Argentinien</v>
      </c>
      <c r="AC169" s="199" t="str">
        <f ca="1">IF($K170="","",Rangliste!$F88)</f>
        <v>IR Iran</v>
      </c>
      <c r="AD169" s="191">
        <f ca="1">IF(AB169="","",IF(AND(AB170&lt;&gt;"",$D170=AB169),1,0)+IF(AND(AC170&lt;&gt;"",$F170=AC169),1,0))</f>
        <v>1</v>
      </c>
      <c r="AE169" s="195"/>
      <c r="AF169" s="192"/>
      <c r="AG169" s="199" t="str">
        <f ca="1">IF($K170="","",Fest!$D88)</f>
        <v>Jordanien</v>
      </c>
      <c r="AH169" s="199" t="str">
        <f ca="1">IF($K170="","",Fest!$F88)</f>
        <v>USA</v>
      </c>
      <c r="AI169" s="191">
        <f ca="1">IF(AG169="","",IF(AND(AG170&lt;&gt;"",$D170=AG169),1,0)+IF(AND(AH170&lt;&gt;"",$F170=AH169),1,0))</f>
        <v>0</v>
      </c>
      <c r="AJ169" s="195"/>
      <c r="AK169" s="192"/>
      <c r="AL169" s="199" t="str">
        <f ca="1">IF($K170="","",Nobody!$D88)</f>
        <v>Argentinien</v>
      </c>
      <c r="AM169" s="199" t="str">
        <f ca="1">IF($K170="","",Nobody!$F88)</f>
        <v>Australien</v>
      </c>
      <c r="AN169" s="191">
        <f ca="1">IF(AL169="","",IF(AND(AL170&lt;&gt;"",$D170=AL169),1,0)+IF(AND(AM170&lt;&gt;"",$F170=AM169),1,0))</f>
        <v>2</v>
      </c>
      <c r="AO169" s="195"/>
      <c r="AP169" s="192"/>
    </row>
    <row r="170" spans="1:42">
      <c r="A170" s="2">
        <f>Ergebnisse!A88</f>
        <v>95</v>
      </c>
      <c r="B170" s="6">
        <f>Ergebnisse!B88</f>
        <v>46210.5</v>
      </c>
      <c r="C170" s="4" t="str">
        <f>Ergebnisse!C88</f>
        <v>Atlanta</v>
      </c>
      <c r="D170" s="259" t="str">
        <f ca="1">Ergebnisse!D88</f>
        <v>Argentinien</v>
      </c>
      <c r="E170" s="15" t="str">
        <f>Ergebnisse!E88</f>
        <v>-</v>
      </c>
      <c r="F170" s="259" t="str">
        <f ca="1">Ergebnisse!F88</f>
        <v>Australien</v>
      </c>
      <c r="G170" s="17">
        <f>Ergebnisse!G88</f>
        <v>0</v>
      </c>
      <c r="H170" s="57">
        <f ca="1">Ergebnisse!H88</f>
        <v>4</v>
      </c>
      <c r="I170" s="80" t="str">
        <f>Ergebnisse!I88</f>
        <v>:</v>
      </c>
      <c r="J170" s="57">
        <f ca="1">Ergebnisse!J88</f>
        <v>5</v>
      </c>
      <c r="K170" s="81" t="str">
        <f ca="1">IF(Ergebnisse!K88="","",Ergebnisse!K88)</f>
        <v>ok</v>
      </c>
      <c r="L170" s="192"/>
      <c r="M170" s="79">
        <f ca="1">IF($K170="","",Bernd!$H88)</f>
        <v>3</v>
      </c>
      <c r="N170" s="79">
        <f ca="1">IF($K170="","",Bernd!$J88)</f>
        <v>2</v>
      </c>
      <c r="O170" s="191">
        <f ca="1">IF(Bernd!$AY88="","",Bernd!$AX88-O169)</f>
        <v>1</v>
      </c>
      <c r="P170" s="195"/>
      <c r="Q170" s="192"/>
      <c r="R170" s="79">
        <f ca="1">IF($K170="","",Mitspieler!$H88)</f>
        <v>1</v>
      </c>
      <c r="S170" s="79">
        <f ca="1">IF($K170="","",Mitspieler!$J88)</f>
        <v>0</v>
      </c>
      <c r="T170" s="191">
        <f ca="1">IF(Mitspieler!$AY88="","",Mitspieler!$AX88-T169)</f>
        <v>1</v>
      </c>
      <c r="U170" s="195"/>
      <c r="V170" s="192"/>
      <c r="W170" s="79">
        <f ca="1">IF($K170="","",Random!$H88)</f>
        <v>0</v>
      </c>
      <c r="X170" s="79">
        <f ca="1">IF($K170="","",Random!$J88)</f>
        <v>1</v>
      </c>
      <c r="Y170" s="191">
        <f ca="1">IF(Random!$AY88="","",Random!$AX88-Y169)</f>
        <v>7</v>
      </c>
      <c r="Z170" s="195"/>
      <c r="AA170" s="192"/>
      <c r="AB170" s="79">
        <f ca="1">IF($K170="","",Rangliste!$H88)</f>
        <v>4</v>
      </c>
      <c r="AC170" s="79">
        <f ca="1">IF($K170="","",Rangliste!$J88)</f>
        <v>3</v>
      </c>
      <c r="AD170" s="191">
        <f ca="1">IF(Rangliste!$AY88="","",Rangliste!$AX88-AD169)</f>
        <v>2</v>
      </c>
      <c r="AE170" s="195"/>
      <c r="AF170" s="192"/>
      <c r="AG170" s="79">
        <f ca="1">IF($K170="","",Fest!$H88)</f>
        <v>2</v>
      </c>
      <c r="AH170" s="79">
        <f ca="1">IF($K170="","",Fest!$J88)</f>
        <v>1</v>
      </c>
      <c r="AI170" s="191">
        <f ca="1">IF(Fest!$AY88="","",Fest!$AX88-AI169)</f>
        <v>0</v>
      </c>
      <c r="AJ170" s="195"/>
      <c r="AK170" s="192"/>
      <c r="AL170" s="79">
        <f ca="1">IF($K170="","",Nobody!$H88)</f>
        <v>4</v>
      </c>
      <c r="AM170" s="79">
        <f ca="1">IF($K170="","",Nobody!$J88)</f>
        <v>5</v>
      </c>
      <c r="AN170" s="191">
        <f ca="1">IF(Nobody!$AY88="","",Nobody!$AX88-AN169)</f>
        <v>11</v>
      </c>
      <c r="AO170" s="195"/>
      <c r="AP170" s="192"/>
    </row>
    <row r="171" spans="1:42">
      <c r="B171" s="6"/>
      <c r="C171" s="4"/>
      <c r="G171" s="17"/>
      <c r="H171" s="79"/>
      <c r="I171" s="53"/>
      <c r="J171" s="79"/>
      <c r="L171" s="192"/>
      <c r="M171" s="199" t="str">
        <f ca="1">IF($K172="","",Bernd!$D89)</f>
        <v>Kanada</v>
      </c>
      <c r="N171" s="199" t="str">
        <f ca="1">IF($K172="","",Bernd!$F89)</f>
        <v>Portugal</v>
      </c>
      <c r="O171" s="191">
        <f ca="1">IF(M171="","",IF(AND(M172&lt;&gt;"",$D172=M171),1,0)+IF(AND(N172&lt;&gt;"",$F172=N171),1,0))</f>
        <v>0</v>
      </c>
      <c r="P171" s="195"/>
      <c r="Q171" s="192"/>
      <c r="R171" s="199" t="str">
        <f ca="1">IF($K172="","",Mitspieler!$D89)</f>
        <v>Schweiz</v>
      </c>
      <c r="S171" s="199" t="str">
        <f ca="1">IF($K172="","",Mitspieler!$F89)</f>
        <v>Portugal</v>
      </c>
      <c r="T171" s="191">
        <f ca="1">IF(R171="","",IF(AND(R172&lt;&gt;"",$D172=R171),1,0)+IF(AND(S172&lt;&gt;"",$F172=S171),1,0))</f>
        <v>0</v>
      </c>
      <c r="U171" s="195"/>
      <c r="V171" s="192"/>
      <c r="W171" s="199" t="str">
        <f ca="1">IF($K172="","",Random!$D89)</f>
        <v>Schweiz</v>
      </c>
      <c r="X171" s="199" t="str">
        <f ca="1">IF($K172="","",Random!$F89)</f>
        <v>Kolumbien</v>
      </c>
      <c r="Y171" s="191">
        <f ca="1">IF(W171="","",IF(AND(W172&lt;&gt;"",$D172=W171),1,0)+IF(AND(X172&lt;&gt;"",$F172=X171),1,0))</f>
        <v>0</v>
      </c>
      <c r="Z171" s="195"/>
      <c r="AA171" s="192"/>
      <c r="AB171" s="199" t="str">
        <f ca="1">IF($K172="","",Rangliste!$D89)</f>
        <v>Schweiz</v>
      </c>
      <c r="AC171" s="199" t="str">
        <f ca="1">IF($K172="","",Rangliste!$F89)</f>
        <v>Portugal</v>
      </c>
      <c r="AD171" s="191">
        <f ca="1">IF(AB171="","",IF(AND(AB172&lt;&gt;"",$D172=AB171),1,0)+IF(AND(AC172&lt;&gt;"",$F172=AC171),1,0))</f>
        <v>0</v>
      </c>
      <c r="AE171" s="195"/>
      <c r="AF171" s="192"/>
      <c r="AG171" s="199" t="str">
        <f ca="1">IF($K172="","",Fest!$D89)</f>
        <v>Schweiz</v>
      </c>
      <c r="AH171" s="199" t="str">
        <f ca="1">IF($K172="","",Fest!$F89)</f>
        <v>Kolumbien</v>
      </c>
      <c r="AI171" s="191">
        <f ca="1">IF(AG171="","",IF(AND(AG172&lt;&gt;"",$D172=AG171),1,0)+IF(AND(AH172&lt;&gt;"",$F172=AH171),1,0))</f>
        <v>0</v>
      </c>
      <c r="AJ171" s="195"/>
      <c r="AK171" s="192"/>
      <c r="AL171" s="199" t="str">
        <f ca="1">IF($K172="","",Nobody!$D89)</f>
        <v>Belgien</v>
      </c>
      <c r="AM171" s="199" t="str">
        <f ca="1">IF($K172="","",Nobody!$F89)</f>
        <v>Kroatien</v>
      </c>
      <c r="AN171" s="191">
        <f ca="1">IF(AL171="","",IF(AND(AL172&lt;&gt;"",$D172=AL171),1,0)+IF(AND(AM172&lt;&gt;"",$F172=AM171),1,0))</f>
        <v>2</v>
      </c>
      <c r="AO171" s="195"/>
      <c r="AP171" s="192"/>
    </row>
    <row r="172" spans="1:42">
      <c r="A172" s="2">
        <f>Ergebnisse!A89</f>
        <v>96</v>
      </c>
      <c r="B172" s="6">
        <f>Ergebnisse!B89</f>
        <v>46210.541666666664</v>
      </c>
      <c r="C172" s="4" t="str">
        <f>Ergebnisse!C89</f>
        <v>Vancouver</v>
      </c>
      <c r="D172" s="259" t="str">
        <f ca="1">Ergebnisse!D89</f>
        <v>Belgien</v>
      </c>
      <c r="E172" s="15" t="str">
        <f>Ergebnisse!E89</f>
        <v>-</v>
      </c>
      <c r="F172" s="259" t="str">
        <f ca="1">Ergebnisse!F89</f>
        <v>Kroatien</v>
      </c>
      <c r="G172" s="17">
        <f>Ergebnisse!G89</f>
        <v>0</v>
      </c>
      <c r="H172" s="57">
        <f ca="1">Ergebnisse!H89</f>
        <v>4</v>
      </c>
      <c r="I172" s="80" t="str">
        <f>Ergebnisse!I89</f>
        <v>:</v>
      </c>
      <c r="J172" s="57">
        <f ca="1">Ergebnisse!J89</f>
        <v>3</v>
      </c>
      <c r="K172" s="81" t="str">
        <f ca="1">IF(Ergebnisse!K89="","",Ergebnisse!K89)</f>
        <v>ok</v>
      </c>
      <c r="L172" s="192"/>
      <c r="M172" s="79">
        <f ca="1">IF($K172="","",Bernd!$H89)</f>
        <v>1</v>
      </c>
      <c r="N172" s="79">
        <f ca="1">IF($K172="","",Bernd!$J89)</f>
        <v>3</v>
      </c>
      <c r="O172" s="191">
        <f ca="1">IF(Bernd!$AY89="","",Bernd!$AX89-O171)</f>
        <v>1</v>
      </c>
      <c r="P172" s="195"/>
      <c r="Q172" s="192"/>
      <c r="R172" s="79">
        <f ca="1">IF($K172="","",Mitspieler!$H89)</f>
        <v>1</v>
      </c>
      <c r="S172" s="79">
        <f ca="1">IF($K172="","",Mitspieler!$J89)</f>
        <v>2</v>
      </c>
      <c r="T172" s="191">
        <f ca="1">IF(Mitspieler!$AY89="","",Mitspieler!$AX89-T171)</f>
        <v>0</v>
      </c>
      <c r="U172" s="195"/>
      <c r="V172" s="192"/>
      <c r="W172" s="79">
        <f ca="1">IF($K172="","",Random!$H89)</f>
        <v>0</v>
      </c>
      <c r="X172" s="79">
        <f ca="1">IF($K172="","",Random!$J89)</f>
        <v>1</v>
      </c>
      <c r="Y172" s="191">
        <f ca="1">IF(Random!$AY89="","",Random!$AX89-Y171)</f>
        <v>0</v>
      </c>
      <c r="Z172" s="195"/>
      <c r="AA172" s="192"/>
      <c r="AB172" s="79">
        <f ca="1">IF($K172="","",Rangliste!$H89)</f>
        <v>2</v>
      </c>
      <c r="AC172" s="79">
        <f ca="1">IF($K172="","",Rangliste!$J89)</f>
        <v>3</v>
      </c>
      <c r="AD172" s="191">
        <f ca="1">IF(Rangliste!$AY89="","",Rangliste!$AX89-AD171)</f>
        <v>1</v>
      </c>
      <c r="AE172" s="195"/>
      <c r="AF172" s="192"/>
      <c r="AG172" s="79">
        <f ca="1">IF($K172="","",Fest!$H89)</f>
        <v>2</v>
      </c>
      <c r="AH172" s="79">
        <f ca="1">IF($K172="","",Fest!$J89)</f>
        <v>1</v>
      </c>
      <c r="AI172" s="191">
        <f ca="1">IF(Fest!$AY89="","",Fest!$AX89-AI171)</f>
        <v>7</v>
      </c>
      <c r="AJ172" s="195"/>
      <c r="AK172" s="192"/>
      <c r="AL172" s="79">
        <f ca="1">IF($K172="","",Nobody!$H89)</f>
        <v>4</v>
      </c>
      <c r="AM172" s="79">
        <f ca="1">IF($K172="","",Nobody!$J89)</f>
        <v>3</v>
      </c>
      <c r="AN172" s="191">
        <f ca="1">IF(Nobody!$AY89="","",Nobody!$AX89-AN171)</f>
        <v>11</v>
      </c>
      <c r="AO172" s="195"/>
      <c r="AP172" s="192"/>
    </row>
    <row r="173" spans="1:42">
      <c r="H173" s="2"/>
      <c r="I173" s="2"/>
      <c r="J173" s="2"/>
      <c r="L173" s="30"/>
      <c r="M173" s="81"/>
      <c r="N173" s="81"/>
      <c r="O173" s="191"/>
      <c r="P173" s="195"/>
      <c r="Q173" s="30"/>
      <c r="R173" s="81"/>
      <c r="S173" s="81"/>
      <c r="T173" s="191"/>
      <c r="U173" s="195"/>
      <c r="V173" s="30"/>
      <c r="W173" s="81"/>
      <c r="X173" s="81"/>
      <c r="Y173" s="191"/>
      <c r="Z173" s="195"/>
      <c r="AA173" s="30"/>
      <c r="AB173" s="81"/>
      <c r="AC173" s="81"/>
      <c r="AD173" s="191"/>
      <c r="AE173" s="195"/>
      <c r="AF173" s="30"/>
      <c r="AG173" s="81"/>
      <c r="AH173" s="81"/>
      <c r="AI173" s="191"/>
      <c r="AJ173" s="195"/>
      <c r="AK173" s="30"/>
      <c r="AL173" s="81"/>
      <c r="AM173" s="81"/>
      <c r="AN173" s="191"/>
      <c r="AO173" s="195"/>
      <c r="AP173" s="30"/>
    </row>
    <row r="174" spans="1:42">
      <c r="A174" s="10"/>
      <c r="B174" s="39" t="str">
        <f>Ergebnisse!BB80</f>
        <v>Viertelfinale</v>
      </c>
      <c r="C174" s="21"/>
      <c r="G174" s="17"/>
      <c r="H174" s="79"/>
      <c r="I174" s="53"/>
      <c r="J174" s="79"/>
      <c r="L174" s="190"/>
      <c r="M174" s="81"/>
      <c r="N174" s="81"/>
      <c r="O174" s="191"/>
      <c r="P174" s="195"/>
      <c r="Q174" s="190"/>
      <c r="R174" s="81"/>
      <c r="S174" s="81"/>
      <c r="T174" s="191"/>
      <c r="U174" s="195"/>
      <c r="V174" s="190"/>
      <c r="W174" s="81"/>
      <c r="X174" s="81"/>
      <c r="Y174" s="191"/>
      <c r="Z174" s="195"/>
      <c r="AA174" s="190"/>
      <c r="AB174" s="81"/>
      <c r="AC174" s="81"/>
      <c r="AD174" s="191"/>
      <c r="AE174" s="195"/>
      <c r="AF174" s="190"/>
      <c r="AG174" s="81"/>
      <c r="AH174" s="81"/>
      <c r="AI174" s="191"/>
      <c r="AJ174" s="195"/>
      <c r="AK174" s="190"/>
      <c r="AL174" s="81"/>
      <c r="AM174" s="81"/>
      <c r="AN174" s="191"/>
      <c r="AO174" s="195"/>
      <c r="AP174" s="190"/>
    </row>
    <row r="175" spans="1:42">
      <c r="A175" s="10"/>
      <c r="B175" s="39"/>
      <c r="C175" s="21"/>
      <c r="D175" s="14"/>
      <c r="E175" s="14"/>
      <c r="F175" s="14"/>
      <c r="G175" s="17"/>
      <c r="H175" s="79"/>
      <c r="I175" s="53"/>
      <c r="J175" s="79"/>
      <c r="L175" s="190"/>
      <c r="M175" s="199" t="str">
        <f ca="1">IF($K176="","",Bernd!$BD82)</f>
        <v>Deutschland</v>
      </c>
      <c r="N175" s="199" t="str">
        <f ca="1">IF($K176="","",Bernd!$BF82)</f>
        <v>Japan</v>
      </c>
      <c r="O175" s="191">
        <f ca="1">IF(M175="","",COUNTIF($D$176:$F$182,M175)+COUNTIF($D$176:$F$182,N175)+IF(AND(M176&lt;&gt;"",$D176=M175),1,0)+IF(AND(N176&lt;&gt;"",$F176=N175),1,0))</f>
        <v>0</v>
      </c>
      <c r="P175" s="195"/>
      <c r="Q175" s="190"/>
      <c r="R175" s="199" t="str">
        <f ca="1">IF($K176="","",Mitspieler!$BD82)</f>
        <v>Frankreich</v>
      </c>
      <c r="S175" s="199" t="str">
        <f ca="1">IF($K176="","",Mitspieler!$BF82)</f>
        <v>Niederlande</v>
      </c>
      <c r="T175" s="191">
        <f ca="1">IF(R175="","",COUNTIF($D$176:$F$182,R175)+COUNTIF($D$176:$F$182,S175)+IF(AND(R176&lt;&gt;"",$D176=R175),1,0)+IF(AND(S176&lt;&gt;"",$F176=S175),1,0))</f>
        <v>2</v>
      </c>
      <c r="U175" s="195"/>
      <c r="V175" s="190"/>
      <c r="W175" s="199" t="str">
        <f ca="1">IF($K176="","",Random!$BD82)</f>
        <v>Türkei</v>
      </c>
      <c r="X175" s="199" t="str">
        <f ca="1">IF($K176="","",Random!$BF82)</f>
        <v>Südkorea</v>
      </c>
      <c r="Y175" s="191">
        <f ca="1">IF(W175="","",COUNTIF($D$176:$F$182,W175)+COUNTIF($D$176:$F$182,X175)+IF(AND(W176&lt;&gt;"",$D176=W175),1,0)+IF(AND(X176&lt;&gt;"",$F176=X175),1,0))</f>
        <v>0</v>
      </c>
      <c r="Z175" s="195"/>
      <c r="AA175" s="190"/>
      <c r="AB175" s="199" t="str">
        <f ca="1">IF($K176="","",Rangliste!$BD82)</f>
        <v>Frankreich</v>
      </c>
      <c r="AC175" s="199" t="str">
        <f ca="1">IF($K176="","",Rangliste!$BF82)</f>
        <v>Niederlande</v>
      </c>
      <c r="AD175" s="191">
        <f ca="1">IF(AB175="","",COUNTIF($D$176:$F$182,AB175)+COUNTIF($D$176:$F$182,AC175)+IF(AND(AB176&lt;&gt;"",$D176=AB175),1,0)+IF(AND(AC176&lt;&gt;"",$F176=AC175),1,0))</f>
        <v>2</v>
      </c>
      <c r="AE175" s="195"/>
      <c r="AF175" s="190"/>
      <c r="AG175" s="199" t="str">
        <f ca="1">IF($K176="","",Fest!$BD82)</f>
        <v>Ecuador</v>
      </c>
      <c r="AH175" s="199" t="str">
        <f ca="1">IF($K176="","",Fest!$BF82)</f>
        <v>Mexiko</v>
      </c>
      <c r="AI175" s="191">
        <f ca="1">IF(AG175="","",COUNTIF($D$176:$F$182,AG175)+COUNTIF($D$176:$F$182,AH175)+IF(AND(AG176&lt;&gt;"",$D176=AG175),1,0)+IF(AND(AH176&lt;&gt;"",$F176=AH175),1,0))</f>
        <v>0</v>
      </c>
      <c r="AJ175" s="195"/>
      <c r="AK175" s="190"/>
      <c r="AL175" s="199" t="str">
        <f ca="1">IF($K176="","",Nobody!$BD82)</f>
        <v>Frankreich</v>
      </c>
      <c r="AM175" s="199" t="str">
        <f ca="1">IF($K176="","",Nobody!$BF82)</f>
        <v>Haiti</v>
      </c>
      <c r="AN175" s="191">
        <f ca="1">IF(AL175="","",COUNTIF($D$176:$F$182,AL175)+COUNTIF($D$176:$F$182,AM175)+IF(AND(AL176&lt;&gt;"",$D176=AL175),1,0)+IF(AND(AM176&lt;&gt;"",$F176=AM175),1,0))</f>
        <v>4</v>
      </c>
      <c r="AO175" s="195"/>
      <c r="AP175" s="190"/>
    </row>
    <row r="176" spans="1:42">
      <c r="A176" s="2">
        <f>Ergebnisse!BA82</f>
        <v>97</v>
      </c>
      <c r="B176" s="6">
        <f>Ergebnisse!BB82</f>
        <v>46212.666666666664</v>
      </c>
      <c r="C176" s="4" t="str">
        <f>Ergebnisse!BC82</f>
        <v>Boston</v>
      </c>
      <c r="D176" s="41" t="str">
        <f ca="1">Ergebnisse!BD82</f>
        <v>Frankreich</v>
      </c>
      <c r="E176" s="15" t="str">
        <f>Ergebnisse!BE82</f>
        <v>-</v>
      </c>
      <c r="F176" s="41" t="str">
        <f ca="1">Ergebnisse!BF82</f>
        <v>Haiti</v>
      </c>
      <c r="G176" s="17">
        <f>Ergebnisse!BG82</f>
        <v>0</v>
      </c>
      <c r="H176" s="57">
        <f ca="1">Ergebnisse!BH82</f>
        <v>3</v>
      </c>
      <c r="I176" s="80" t="str">
        <f>Ergebnisse!BI82</f>
        <v>:</v>
      </c>
      <c r="J176" s="57">
        <f ca="1">Ergebnisse!BJ82</f>
        <v>2</v>
      </c>
      <c r="K176" s="81" t="str">
        <f ca="1">IF(Ergebnisse!BK82="","",Ergebnisse!BK82)</f>
        <v>ok</v>
      </c>
      <c r="L176" s="192"/>
      <c r="M176" s="79">
        <f ca="1">IF($K176="","",Bernd!$BH82)</f>
        <v>3</v>
      </c>
      <c r="N176" s="79">
        <f ca="1">IF($K176="","",Bernd!$BJ82)</f>
        <v>2</v>
      </c>
      <c r="O176" s="191">
        <f ca="1">IF(Bernd!$CY82="","",Bernd!$CX82-O175)</f>
        <v>9</v>
      </c>
      <c r="P176" s="195"/>
      <c r="Q176" s="192"/>
      <c r="R176" s="79">
        <f ca="1">IF($K176="","",Mitspieler!$BH82)</f>
        <v>2</v>
      </c>
      <c r="S176" s="79">
        <f ca="1">IF($K176="","",Mitspieler!$BJ82)</f>
        <v>1</v>
      </c>
      <c r="T176" s="191">
        <f ca="1">IF(Mitspieler!$CY82="","",Mitspieler!$CX82-T175)</f>
        <v>8</v>
      </c>
      <c r="U176" s="195"/>
      <c r="V176" s="192"/>
      <c r="W176" s="79">
        <f ca="1">IF($K176="","",Random!$BH82)</f>
        <v>2</v>
      </c>
      <c r="X176" s="79">
        <f ca="1">IF($K176="","",Random!$BJ82)</f>
        <v>1</v>
      </c>
      <c r="Y176" s="191">
        <f ca="1">IF(Random!$CY82="","",Random!$CX82-Y175)</f>
        <v>7</v>
      </c>
      <c r="Z176" s="195"/>
      <c r="AA176" s="192"/>
      <c r="AB176" s="79">
        <f ca="1">IF($K176="","",Rangliste!$BH82)</f>
        <v>1</v>
      </c>
      <c r="AC176" s="79">
        <f ca="1">IF($K176="","",Rangliste!$BJ82)</f>
        <v>0</v>
      </c>
      <c r="AD176" s="191">
        <f ca="1">IF(Rangliste!$CY82="","",Rangliste!$CX82-AD175)</f>
        <v>8</v>
      </c>
      <c r="AE176" s="195"/>
      <c r="AF176" s="192"/>
      <c r="AG176" s="79">
        <f ca="1">IF($K176="","",Fest!$BH82)</f>
        <v>2</v>
      </c>
      <c r="AH176" s="79">
        <f ca="1">IF($K176="","",Fest!$BJ82)</f>
        <v>1</v>
      </c>
      <c r="AI176" s="191">
        <f ca="1">IF(Fest!$CY82="","",Fest!$CX82-AI175)</f>
        <v>7</v>
      </c>
      <c r="AJ176" s="195"/>
      <c r="AK176" s="192"/>
      <c r="AL176" s="79">
        <f ca="1">IF($K176="","",Nobody!$BH82)</f>
        <v>3</v>
      </c>
      <c r="AM176" s="79">
        <f ca="1">IF($K176="","",Nobody!$BJ82)</f>
        <v>2</v>
      </c>
      <c r="AN176" s="191">
        <f ca="1">IF(Nobody!$CY82="","",Nobody!$CX82-AN175)</f>
        <v>11</v>
      </c>
      <c r="AO176" s="195"/>
      <c r="AP176" s="192"/>
    </row>
    <row r="177" spans="1:42">
      <c r="B177" s="6"/>
      <c r="C177" s="4"/>
      <c r="G177" s="17"/>
      <c r="H177" s="79"/>
      <c r="I177" s="53"/>
      <c r="J177" s="79"/>
      <c r="L177" s="192"/>
      <c r="M177" s="199" t="str">
        <f ca="1">IF($K178="","",Bernd!$BD83)</f>
        <v>Spanien</v>
      </c>
      <c r="N177" s="199" t="str">
        <f ca="1">IF($K180="","",Bernd!$BF83)</f>
        <v>Belgien</v>
      </c>
      <c r="O177" s="191">
        <f ca="1">IF(M177="","",COUNTIF($D$176:$F$182,M177)+COUNTIF($D$176:$F$182,N177)+IF(AND(M178&lt;&gt;"",$D178=M177),1,0)+IF(AND(N178&lt;&gt;"",$F178=N177),1,0))</f>
        <v>1</v>
      </c>
      <c r="P177" s="195"/>
      <c r="Q177" s="192"/>
      <c r="R177" s="199" t="str">
        <f ca="1">IF($K178="","",Mitspieler!$BD83)</f>
        <v>Spanien</v>
      </c>
      <c r="S177" s="199" t="str">
        <f ca="1">IF($K180="","",Mitspieler!$BF83)</f>
        <v>Belgien</v>
      </c>
      <c r="T177" s="191">
        <f ca="1">IF(R177="","",COUNTIF($D$176:$F$182,R177)+COUNTIF($D$176:$F$182,S177)+IF(AND(R178&lt;&gt;"",$D178=R177),1,0)+IF(AND(S178&lt;&gt;"",$F178=S177),1,0))</f>
        <v>1</v>
      </c>
      <c r="U177" s="195"/>
      <c r="V177" s="192"/>
      <c r="W177" s="199" t="str">
        <f ca="1">IF($K178="","",Random!$BD83)</f>
        <v>Panama</v>
      </c>
      <c r="X177" s="199" t="str">
        <f ca="1">IF($K180="","",Random!$BF83)</f>
        <v>Mexiko</v>
      </c>
      <c r="Y177" s="191">
        <f ca="1">IF(W177="","",COUNTIF($D$176:$F$182,W177)+COUNTIF($D$176:$F$182,X177)+IF(AND(W178&lt;&gt;"",$D178=W177),1,0)+IF(AND(X178&lt;&gt;"",$F178=X177),1,0))</f>
        <v>2</v>
      </c>
      <c r="Z177" s="195"/>
      <c r="AA177" s="192"/>
      <c r="AB177" s="199" t="str">
        <f ca="1">IF($K178="","",Rangliste!$BD83)</f>
        <v>Spanien</v>
      </c>
      <c r="AC177" s="199" t="str">
        <f ca="1">IF($K180="","",Rangliste!$BF83)</f>
        <v>Belgien</v>
      </c>
      <c r="AD177" s="191">
        <f ca="1">IF(AB177="","",COUNTIF($D$176:$F$182,AB177)+COUNTIF($D$176:$F$182,AC177)+IF(AND(AB178&lt;&gt;"",$D178=AB177),1,0)+IF(AND(AC178&lt;&gt;"",$F178=AC177),1,0))</f>
        <v>1</v>
      </c>
      <c r="AE177" s="195"/>
      <c r="AF177" s="192"/>
      <c r="AG177" s="199" t="str">
        <f ca="1">IF($K178="","",Fest!$BD83)</f>
        <v>Portugal</v>
      </c>
      <c r="AH177" s="199" t="str">
        <f ca="1">IF($K180="","",Fest!$BF83)</f>
        <v>Türkei</v>
      </c>
      <c r="AI177" s="191">
        <f ca="1">IF(AG177="","",COUNTIF($D$176:$F$182,AG177)+COUNTIF($D$176:$F$182,AH177)+IF(AND(AG178&lt;&gt;"",$D178=AG177),1,0)+IF(AND(AH178&lt;&gt;"",$F178=AH177),1,0))</f>
        <v>0</v>
      </c>
      <c r="AJ177" s="195"/>
      <c r="AK177" s="192"/>
      <c r="AL177" s="199" t="str">
        <f ca="1">IF($K178="","",Nobody!$BD83)</f>
        <v>Panama</v>
      </c>
      <c r="AM177" s="199" t="str">
        <f ca="1">IF($K180="","",Nobody!$BF83)</f>
        <v>Neuseeland</v>
      </c>
      <c r="AN177" s="191">
        <f ca="1">IF(AL177="","",COUNTIF($D$176:$F$182,AL177)+COUNTIF($D$176:$F$182,AM177)+IF(AND(AL178&lt;&gt;"",$D178=AL177),1,0)+IF(AND(AM178&lt;&gt;"",$F178=AM177),1,0))</f>
        <v>4</v>
      </c>
      <c r="AO177" s="195"/>
      <c r="AP177" s="192"/>
    </row>
    <row r="178" spans="1:42" s="10" customFormat="1">
      <c r="A178" s="2">
        <f>Ergebnisse!BA83</f>
        <v>98</v>
      </c>
      <c r="B178" s="6">
        <f>Ergebnisse!BB83</f>
        <v>46213.5</v>
      </c>
      <c r="C178" s="4" t="str">
        <f>Ergebnisse!BC83</f>
        <v>Los Angeles</v>
      </c>
      <c r="D178" s="70" t="str">
        <f ca="1">Ergebnisse!BD83</f>
        <v>Panama</v>
      </c>
      <c r="E178" s="40" t="str">
        <f>Ergebnisse!BE83</f>
        <v>-</v>
      </c>
      <c r="F178" s="70" t="str">
        <f ca="1">Ergebnisse!BF83</f>
        <v>Neuseeland</v>
      </c>
      <c r="G178" s="17">
        <f>Ergebnisse!BG83</f>
        <v>0</v>
      </c>
      <c r="H178" s="57">
        <f ca="1">Ergebnisse!BH83</f>
        <v>3</v>
      </c>
      <c r="I178" s="80" t="str">
        <f>Ergebnisse!BI83</f>
        <v>:</v>
      </c>
      <c r="J178" s="57">
        <f ca="1">Ergebnisse!BJ83</f>
        <v>2</v>
      </c>
      <c r="K178" s="81" t="str">
        <f ca="1">IF(Ergebnisse!BK83="","",Ergebnisse!BK83)</f>
        <v>ok</v>
      </c>
      <c r="L178" s="192"/>
      <c r="M178" s="79">
        <f ca="1">IF($K178="","",Bernd!$BH83)</f>
        <v>4</v>
      </c>
      <c r="N178" s="79">
        <f ca="1">IF($K180="","",Bernd!$BJ83)</f>
        <v>2</v>
      </c>
      <c r="O178" s="191">
        <f ca="1">IF(Bernd!$CY83="","",Bernd!$CX83-O177)</f>
        <v>8</v>
      </c>
      <c r="P178" s="195"/>
      <c r="Q178" s="192"/>
      <c r="R178" s="79">
        <f ca="1">IF($K178="","",Mitspieler!$BH83)</f>
        <v>2</v>
      </c>
      <c r="S178" s="79">
        <f ca="1">IF($K180="","",Mitspieler!$BJ83)</f>
        <v>1</v>
      </c>
      <c r="T178" s="191">
        <f ca="1">IF(Mitspieler!$CY83="","",Mitspieler!$CX83-T177)</f>
        <v>7</v>
      </c>
      <c r="U178" s="195"/>
      <c r="V178" s="192"/>
      <c r="W178" s="79">
        <f ca="1">IF($K178="","",Random!$BH83)</f>
        <v>2</v>
      </c>
      <c r="X178" s="79">
        <f ca="1">IF($K180="","",Random!$BJ83)</f>
        <v>3</v>
      </c>
      <c r="Y178" s="191">
        <f ca="1">IF(Random!$CY83="","",Random!$CX83-Y177)</f>
        <v>1</v>
      </c>
      <c r="Z178" s="195"/>
      <c r="AA178" s="192"/>
      <c r="AB178" s="79">
        <f ca="1">IF($K178="","",Rangliste!$BH83)</f>
        <v>2</v>
      </c>
      <c r="AC178" s="79">
        <f ca="1">IF($K180="","",Rangliste!$BJ83)</f>
        <v>1</v>
      </c>
      <c r="AD178" s="191">
        <f ca="1">IF(Rangliste!$CY83="","",Rangliste!$CX83-AD177)</f>
        <v>7</v>
      </c>
      <c r="AE178" s="195"/>
      <c r="AF178" s="192"/>
      <c r="AG178" s="79">
        <f ca="1">IF($K178="","",Fest!$BH83)</f>
        <v>2</v>
      </c>
      <c r="AH178" s="79">
        <f ca="1">IF($K180="","",Fest!$BJ83)</f>
        <v>1</v>
      </c>
      <c r="AI178" s="191">
        <f ca="1">IF(Fest!$CY83="","",Fest!$CX83-AI177)</f>
        <v>7</v>
      </c>
      <c r="AJ178" s="195"/>
      <c r="AK178" s="192"/>
      <c r="AL178" s="79">
        <f ca="1">IF($K178="","",Nobody!$BH83)</f>
        <v>3</v>
      </c>
      <c r="AM178" s="79">
        <f ca="1">IF($K180="","",Nobody!$BJ83)</f>
        <v>2</v>
      </c>
      <c r="AN178" s="191">
        <f ca="1">IF(Nobody!$CY83="","",Nobody!$CX83-AN177)</f>
        <v>11</v>
      </c>
      <c r="AO178" s="195"/>
      <c r="AP178" s="192"/>
    </row>
    <row r="179" spans="1:42" s="10" customFormat="1">
      <c r="A179" s="2"/>
      <c r="B179" s="6"/>
      <c r="C179" s="4"/>
      <c r="D179" s="2"/>
      <c r="E179" s="2"/>
      <c r="F179" s="2"/>
      <c r="G179" s="17"/>
      <c r="H179" s="79"/>
      <c r="I179" s="53"/>
      <c r="J179" s="79"/>
      <c r="L179" s="192"/>
      <c r="M179" s="199" t="str">
        <f ca="1">IF($K180="","",Bernd!$BD84)</f>
        <v>Frankreich</v>
      </c>
      <c r="N179" s="199" t="str">
        <f ca="1">IF($K180="","",Bernd!$BF84)</f>
        <v>Mexiko</v>
      </c>
      <c r="O179" s="191">
        <f ca="1">IF(M179="","",COUNTIF($D$176:$F$182,M179)+COUNTIF($D$176:$F$182,N179)+IF(AND(M180&lt;&gt;"",$D180=M179),1,0)+IF(AND(N180&lt;&gt;"",$F180=N179),1,0))</f>
        <v>1</v>
      </c>
      <c r="P179" s="195"/>
      <c r="Q179" s="192"/>
      <c r="R179" s="199" t="str">
        <f ca="1">IF($K180="","",Mitspieler!$BD84)</f>
        <v>Japan</v>
      </c>
      <c r="S179" s="199" t="str">
        <f ca="1">IF($K180="","",Mitspieler!$BF84)</f>
        <v>Mexiko</v>
      </c>
      <c r="T179" s="191">
        <f ca="1">IF(R179="","",COUNTIF($D$176:$F$182,R179)+COUNTIF($D$176:$F$182,S179)+IF(AND(R180&lt;&gt;"",$D180=R179),1,0)+IF(AND(S180&lt;&gt;"",$F180=S179),1,0))</f>
        <v>0</v>
      </c>
      <c r="U179" s="195"/>
      <c r="V179" s="192"/>
      <c r="W179" s="199" t="str">
        <f ca="1">IF($K180="","",Random!$BD84)</f>
        <v>Irak</v>
      </c>
      <c r="X179" s="199" t="str">
        <f ca="1">IF($K180="","",Random!$BF84)</f>
        <v>Frankreich</v>
      </c>
      <c r="Y179" s="191">
        <f ca="1">IF(W179="","",COUNTIF($D$176:$F$182,W179)+COUNTIF($D$176:$F$182,X179)+IF(AND(W180&lt;&gt;"",$D180=W179),1,0)+IF(AND(X180&lt;&gt;"",$F180=X179),1,0))</f>
        <v>1</v>
      </c>
      <c r="Z179" s="195"/>
      <c r="AA179" s="192"/>
      <c r="AB179" s="199" t="str">
        <f ca="1">IF($K180="","",Rangliste!$BD84)</f>
        <v>Brasilien</v>
      </c>
      <c r="AC179" s="199" t="str">
        <f ca="1">IF($K180="","",Rangliste!$BF84)</f>
        <v>England</v>
      </c>
      <c r="AD179" s="191">
        <f ca="1">IF(AB179="","",COUNTIF($D$176:$F$182,AB179)+COUNTIF($D$176:$F$182,AC179)+IF(AND(AB180&lt;&gt;"",$D180=AB179),1,0)+IF(AND(AC180&lt;&gt;"",$F180=AC179),1,0))</f>
        <v>0</v>
      </c>
      <c r="AE179" s="195"/>
      <c r="AF179" s="192"/>
      <c r="AG179" s="199" t="str">
        <f ca="1">IF($K180="","",Fest!$BD84)</f>
        <v>Schottland</v>
      </c>
      <c r="AH179" s="199" t="str">
        <f ca="1">IF($K180="","",Fest!$BF84)</f>
        <v>Tschechien</v>
      </c>
      <c r="AI179" s="191">
        <f ca="1">IF(AG179="","",COUNTIF($D$176:$F$182,AG179)+COUNTIF($D$176:$F$182,AH179)+IF(AND(AG180&lt;&gt;"",$D180=AG179),1,0)+IF(AND(AH180&lt;&gt;"",$F180=AH179),1,0))</f>
        <v>0</v>
      </c>
      <c r="AJ179" s="195"/>
      <c r="AK179" s="192"/>
      <c r="AL179" s="199" t="str">
        <f ca="1">IF($K180="","",Nobody!$BD84)</f>
        <v>Elfenbeinküste</v>
      </c>
      <c r="AM179" s="199" t="str">
        <f ca="1">IF($K180="","",Nobody!$BF84)</f>
        <v>Südafrika</v>
      </c>
      <c r="AN179" s="191">
        <f ca="1">IF(AL179="","",COUNTIF($D$176:$F$182,AL179)+COUNTIF($D$176:$F$182,AM179)+IF(AND(AL180&lt;&gt;"",$D180=AL179),1,0)+IF(AND(AM180&lt;&gt;"",$F180=AM179),1,0))</f>
        <v>4</v>
      </c>
      <c r="AO179" s="195"/>
      <c r="AP179" s="192"/>
    </row>
    <row r="180" spans="1:42">
      <c r="A180" s="2">
        <f>Ergebnisse!BA84</f>
        <v>99</v>
      </c>
      <c r="B180" s="6">
        <f>Ergebnisse!BB84</f>
        <v>46214.708333333336</v>
      </c>
      <c r="C180" s="4" t="str">
        <f>Ergebnisse!BC84</f>
        <v>Miami</v>
      </c>
      <c r="D180" s="45" t="str">
        <f ca="1">Ergebnisse!BD84</f>
        <v>Elfenbeinküste</v>
      </c>
      <c r="E180" s="40" t="str">
        <f>Ergebnisse!BE84</f>
        <v>-</v>
      </c>
      <c r="F180" s="45" t="str">
        <f ca="1">Ergebnisse!BF84</f>
        <v>Südafrika</v>
      </c>
      <c r="G180" s="17">
        <f>Ergebnisse!BG84</f>
        <v>0</v>
      </c>
      <c r="H180" s="57">
        <f ca="1">Ergebnisse!BH84</f>
        <v>4</v>
      </c>
      <c r="I180" s="80" t="str">
        <f>Ergebnisse!BI84</f>
        <v>:</v>
      </c>
      <c r="J180" s="57">
        <f ca="1">Ergebnisse!BJ84</f>
        <v>5</v>
      </c>
      <c r="K180" s="81" t="str">
        <f ca="1">IF(Ergebnisse!BK84="","",Ergebnisse!BK84)</f>
        <v>ok</v>
      </c>
      <c r="L180" s="192"/>
      <c r="M180" s="79">
        <f ca="1">IF($K180="","",Bernd!$BH84)</f>
        <v>3</v>
      </c>
      <c r="N180" s="79">
        <f ca="1">IF($K180="","",Bernd!$BJ84)</f>
        <v>1</v>
      </c>
      <c r="O180" s="191">
        <f ca="1">IF(Bernd!$CY84="","",Bernd!$CX84-O179)</f>
        <v>0</v>
      </c>
      <c r="P180" s="195"/>
      <c r="Q180" s="192"/>
      <c r="R180" s="79">
        <f ca="1">IF($K180="","",Mitspieler!$BH84)</f>
        <v>3</v>
      </c>
      <c r="S180" s="79">
        <f ca="1">IF($K180="","",Mitspieler!$BJ84)</f>
        <v>4</v>
      </c>
      <c r="T180" s="191">
        <f ca="1">IF(Mitspieler!$CY84="","",Mitspieler!$CX84-T179)</f>
        <v>7</v>
      </c>
      <c r="U180" s="195"/>
      <c r="V180" s="192"/>
      <c r="W180" s="79">
        <f ca="1">IF($K180="","",Random!$BH84)</f>
        <v>3</v>
      </c>
      <c r="X180" s="79">
        <f ca="1">IF($K180="","",Random!$BJ84)</f>
        <v>2</v>
      </c>
      <c r="Y180" s="191">
        <f ca="1">IF(Random!$CY84="","",Random!$CX84-Y179)</f>
        <v>0</v>
      </c>
      <c r="Z180" s="195"/>
      <c r="AA180" s="192"/>
      <c r="AB180" s="79">
        <f ca="1">IF($K180="","",Rangliste!$BH84)</f>
        <v>1</v>
      </c>
      <c r="AC180" s="79">
        <f ca="1">IF($K180="","",Rangliste!$BJ84)</f>
        <v>2</v>
      </c>
      <c r="AD180" s="191">
        <f ca="1">IF(Rangliste!$CY84="","",Rangliste!$CX84-AD179)</f>
        <v>7</v>
      </c>
      <c r="AE180" s="195"/>
      <c r="AF180" s="192"/>
      <c r="AG180" s="79">
        <f ca="1">IF($K180="","",Fest!$BH84)</f>
        <v>2</v>
      </c>
      <c r="AH180" s="79">
        <f ca="1">IF($K180="","",Fest!$BJ84)</f>
        <v>1</v>
      </c>
      <c r="AI180" s="191">
        <f ca="1">IF(Fest!$CY84="","",Fest!$CX84-AI179)</f>
        <v>0</v>
      </c>
      <c r="AJ180" s="195"/>
      <c r="AK180" s="192"/>
      <c r="AL180" s="79">
        <f ca="1">IF($K180="","",Nobody!$BH84)</f>
        <v>4</v>
      </c>
      <c r="AM180" s="79">
        <f ca="1">IF($K180="","",Nobody!$BJ84)</f>
        <v>5</v>
      </c>
      <c r="AN180" s="191">
        <f ca="1">IF(Nobody!$CY84="","",Nobody!$CX84-AN179)</f>
        <v>11</v>
      </c>
      <c r="AO180" s="195"/>
      <c r="AP180" s="192"/>
    </row>
    <row r="181" spans="1:42">
      <c r="B181" s="6"/>
      <c r="C181" s="4"/>
      <c r="G181" s="17"/>
      <c r="H181" s="79"/>
      <c r="I181" s="53"/>
      <c r="J181" s="79"/>
      <c r="L181" s="192"/>
      <c r="M181" s="199" t="str">
        <f ca="1">IF($K182="","",Bernd!$BD85)</f>
        <v>Argentinien</v>
      </c>
      <c r="N181" s="199" t="str">
        <f ca="1">IF($K182="","",Bernd!$BF85)</f>
        <v>Portugal</v>
      </c>
      <c r="O181" s="191">
        <f ca="1">IF(M181="","",COUNTIF($D$176:$F$182,M181)+COUNTIF($D$176:$F$182,N181)+IF(AND(M182&lt;&gt;"",$D182=M181),1,0)+IF(AND(N182&lt;&gt;"",$F182=N181),1,0))</f>
        <v>0</v>
      </c>
      <c r="P181" s="195"/>
      <c r="Q181" s="192"/>
      <c r="R181" s="199" t="str">
        <f ca="1">IF($K182="","",Mitspieler!$BD85)</f>
        <v>Argentinien</v>
      </c>
      <c r="S181" s="199" t="str">
        <f ca="1">IF($K182="","",Mitspieler!$BF85)</f>
        <v>Portugal</v>
      </c>
      <c r="T181" s="191">
        <f ca="1">IF(R181="","",COUNTIF($D$176:$F$182,R181)+COUNTIF($D$176:$F$182,S181)+IF(AND(R182&lt;&gt;"",$D182=R181),1,0)+IF(AND(S182&lt;&gt;"",$F182=S181),1,0))</f>
        <v>0</v>
      </c>
      <c r="U181" s="195"/>
      <c r="V181" s="192"/>
      <c r="W181" s="199" t="str">
        <f ca="1">IF($K182="","",Random!$BD85)</f>
        <v>Paraguay</v>
      </c>
      <c r="X181" s="199" t="str">
        <f ca="1">IF($K182="","",Random!$BF85)</f>
        <v>Kolumbien</v>
      </c>
      <c r="Y181" s="191">
        <f ca="1">IF(W181="","",COUNTIF($D$176:$F$182,W181)+COUNTIF($D$176:$F$182,X181)+IF(AND(W182&lt;&gt;"",$D182=W181),1,0)+IF(AND(X182&lt;&gt;"",$F182=X181),1,0))</f>
        <v>0</v>
      </c>
      <c r="Z181" s="195"/>
      <c r="AA181" s="192"/>
      <c r="AB181" s="199" t="str">
        <f ca="1">IF($K182="","",Rangliste!$BD85)</f>
        <v>Argentinien</v>
      </c>
      <c r="AC181" s="199" t="str">
        <f ca="1">IF($K182="","",Rangliste!$BF85)</f>
        <v>Portugal</v>
      </c>
      <c r="AD181" s="191">
        <f ca="1">IF(AB181="","",COUNTIF($D$176:$F$182,AB181)+COUNTIF($D$176:$F$182,AC181)+IF(AND(AB182&lt;&gt;"",$D182=AB181),1,0)+IF(AND(AC182&lt;&gt;"",$F182=AC181),1,0))</f>
        <v>0</v>
      </c>
      <c r="AE181" s="195"/>
      <c r="AF181" s="192"/>
      <c r="AG181" s="199" t="str">
        <f ca="1">IF($K182="","",Fest!$BD85)</f>
        <v>Jordanien</v>
      </c>
      <c r="AH181" s="199" t="str">
        <f ca="1">IF($K182="","",Fest!$BF85)</f>
        <v>Schweiz</v>
      </c>
      <c r="AI181" s="191">
        <f ca="1">IF(AG181="","",COUNTIF($D$176:$F$182,AG181)+COUNTIF($D$176:$F$182,AH181)+IF(AND(AG182&lt;&gt;"",$D182=AG181),1,0)+IF(AND(AH182&lt;&gt;"",$F182=AH181),1,0))</f>
        <v>0</v>
      </c>
      <c r="AJ181" s="195"/>
      <c r="AK181" s="192"/>
      <c r="AL181" s="199" t="str">
        <f ca="1">IF($K182="","",Nobody!$BD85)</f>
        <v>Australien</v>
      </c>
      <c r="AM181" s="199" t="str">
        <f ca="1">IF($K182="","",Nobody!$BF85)</f>
        <v>Belgien</v>
      </c>
      <c r="AN181" s="191">
        <f ca="1">IF(AL181="","",COUNTIF($D$176:$F$182,AL181)+COUNTIF($D$176:$F$182,AM181)+IF(AND(AL182&lt;&gt;"",$D182=AL181),1,0)+IF(AND(AM182&lt;&gt;"",$F182=AM181),1,0))</f>
        <v>4</v>
      </c>
      <c r="AO181" s="195"/>
      <c r="AP181" s="192"/>
    </row>
    <row r="182" spans="1:42">
      <c r="A182" s="2">
        <f>Ergebnisse!BA85</f>
        <v>100</v>
      </c>
      <c r="B182" s="6">
        <f>Ergebnisse!BB85</f>
        <v>46214.833333333336</v>
      </c>
      <c r="C182" s="4" t="str">
        <f>Ergebnisse!BC85</f>
        <v>Kansas City</v>
      </c>
      <c r="D182" s="43" t="str">
        <f ca="1">Ergebnisse!BD85</f>
        <v>Australien</v>
      </c>
      <c r="E182" s="15" t="str">
        <f>Ergebnisse!BE85</f>
        <v>-</v>
      </c>
      <c r="F182" s="43" t="str">
        <f ca="1">Ergebnisse!BF85</f>
        <v>Belgien</v>
      </c>
      <c r="G182" s="17">
        <f>Ergebnisse!BG85</f>
        <v>0</v>
      </c>
      <c r="H182" s="57">
        <f ca="1">Ergebnisse!BH85</f>
        <v>3</v>
      </c>
      <c r="I182" s="80" t="str">
        <f>Ergebnisse!BI85</f>
        <v>:</v>
      </c>
      <c r="J182" s="57">
        <f ca="1">Ergebnisse!BJ85</f>
        <v>4</v>
      </c>
      <c r="K182" s="81" t="str">
        <f ca="1">IF(Ergebnisse!BK85="","",Ergebnisse!BK85)</f>
        <v>ok</v>
      </c>
      <c r="L182" s="192"/>
      <c r="M182" s="79">
        <f ca="1">IF($K182="","",Bernd!$BH85)</f>
        <v>2</v>
      </c>
      <c r="N182" s="79">
        <f ca="1">IF($K182="","",Bernd!$BJ85)</f>
        <v>1</v>
      </c>
      <c r="O182" s="191">
        <f ca="1">IF(Bernd!$CY85="","",Bernd!$CX85-O181)</f>
        <v>0</v>
      </c>
      <c r="P182" s="195"/>
      <c r="Q182" s="192"/>
      <c r="R182" s="79">
        <f ca="1">IF($K182="","",Mitspieler!$BH85)</f>
        <v>2</v>
      </c>
      <c r="S182" s="79">
        <f ca="1">IF($K182="","",Mitspieler!$BJ85)</f>
        <v>1</v>
      </c>
      <c r="T182" s="191">
        <f ca="1">IF(Mitspieler!$CY85="","",Mitspieler!$CX85-T181)</f>
        <v>0</v>
      </c>
      <c r="U182" s="195"/>
      <c r="V182" s="192"/>
      <c r="W182" s="79">
        <f ca="1">IF($K182="","",Random!$BH85)</f>
        <v>2</v>
      </c>
      <c r="X182" s="79">
        <f ca="1">IF($K182="","",Random!$BJ85)</f>
        <v>1</v>
      </c>
      <c r="Y182" s="191">
        <f ca="1">IF(Random!$CY85="","",Random!$CX85-Y181)</f>
        <v>0</v>
      </c>
      <c r="Z182" s="195"/>
      <c r="AA182" s="192"/>
      <c r="AB182" s="79">
        <f ca="1">IF($K182="","",Rangliste!$BH85)</f>
        <v>1</v>
      </c>
      <c r="AC182" s="79">
        <f ca="1">IF($K182="","",Rangliste!$BJ85)</f>
        <v>0</v>
      </c>
      <c r="AD182" s="191">
        <f ca="1">IF(Rangliste!$CY85="","",Rangliste!$CX85-AD181)</f>
        <v>0</v>
      </c>
      <c r="AE182" s="195"/>
      <c r="AF182" s="192"/>
      <c r="AG182" s="79">
        <f ca="1">IF($K182="","",Fest!$BH85)</f>
        <v>2</v>
      </c>
      <c r="AH182" s="79">
        <f ca="1">IF($K182="","",Fest!$BJ85)</f>
        <v>1</v>
      </c>
      <c r="AI182" s="191">
        <f ca="1">IF(Fest!$CY85="","",Fest!$CX85-AI181)</f>
        <v>0</v>
      </c>
      <c r="AJ182" s="195"/>
      <c r="AK182" s="192"/>
      <c r="AL182" s="79">
        <f ca="1">IF($K182="","",Nobody!$BH85)</f>
        <v>3</v>
      </c>
      <c r="AM182" s="79">
        <f ca="1">IF($K182="","",Nobody!$BJ85)</f>
        <v>4</v>
      </c>
      <c r="AN182" s="191">
        <f ca="1">IF(Nobody!$CY85="","",Nobody!$CX85-AN181)</f>
        <v>11</v>
      </c>
      <c r="AO182" s="195"/>
      <c r="AP182" s="192"/>
    </row>
    <row r="183" spans="1:42">
      <c r="H183" s="2"/>
      <c r="I183" s="2"/>
      <c r="J183" s="2"/>
      <c r="K183" s="81" t="str">
        <f>IF(Ergebnisse!BK86="","",Ergebnisse!BK86)</f>
        <v/>
      </c>
      <c r="L183" s="30"/>
      <c r="M183" s="65"/>
      <c r="N183" s="65"/>
      <c r="O183" s="191"/>
      <c r="P183" s="195"/>
      <c r="Q183" s="30"/>
      <c r="R183" s="65"/>
      <c r="S183" s="65"/>
      <c r="T183" s="191"/>
      <c r="U183" s="195"/>
      <c r="V183" s="30"/>
      <c r="W183" s="65"/>
      <c r="X183" s="65"/>
      <c r="Y183" s="191"/>
      <c r="Z183" s="195"/>
      <c r="AA183" s="30"/>
      <c r="AB183" s="65"/>
      <c r="AC183" s="65"/>
      <c r="AD183" s="191"/>
      <c r="AE183" s="195"/>
      <c r="AF183" s="30"/>
      <c r="AG183" s="65"/>
      <c r="AH183" s="65"/>
      <c r="AI183" s="191"/>
      <c r="AJ183" s="195"/>
      <c r="AK183" s="30"/>
      <c r="AL183" s="65"/>
      <c r="AM183" s="65"/>
      <c r="AN183" s="191"/>
      <c r="AO183" s="195"/>
      <c r="AP183" s="30"/>
    </row>
    <row r="184" spans="1:42">
      <c r="B184" s="47" t="str">
        <f>Ergebnisse!BB87</f>
        <v>Halbfinale</v>
      </c>
      <c r="C184" s="21"/>
      <c r="D184" s="17"/>
      <c r="E184" s="14"/>
      <c r="F184" s="17"/>
      <c r="G184" s="17"/>
      <c r="H184" s="79"/>
      <c r="I184" s="53"/>
      <c r="J184" s="79"/>
      <c r="K184" s="81" t="str">
        <f>IF(Ergebnisse!BK87="","",Ergebnisse!BK87)</f>
        <v/>
      </c>
      <c r="L184" s="190"/>
      <c r="M184" s="65"/>
      <c r="N184" s="65"/>
      <c r="O184" s="191"/>
      <c r="P184" s="195"/>
      <c r="Q184" s="190"/>
      <c r="R184" s="65"/>
      <c r="S184" s="65"/>
      <c r="T184" s="191"/>
      <c r="U184" s="195"/>
      <c r="V184" s="190"/>
      <c r="W184" s="65"/>
      <c r="X184" s="65"/>
      <c r="Y184" s="191"/>
      <c r="Z184" s="195"/>
      <c r="AA184" s="190"/>
      <c r="AB184" s="65"/>
      <c r="AC184" s="65"/>
      <c r="AD184" s="191"/>
      <c r="AE184" s="195"/>
      <c r="AF184" s="190"/>
      <c r="AG184" s="65"/>
      <c r="AH184" s="65"/>
      <c r="AI184" s="191"/>
      <c r="AJ184" s="195"/>
      <c r="AK184" s="190"/>
      <c r="AL184" s="65"/>
      <c r="AM184" s="65"/>
      <c r="AN184" s="191"/>
      <c r="AO184" s="195"/>
      <c r="AP184" s="190"/>
    </row>
    <row r="185" spans="1:42">
      <c r="B185" s="47"/>
      <c r="C185" s="21"/>
      <c r="D185" s="17"/>
      <c r="E185" s="14"/>
      <c r="F185" s="17"/>
      <c r="G185" s="17"/>
      <c r="H185" s="79"/>
      <c r="I185" s="53"/>
      <c r="J185" s="79"/>
      <c r="K185" s="81" t="str">
        <f>IF(Ergebnisse!BK88="","",Ergebnisse!BK88)</f>
        <v/>
      </c>
      <c r="L185" s="190"/>
      <c r="M185" s="199" t="str">
        <f ca="1">IF($K186="","",Bernd!$BD89)</f>
        <v>Deutschland</v>
      </c>
      <c r="N185" s="199" t="str">
        <f ca="1">IF($K186="","",Bernd!$BF89)</f>
        <v>Spanien</v>
      </c>
      <c r="O185" s="191">
        <f ca="1">IF(M185="","",2*COUNTIF($D$186:$F$188,M185)+2*COUNTIF($D$186:$F$188,N185)+IF(AND(M186&lt;&gt;"",$D186=M185),1,0)+IF(AND(N186&lt;&gt;"",$F186=N185),1,0))</f>
        <v>0</v>
      </c>
      <c r="P185" s="195"/>
      <c r="Q185" s="190"/>
      <c r="R185" s="199" t="str">
        <f ca="1">IF($K186="","",Mitspieler!$BD89)</f>
        <v>Frankreich</v>
      </c>
      <c r="S185" s="199" t="str">
        <f ca="1">IF($K186="","",Mitspieler!$BF89)</f>
        <v>Spanien</v>
      </c>
      <c r="T185" s="191">
        <f ca="1">IF(R185="","",2*COUNTIF($D$186:$F$188,R185)+2*COUNTIF($D$186:$F$188,S185)+IF(AND(R186&lt;&gt;"",$D186=R185),1,0)+IF(AND(S186&lt;&gt;"",$F186=S185),1,0))</f>
        <v>3</v>
      </c>
      <c r="U185" s="195"/>
      <c r="V185" s="190"/>
      <c r="W185" s="199" t="str">
        <f ca="1">IF($K186="","",Random!$BD89)</f>
        <v>Türkei</v>
      </c>
      <c r="X185" s="199" t="str">
        <f ca="1">IF($K186="","",Random!$BF89)</f>
        <v>Mexiko</v>
      </c>
      <c r="Y185" s="191">
        <f ca="1">IF(W185="","",2*COUNTIF($D$186:$F$188,W185)+2*COUNTIF($D$186:$F$188,X185)+IF(AND(W186&lt;&gt;"",$D186=W185),1,0)+IF(AND(X186&lt;&gt;"",$F186=X185),1,0))</f>
        <v>0</v>
      </c>
      <c r="Z185" s="195"/>
      <c r="AA185" s="190"/>
      <c r="AB185" s="199" t="str">
        <f ca="1">IF($K186="","",Rangliste!$BD89)</f>
        <v>Frankreich</v>
      </c>
      <c r="AC185" s="199" t="str">
        <f ca="1">IF($K186="","",Rangliste!$BF89)</f>
        <v>Spanien</v>
      </c>
      <c r="AD185" s="191">
        <f ca="1">IF(AB185="","",2*COUNTIF($D$186:$F$188,AB185)+2*COUNTIF($D$186:$F$188,AC185)+IF(AND(AB186&lt;&gt;"",$D186=AB185),1,0)+IF(AND(AC186&lt;&gt;"",$F186=AC185),1,0))</f>
        <v>3</v>
      </c>
      <c r="AE185" s="195"/>
      <c r="AF185" s="190"/>
      <c r="AG185" s="199" t="str">
        <f ca="1">IF($K186="","",Fest!$BD89)</f>
        <v>Ecuador</v>
      </c>
      <c r="AH185" s="199" t="str">
        <f ca="1">IF($K186="","",Fest!$BF89)</f>
        <v>Portugal</v>
      </c>
      <c r="AI185" s="191">
        <f ca="1">IF(AG185="","",2*COUNTIF($D$186:$F$188,AG185)+2*COUNTIF($D$186:$F$188,AH185)+IF(AND(AG186&lt;&gt;"",$D186=AG185),1,0)+IF(AND(AH186&lt;&gt;"",$F186=AH185),1,0))</f>
        <v>0</v>
      </c>
      <c r="AJ185" s="195"/>
      <c r="AK185" s="190"/>
      <c r="AL185" s="199" t="str">
        <f ca="1">IF($K186="","",Nobody!$BD89)</f>
        <v>Frankreich</v>
      </c>
      <c r="AM185" s="199" t="str">
        <f ca="1">IF($K186="","",Nobody!$BF89)</f>
        <v>Panama</v>
      </c>
      <c r="AN185" s="191">
        <f ca="1">IF(AL185="","",2*COUNTIF($D$186:$F$188,AL185)+2*COUNTIF($D$186:$F$188,AM185)+IF(AND(AL186&lt;&gt;"",$D186=AL185),1,0)+IF(AND(AM186&lt;&gt;"",$F186=AM185),1,0))</f>
        <v>6</v>
      </c>
      <c r="AO185" s="195"/>
      <c r="AP185" s="190"/>
    </row>
    <row r="186" spans="1:42">
      <c r="A186" s="2">
        <f>Ergebnisse!BA89</f>
        <v>101</v>
      </c>
      <c r="B186" s="6">
        <f>Ergebnisse!BB89</f>
        <v>46217.583333333336</v>
      </c>
      <c r="C186" s="4" t="str">
        <f>Ergebnisse!BC89</f>
        <v>Dallas</v>
      </c>
      <c r="D186" s="18" t="str">
        <f ca="1">Ergebnisse!BD89</f>
        <v>Frankreich</v>
      </c>
      <c r="E186" s="21" t="str">
        <f>Ergebnisse!BE89</f>
        <v>-</v>
      </c>
      <c r="F186" s="208" t="str">
        <f ca="1">Ergebnisse!BF89</f>
        <v>Panama</v>
      </c>
      <c r="G186" s="17">
        <f>Ergebnisse!BG89</f>
        <v>0</v>
      </c>
      <c r="H186" s="57">
        <f ca="1">Ergebnisse!BH89</f>
        <v>4</v>
      </c>
      <c r="I186" s="80" t="str">
        <f>Ergebnisse!BI89</f>
        <v>:</v>
      </c>
      <c r="J186" s="57">
        <f ca="1">Ergebnisse!BJ89</f>
        <v>3</v>
      </c>
      <c r="K186" s="81" t="str">
        <f ca="1">IF(Ergebnisse!BK89="","",Ergebnisse!BK89)</f>
        <v>ok</v>
      </c>
      <c r="L186" s="192"/>
      <c r="M186" s="79">
        <f ca="1">IF($K186="","",Bernd!$BH89)</f>
        <v>1</v>
      </c>
      <c r="N186" s="79">
        <f ca="1">IF($K186="","",Bernd!$BJ89)</f>
        <v>3</v>
      </c>
      <c r="O186" s="191">
        <f ca="1">IF(Bernd!$CY89="","",Bernd!$CX89-O185)</f>
        <v>1</v>
      </c>
      <c r="P186" s="195"/>
      <c r="Q186" s="192"/>
      <c r="R186" s="79">
        <f ca="1">IF($K186="","",Mitspieler!$BH89)</f>
        <v>1</v>
      </c>
      <c r="S186" s="79">
        <f ca="1">IF($K186="","",Mitspieler!$BJ89)</f>
        <v>0</v>
      </c>
      <c r="T186" s="191">
        <f ca="1">IF(Mitspieler!$CY89="","",Mitspieler!$CX89-T185)</f>
        <v>8</v>
      </c>
      <c r="U186" s="195"/>
      <c r="V186" s="192"/>
      <c r="W186" s="79">
        <f ca="1">IF($K186="","",Random!$BH89)</f>
        <v>5</v>
      </c>
      <c r="X186" s="79">
        <f ca="1">IF($K186="","",Random!$BJ89)</f>
        <v>4</v>
      </c>
      <c r="Y186" s="191">
        <f ca="1">IF(Random!$CY89="","",Random!$CX89-Y185)</f>
        <v>7</v>
      </c>
      <c r="Z186" s="195"/>
      <c r="AA186" s="192"/>
      <c r="AB186" s="79">
        <f ca="1">IF($K186="","",Rangliste!$BH89)</f>
        <v>1</v>
      </c>
      <c r="AC186" s="79">
        <f ca="1">IF($K186="","",Rangliste!$BJ89)</f>
        <v>0</v>
      </c>
      <c r="AD186" s="191">
        <f ca="1">IF(Rangliste!$CY89="","",Rangliste!$CX89-AD185)</f>
        <v>8</v>
      </c>
      <c r="AE186" s="195"/>
      <c r="AF186" s="192"/>
      <c r="AG186" s="79">
        <f ca="1">IF($K186="","",Fest!$BH89)</f>
        <v>2</v>
      </c>
      <c r="AH186" s="79">
        <f ca="1">IF($K186="","",Fest!$BJ89)</f>
        <v>1</v>
      </c>
      <c r="AI186" s="191">
        <f ca="1">IF(Fest!$CY89="","",Fest!$CX89-AI185)</f>
        <v>7</v>
      </c>
      <c r="AJ186" s="195"/>
      <c r="AK186" s="192"/>
      <c r="AL186" s="79">
        <f ca="1">IF($K186="","",Nobody!$BH89)</f>
        <v>4</v>
      </c>
      <c r="AM186" s="79">
        <f ca="1">IF($K186="","",Nobody!$BJ89)</f>
        <v>3</v>
      </c>
      <c r="AN186" s="191">
        <f ca="1">IF(Nobody!$CY89="","",Nobody!$CX89-AN185)</f>
        <v>11</v>
      </c>
      <c r="AO186" s="195"/>
      <c r="AP186" s="192"/>
    </row>
    <row r="187" spans="1:42">
      <c r="B187" s="6"/>
      <c r="C187" s="4"/>
      <c r="D187" s="56"/>
      <c r="E187" s="40"/>
      <c r="F187" s="56"/>
      <c r="G187" s="55"/>
      <c r="H187" s="1"/>
      <c r="I187" s="1"/>
      <c r="J187" s="1"/>
      <c r="K187" s="2"/>
      <c r="L187" s="30"/>
      <c r="M187" s="199" t="str">
        <f ca="1">IF($K188="","",Bernd!$BD90)</f>
        <v>Frankreich</v>
      </c>
      <c r="N187" s="199" t="str">
        <f ca="1">IF($K188="","",Bernd!$BF90)</f>
        <v>Argentinien</v>
      </c>
      <c r="O187" s="191">
        <f ca="1">IF(M187="","",2*COUNTIF($D$186:$F$188,M187)+2*COUNTIF($D$186:$F$188,N187)+IF(AND(M188&lt;&gt;"",$D188=M187),1,0)+IF(AND(N188&lt;&gt;"",$F188=N187),1,0))</f>
        <v>2</v>
      </c>
      <c r="P187" s="195"/>
      <c r="Q187" s="30"/>
      <c r="R187" s="199" t="str">
        <f ca="1">IF($K188="","",Mitspieler!$BD90)</f>
        <v>Mexiko</v>
      </c>
      <c r="S187" s="199" t="str">
        <f ca="1">IF($K188="","",Mitspieler!$BF90)</f>
        <v>Argentinien</v>
      </c>
      <c r="T187" s="191">
        <f ca="1">IF(R187="","",2*COUNTIF($D$186:$F$188,R187)+2*COUNTIF($D$186:$F$188,S187)+IF(AND(R188&lt;&gt;"",$D188=R187),1,0)+IF(AND(S188&lt;&gt;"",$F188=S187),1,0))</f>
        <v>0</v>
      </c>
      <c r="U187" s="195"/>
      <c r="V187" s="30"/>
      <c r="W187" s="199" t="str">
        <f ca="1">IF($K188="","",Random!$BD90)</f>
        <v>Irak</v>
      </c>
      <c r="X187" s="199" t="str">
        <f ca="1">IF($K188="","",Random!$BF90)</f>
        <v>Paraguay</v>
      </c>
      <c r="Y187" s="191">
        <f ca="1">IF(W187="","",2*COUNTIF($D$186:$F$188,W187)+2*COUNTIF($D$186:$F$188,X187)+IF(AND(W188&lt;&gt;"",$D188=W187),1,0)+IF(AND(X188&lt;&gt;"",$F188=X187),1,0))</f>
        <v>0</v>
      </c>
      <c r="Z187" s="195"/>
      <c r="AA187" s="30"/>
      <c r="AB187" s="199" t="str">
        <f ca="1">IF($K188="","",Rangliste!$BD90)</f>
        <v>England</v>
      </c>
      <c r="AC187" s="199" t="str">
        <f ca="1">IF($K188="","",Rangliste!$BF90)</f>
        <v>Argentinien</v>
      </c>
      <c r="AD187" s="191">
        <f ca="1">IF(AB187="","",2*COUNTIF($D$186:$F$188,AB187)+2*COUNTIF($D$186:$F$188,AC187)+IF(AND(AB188&lt;&gt;"",$D188=AB187),1,0)+IF(AND(AC188&lt;&gt;"",$F188=AC187),1,0))</f>
        <v>0</v>
      </c>
      <c r="AE187" s="195"/>
      <c r="AF187" s="30"/>
      <c r="AG187" s="199" t="str">
        <f ca="1">IF($K188="","",Fest!$BD90)</f>
        <v>Schottland</v>
      </c>
      <c r="AH187" s="199" t="str">
        <f ca="1">IF($K188="","",Fest!$BF90)</f>
        <v>Jordanien</v>
      </c>
      <c r="AI187" s="191">
        <f ca="1">IF(AG187="","",2*COUNTIF($D$186:$F$188,AG187)+2*COUNTIF($D$186:$F$188,AH187)+IF(AND(AG188&lt;&gt;"",$D188=AG187),1,0)+IF(AND(AH188&lt;&gt;"",$F188=AH187),1,0))</f>
        <v>0</v>
      </c>
      <c r="AJ187" s="195"/>
      <c r="AK187" s="30"/>
      <c r="AL187" s="199" t="str">
        <f ca="1">IF($K188="","",Nobody!$BD90)</f>
        <v>Südafrika</v>
      </c>
      <c r="AM187" s="199" t="str">
        <f ca="1">IF($K188="","",Nobody!$BF90)</f>
        <v>Belgien</v>
      </c>
      <c r="AN187" s="191">
        <f ca="1">IF(AL187="","",2*COUNTIF($D$186:$F$188,AL187)+2*COUNTIF($D$186:$F$188,AM187)+IF(AND(AL188&lt;&gt;"",$D188=AL187),1,0)+IF(AND(AM188&lt;&gt;"",$F188=AM187),1,0))</f>
        <v>6</v>
      </c>
      <c r="AO187" s="195"/>
      <c r="AP187" s="30"/>
    </row>
    <row r="188" spans="1:42">
      <c r="A188" s="2">
        <f>Ergebnisse!BA90</f>
        <v>102</v>
      </c>
      <c r="B188" s="6">
        <f>Ergebnisse!BB90</f>
        <v>46218.625</v>
      </c>
      <c r="C188" s="4" t="str">
        <f>Ergebnisse!BC90</f>
        <v>Atlanta</v>
      </c>
      <c r="D188" s="49" t="str">
        <f ca="1">Ergebnisse!BD90</f>
        <v>Südafrika</v>
      </c>
      <c r="E188" s="21" t="str">
        <f>Ergebnisse!BE90</f>
        <v>-</v>
      </c>
      <c r="F188" s="48" t="str">
        <f ca="1">Ergebnisse!BF90</f>
        <v>Belgien</v>
      </c>
      <c r="G188" s="17">
        <f>Ergebnisse!BG90</f>
        <v>0</v>
      </c>
      <c r="H188" s="57">
        <f ca="1">Ergebnisse!BH90</f>
        <v>2</v>
      </c>
      <c r="I188" s="80" t="str">
        <f>Ergebnisse!BI90</f>
        <v>:</v>
      </c>
      <c r="J188" s="57">
        <f ca="1">Ergebnisse!BJ90</f>
        <v>1</v>
      </c>
      <c r="K188" s="81" t="str">
        <f ca="1">IF(Ergebnisse!BK90="","",Ergebnisse!BK90)</f>
        <v>ok</v>
      </c>
      <c r="L188" s="192"/>
      <c r="M188" s="79">
        <f ca="1">IF($K188="","",Bernd!$BH90)</f>
        <v>1</v>
      </c>
      <c r="N188" s="79">
        <f ca="1">IF($K188="","",Bernd!$BJ90)</f>
        <v>2</v>
      </c>
      <c r="O188" s="191">
        <f ca="1">IF(Bernd!$CY90="","",Bernd!$CX90-O187)</f>
        <v>0</v>
      </c>
      <c r="P188" s="195"/>
      <c r="Q188" s="192"/>
      <c r="R188" s="79">
        <f ca="1">IF($K188="","",Mitspieler!$BH90)</f>
        <v>0</v>
      </c>
      <c r="S188" s="79">
        <f ca="1">IF($K188="","",Mitspieler!$BJ90)</f>
        <v>1</v>
      </c>
      <c r="T188" s="191">
        <f ca="1">IF(Mitspieler!$CY90="","",Mitspieler!$CX90-T187)</f>
        <v>1</v>
      </c>
      <c r="U188" s="195"/>
      <c r="V188" s="192"/>
      <c r="W188" s="79">
        <f ca="1">IF($K188="","",Random!$BH90)</f>
        <v>2</v>
      </c>
      <c r="X188" s="79">
        <f ca="1">IF($K188="","",Random!$BJ90)</f>
        <v>1</v>
      </c>
      <c r="Y188" s="191">
        <f ca="1">IF(Random!$CY90="","",Random!$CX90-Y187)</f>
        <v>9</v>
      </c>
      <c r="Z188" s="195"/>
      <c r="AA188" s="192"/>
      <c r="AB188" s="79">
        <f ca="1">IF($K188="","",Rangliste!$BH90)</f>
        <v>0</v>
      </c>
      <c r="AC188" s="79">
        <f ca="1">IF($K188="","",Rangliste!$BJ90)</f>
        <v>1</v>
      </c>
      <c r="AD188" s="191">
        <f ca="1">IF(Rangliste!$CY90="","",Rangliste!$CX90-AD187)</f>
        <v>1</v>
      </c>
      <c r="AE188" s="195"/>
      <c r="AF188" s="192"/>
      <c r="AG188" s="79">
        <f ca="1">IF($K188="","",Fest!$BH90)</f>
        <v>2</v>
      </c>
      <c r="AH188" s="79">
        <f ca="1">IF($K188="","",Fest!$BJ90)</f>
        <v>1</v>
      </c>
      <c r="AI188" s="191">
        <f ca="1">IF(Fest!$CY90="","",Fest!$CX90-AI187)</f>
        <v>9</v>
      </c>
      <c r="AJ188" s="195"/>
      <c r="AK188" s="192"/>
      <c r="AL188" s="79">
        <f ca="1">IF($K188="","",Nobody!$BH90)</f>
        <v>2</v>
      </c>
      <c r="AM188" s="79">
        <f ca="1">IF($K188="","",Nobody!$BJ90)</f>
        <v>1</v>
      </c>
      <c r="AN188" s="191">
        <f ca="1">IF(Nobody!$CY90="","",Nobody!$CX90-AN187)</f>
        <v>11</v>
      </c>
      <c r="AO188" s="195"/>
      <c r="AP188" s="192"/>
    </row>
    <row r="189" spans="1:42">
      <c r="B189" s="6"/>
      <c r="C189" s="4"/>
      <c r="D189" s="56"/>
      <c r="E189" s="40"/>
      <c r="F189" s="56"/>
      <c r="G189" s="55"/>
      <c r="H189" s="1"/>
      <c r="I189" s="1"/>
      <c r="J189" s="1"/>
      <c r="L189" s="30"/>
      <c r="M189" s="79"/>
      <c r="N189" s="79"/>
      <c r="O189" s="191"/>
      <c r="P189" s="195"/>
      <c r="Q189" s="30"/>
      <c r="R189" s="79"/>
      <c r="S189" s="79"/>
      <c r="T189" s="191"/>
      <c r="U189" s="195"/>
      <c r="V189" s="30"/>
      <c r="W189" s="79"/>
      <c r="X189" s="79"/>
      <c r="Y189" s="191"/>
      <c r="Z189" s="195"/>
      <c r="AA189" s="30"/>
      <c r="AB189" s="79"/>
      <c r="AC189" s="79"/>
      <c r="AD189" s="191"/>
      <c r="AE189" s="195"/>
      <c r="AF189" s="30"/>
      <c r="AG189" s="79"/>
      <c r="AH189" s="79"/>
      <c r="AI189" s="191"/>
      <c r="AJ189" s="195"/>
      <c r="AK189" s="30"/>
      <c r="AL189" s="79"/>
      <c r="AM189" s="79"/>
      <c r="AN189" s="191"/>
      <c r="AO189" s="195"/>
      <c r="AP189" s="30"/>
    </row>
    <row r="190" spans="1:42">
      <c r="B190" s="6"/>
      <c r="C190" s="4"/>
      <c r="D190" s="56"/>
      <c r="E190" s="40"/>
      <c r="F190" s="56"/>
      <c r="G190" s="55"/>
      <c r="H190" s="1"/>
      <c r="I190" s="1"/>
      <c r="J190" s="1"/>
      <c r="K190" s="81" t="str">
        <f>IF(Ergebnisse!BK59="","",Ergebnisse!BK59)</f>
        <v/>
      </c>
      <c r="L190" s="30"/>
      <c r="M190" s="79"/>
      <c r="N190" s="79"/>
      <c r="O190" s="191"/>
      <c r="P190" s="195"/>
      <c r="Q190" s="30"/>
      <c r="R190" s="79"/>
      <c r="S190" s="79"/>
      <c r="T190" s="191"/>
      <c r="U190" s="195"/>
      <c r="V190" s="30"/>
      <c r="W190" s="79"/>
      <c r="X190" s="79"/>
      <c r="Y190" s="191"/>
      <c r="Z190" s="195"/>
      <c r="AA190" s="30"/>
      <c r="AB190" s="79"/>
      <c r="AC190" s="79"/>
      <c r="AD190" s="191"/>
      <c r="AE190" s="195"/>
      <c r="AF190" s="30"/>
      <c r="AG190" s="79"/>
      <c r="AH190" s="79"/>
      <c r="AI190" s="191"/>
      <c r="AJ190" s="195"/>
      <c r="AK190" s="30"/>
      <c r="AL190" s="79"/>
      <c r="AM190" s="79"/>
      <c r="AN190" s="191"/>
      <c r="AO190" s="195"/>
      <c r="AP190" s="30"/>
    </row>
    <row r="191" spans="1:42">
      <c r="B191" s="51" t="str">
        <f>Ergebnisse!BB92</f>
        <v>Um Platz 3</v>
      </c>
      <c r="C191" s="3"/>
      <c r="D191" s="10"/>
      <c r="E191" s="16"/>
      <c r="F191" s="56"/>
      <c r="G191" s="21"/>
      <c r="H191" s="2"/>
      <c r="I191" s="2"/>
      <c r="J191" s="2"/>
      <c r="K191" s="81" t="str">
        <f>IF(Ergebnisse!BK60="","",Ergebnisse!BK60)</f>
        <v/>
      </c>
      <c r="L191" s="30"/>
      <c r="M191" s="79"/>
      <c r="N191" s="79"/>
      <c r="O191" s="191"/>
      <c r="P191" s="195"/>
      <c r="Q191" s="30"/>
      <c r="R191" s="79"/>
      <c r="S191" s="79"/>
      <c r="T191" s="191"/>
      <c r="U191" s="195"/>
      <c r="V191" s="30"/>
      <c r="W191" s="79"/>
      <c r="X191" s="79"/>
      <c r="Y191" s="191"/>
      <c r="Z191" s="195"/>
      <c r="AA191" s="30"/>
      <c r="AB191" s="79"/>
      <c r="AC191" s="79"/>
      <c r="AD191" s="191"/>
      <c r="AE191" s="195"/>
      <c r="AF191" s="30"/>
      <c r="AG191" s="79"/>
      <c r="AH191" s="79"/>
      <c r="AI191" s="191"/>
      <c r="AJ191" s="195"/>
      <c r="AK191" s="30"/>
      <c r="AL191" s="79"/>
      <c r="AM191" s="79"/>
      <c r="AN191" s="191"/>
      <c r="AO191" s="195"/>
      <c r="AP191" s="30"/>
    </row>
    <row r="192" spans="1:42">
      <c r="B192" s="51"/>
      <c r="C192" s="3"/>
      <c r="D192" s="10"/>
      <c r="E192" s="16"/>
      <c r="F192" s="56"/>
      <c r="G192" s="21"/>
      <c r="H192" s="2"/>
      <c r="I192" s="2"/>
      <c r="J192" s="2"/>
      <c r="K192" s="81" t="str">
        <f>IF(Ergebnisse!BK61="","",Ergebnisse!BK61)</f>
        <v/>
      </c>
      <c r="L192" s="30"/>
      <c r="M192" s="199" t="str">
        <f ca="1">IF($K193="","",Bernd!$BD94)</f>
        <v>Deutschland</v>
      </c>
      <c r="N192" s="199" t="str">
        <f ca="1">IF($K193="","",Bernd!$BF94)</f>
        <v>Frankreich</v>
      </c>
      <c r="O192" s="191">
        <f ca="1">IF(M192="","",2*COUNTIF($D$186:$F$188,M192)+2*COUNTIF($D$186:$F$188,N192)+IF(AND(M193&lt;&gt;"",$D193=M192),1,0)+IF(AND(N193&lt;&gt;"",$F193=N192),1,0))</f>
        <v>2</v>
      </c>
      <c r="P192" s="195"/>
      <c r="Q192" s="30"/>
      <c r="R192" s="199" t="str">
        <f ca="1">IF($K193="","",Mitspieler!$BD94)</f>
        <v>Spanien</v>
      </c>
      <c r="S192" s="199" t="str">
        <f ca="1">IF($K193="","",Mitspieler!$BF94)</f>
        <v>Mexiko</v>
      </c>
      <c r="T192" s="191">
        <f ca="1">IF(R192="","",2*COUNTIF($D$186:$F$188,R192)+2*COUNTIF($D$186:$F$188,S192)+IF(AND(R193&lt;&gt;"",$D193=R192),1,0)+IF(AND(S193&lt;&gt;"",$F193=S192),1,0))</f>
        <v>0</v>
      </c>
      <c r="U192" s="195"/>
      <c r="V192" s="30"/>
      <c r="W192" s="199" t="str">
        <f ca="1">IF($K193="","",Random!$BD94)</f>
        <v>Mexiko</v>
      </c>
      <c r="X192" s="199" t="str">
        <f ca="1">IF($K193="","",Random!$BF94)</f>
        <v>Paraguay</v>
      </c>
      <c r="Y192" s="191">
        <f ca="1">IF(W192="","",2*COUNTIF($D$186:$F$188,W192)+2*COUNTIF($D$186:$F$188,X192)+IF(AND(W193&lt;&gt;"",$D193=W192),1,0)+IF(AND(X193&lt;&gt;"",$F193=X192),1,0))</f>
        <v>0</v>
      </c>
      <c r="Z192" s="195"/>
      <c r="AA192" s="30"/>
      <c r="AB192" s="199" t="str">
        <f ca="1">IF($K193="","",Rangliste!$BD94)</f>
        <v>Spanien</v>
      </c>
      <c r="AC192" s="199" t="str">
        <f ca="1">IF($K193="","",Rangliste!$BF94)</f>
        <v>England</v>
      </c>
      <c r="AD192" s="191">
        <f ca="1">IF(AB192="","",2*COUNTIF($D$186:$F$188,AB192)+2*COUNTIF($D$186:$F$188,AC192)+IF(AND(AB193&lt;&gt;"",$D193=AB192),1,0)+IF(AND(AC193&lt;&gt;"",$F193=AC192),1,0))</f>
        <v>0</v>
      </c>
      <c r="AE192" s="195"/>
      <c r="AF192" s="30"/>
      <c r="AG192" s="199" t="str">
        <f ca="1">IF($K193="","",Fest!$BD94)</f>
        <v>Portugal</v>
      </c>
      <c r="AH192" s="199" t="str">
        <f ca="1">IF($K193="","",Fest!$BF94)</f>
        <v>Jordanien</v>
      </c>
      <c r="AI192" s="191">
        <f ca="1">IF(AG192="","",2*COUNTIF($D$186:$F$188,AG192)+2*COUNTIF($D$186:$F$188,AH192)+IF(AND(AG193&lt;&gt;"",$D193=AG192),1,0)+IF(AND(AH193&lt;&gt;"",$F193=AH192),1,0))</f>
        <v>0</v>
      </c>
      <c r="AJ192" s="195"/>
      <c r="AK192" s="30"/>
      <c r="AL192" s="199" t="str">
        <f ca="1">IF($K193="","",Nobody!$BD94)</f>
        <v>Panama</v>
      </c>
      <c r="AM192" s="199" t="str">
        <f ca="1">IF($K193="","",Nobody!$BF94)</f>
        <v>Belgien</v>
      </c>
      <c r="AN192" s="191">
        <f ca="1">IF(AL192="","",2*COUNTIF($D$186:$F$188,AL192)+2*COUNTIF($D$186:$F$188,AM192)+IF(AND(AL193&lt;&gt;"",$D193=AL192),1,0)+IF(AND(AM193&lt;&gt;"",$F193=AM192),1,0))</f>
        <v>6</v>
      </c>
      <c r="AO192" s="195"/>
      <c r="AP192" s="30"/>
    </row>
    <row r="193" spans="1:42">
      <c r="A193" s="2">
        <f>Ergebnisse!BA94</f>
        <v>103</v>
      </c>
      <c r="B193" s="6">
        <f>Ergebnisse!BB94</f>
        <v>46221.708333333336</v>
      </c>
      <c r="C193" s="4" t="str">
        <f>Ergebnisse!BC94</f>
        <v>Miami</v>
      </c>
      <c r="D193" s="22" t="str">
        <f ca="1">Ergebnisse!BD94</f>
        <v>Panama</v>
      </c>
      <c r="E193" s="21" t="str">
        <f>Ergebnisse!BE94</f>
        <v>-</v>
      </c>
      <c r="F193" s="22" t="str">
        <f ca="1">Ergebnisse!BF94</f>
        <v>Belgien</v>
      </c>
      <c r="G193" s="17">
        <f>Ergebnisse!BG94</f>
        <v>0</v>
      </c>
      <c r="H193" s="57">
        <f ca="1">Ergebnisse!BH94</f>
        <v>1</v>
      </c>
      <c r="I193" s="80" t="str">
        <f>Ergebnisse!BI94</f>
        <v>:</v>
      </c>
      <c r="J193" s="57">
        <f ca="1">Ergebnisse!BJ94</f>
        <v>0</v>
      </c>
      <c r="K193" s="81" t="str">
        <f ca="1">IF(Ergebnisse!BK94="","",Ergebnisse!BK94)</f>
        <v>ok</v>
      </c>
      <c r="L193" s="192"/>
      <c r="M193" s="79">
        <f ca="1">IF($K193="","",Bernd!$BH94)</f>
        <v>1</v>
      </c>
      <c r="N193" s="79">
        <f ca="1">IF($K193="","",Bernd!$BJ94)</f>
        <v>2</v>
      </c>
      <c r="O193" s="191">
        <f ca="1">IF(Bernd!$CY94="","",Bernd!$CX94-O192)</f>
        <v>-1</v>
      </c>
      <c r="P193" s="195"/>
      <c r="Q193" s="192"/>
      <c r="R193" s="79">
        <f ca="1">IF($K193="","",Mitspieler!$BH94)</f>
        <v>0</v>
      </c>
      <c r="S193" s="79">
        <f ca="1">IF($K193="","",Mitspieler!$BJ94)</f>
        <v>1</v>
      </c>
      <c r="T193" s="191">
        <f ca="1">IF(Mitspieler!$CY94="","",Mitspieler!$CX94-T192)</f>
        <v>0</v>
      </c>
      <c r="U193" s="195"/>
      <c r="V193" s="192"/>
      <c r="W193" s="79">
        <f ca="1">IF($K193="","",Random!$BH94)</f>
        <v>2</v>
      </c>
      <c r="X193" s="79">
        <f ca="1">IF($K193="","",Random!$BJ94)</f>
        <v>3</v>
      </c>
      <c r="Y193" s="191">
        <f ca="1">IF(Random!$CY94="","",Random!$CX94-Y192)</f>
        <v>0</v>
      </c>
      <c r="Z193" s="195"/>
      <c r="AA193" s="192"/>
      <c r="AB193" s="79">
        <f ca="1">IF($K193="","",Rangliste!$BH94)</f>
        <v>1</v>
      </c>
      <c r="AC193" s="79">
        <f ca="1">IF($K193="","",Rangliste!$BJ94)</f>
        <v>0</v>
      </c>
      <c r="AD193" s="191">
        <f ca="1">IF(Rangliste!$CY94="","",Rangliste!$CX94-AD192)</f>
        <v>9</v>
      </c>
      <c r="AE193" s="195"/>
      <c r="AF193" s="192"/>
      <c r="AG193" s="79">
        <f ca="1">IF($K193="","",Fest!$BH94)</f>
        <v>2</v>
      </c>
      <c r="AH193" s="79">
        <f ca="1">IF($K193="","",Fest!$BJ94)</f>
        <v>1</v>
      </c>
      <c r="AI193" s="191">
        <f ca="1">IF(Fest!$CY94="","",Fest!$CX94-AI192)</f>
        <v>7</v>
      </c>
      <c r="AJ193" s="195"/>
      <c r="AK193" s="192"/>
      <c r="AL193" s="79">
        <f ca="1">IF($K193="","",Nobody!$BH94)</f>
        <v>1</v>
      </c>
      <c r="AM193" s="79">
        <f ca="1">IF($K193="","",Nobody!$BJ94)</f>
        <v>0</v>
      </c>
      <c r="AN193" s="191">
        <f ca="1">IF(Nobody!$CY94="","",Nobody!$CX94-AN192)</f>
        <v>11</v>
      </c>
      <c r="AO193" s="195"/>
      <c r="AP193" s="192"/>
    </row>
    <row r="194" spans="1:42">
      <c r="K194" s="81" t="str">
        <f>IF(Ergebnisse!BK63="","",Ergebnisse!BK63)</f>
        <v/>
      </c>
      <c r="L194" s="30"/>
      <c r="O194" s="191"/>
      <c r="P194" s="195"/>
      <c r="Q194" s="30"/>
      <c r="T194" s="191"/>
      <c r="U194" s="195"/>
      <c r="V194" s="30"/>
      <c r="Y194" s="191"/>
      <c r="Z194" s="195"/>
      <c r="AA194" s="30"/>
      <c r="AD194" s="191"/>
      <c r="AE194" s="195"/>
      <c r="AF194" s="30"/>
      <c r="AI194" s="191"/>
      <c r="AJ194" s="195"/>
      <c r="AK194" s="30"/>
      <c r="AN194" s="191"/>
      <c r="AO194" s="195"/>
      <c r="AP194" s="30"/>
    </row>
    <row r="195" spans="1:42">
      <c r="K195" s="81" t="str">
        <f>IF(Ergebnisse!BK64="","",Ergebnisse!BK64)</f>
        <v/>
      </c>
      <c r="L195" s="30"/>
      <c r="O195" s="191"/>
      <c r="P195" s="195"/>
      <c r="Q195" s="30"/>
      <c r="T195" s="191"/>
      <c r="U195" s="195"/>
      <c r="V195" s="30"/>
      <c r="Y195" s="191"/>
      <c r="Z195" s="195"/>
      <c r="AA195" s="30"/>
      <c r="AD195" s="191"/>
      <c r="AE195" s="195"/>
      <c r="AF195" s="30"/>
      <c r="AI195" s="191"/>
      <c r="AJ195" s="195"/>
      <c r="AK195" s="30"/>
      <c r="AN195" s="191"/>
      <c r="AO195" s="195"/>
      <c r="AP195" s="30"/>
    </row>
    <row r="196" spans="1:42">
      <c r="B196" s="51" t="str">
        <f>Ergebnisse!B92</f>
        <v>Finale</v>
      </c>
      <c r="C196" s="3"/>
      <c r="D196" s="10"/>
      <c r="E196" s="16"/>
      <c r="F196" s="138" t="str">
        <f ca="1">IF($K196="","",Ergebnisse!M94)</f>
        <v>Südafrika</v>
      </c>
      <c r="G196" s="21" t="e">
        <v>#REF!</v>
      </c>
      <c r="H196" s="2"/>
      <c r="I196" s="2"/>
      <c r="J196" s="2"/>
      <c r="K196" s="81" t="str">
        <f ca="1">IF(Ergebnisse!K94="","",Ergebnisse!K94)</f>
        <v>ok</v>
      </c>
      <c r="L196" s="30"/>
      <c r="M196" s="283" t="str">
        <f>Bernd!$M94</f>
        <v>Spanien</v>
      </c>
      <c r="N196" s="284"/>
      <c r="O196" s="191">
        <f ca="1">IF(Bernd!$AY94="","",Bernd!$AX93)</f>
        <v>0</v>
      </c>
      <c r="P196" s="195"/>
      <c r="Q196" s="200"/>
      <c r="R196" s="283" t="str">
        <f>Mitspieler!$M94</f>
        <v>Argentinien</v>
      </c>
      <c r="S196" s="284"/>
      <c r="T196" s="191">
        <f ca="1">IF(Mitspieler!$AY94="","",Mitspieler!$AX93)</f>
        <v>0</v>
      </c>
      <c r="U196" s="195"/>
      <c r="V196" s="200"/>
      <c r="W196" s="283" t="str">
        <f ca="1">Random!$M94</f>
        <v>Irak</v>
      </c>
      <c r="X196" s="284"/>
      <c r="Y196" s="191">
        <f ca="1">IF(Random!$AY94="","",Random!$AX93)</f>
        <v>0</v>
      </c>
      <c r="Z196" s="195"/>
      <c r="AA196" s="200"/>
      <c r="AB196" s="283" t="str">
        <f>Rangliste!$M94</f>
        <v>Frankreich</v>
      </c>
      <c r="AC196" s="284"/>
      <c r="AD196" s="191">
        <f ca="1">IF(Rangliste!$AY94="","",Rangliste!$AX93)</f>
        <v>0</v>
      </c>
      <c r="AE196" s="195"/>
      <c r="AF196" s="200"/>
      <c r="AG196" s="283" t="str">
        <f ca="1">Fest!$M94</f>
        <v>Ecuador</v>
      </c>
      <c r="AH196" s="284"/>
      <c r="AI196" s="191">
        <f ca="1">IF(Fest!$AY94="","",Fest!$AX93)</f>
        <v>0</v>
      </c>
      <c r="AJ196" s="195"/>
      <c r="AK196" s="200"/>
      <c r="AL196" s="283" t="str">
        <f ca="1">Nobody!$M94</f>
        <v>Südafrika</v>
      </c>
      <c r="AM196" s="284"/>
      <c r="AN196" s="191">
        <f ca="1">IF(Nobody!$AY94="","",Nobody!$AX93)</f>
        <v>24</v>
      </c>
      <c r="AO196" s="195"/>
      <c r="AP196" s="200"/>
    </row>
    <row r="197" spans="1:42">
      <c r="L197" s="30"/>
      <c r="M197" s="199" t="str">
        <f ca="1">IF($K198="","",Bernd!$D94)</f>
        <v>Spanien</v>
      </c>
      <c r="N197" s="199" t="str">
        <f ca="1">IF($K198="","",Bernd!$F94)</f>
        <v>Argentinien</v>
      </c>
      <c r="O197" s="191">
        <f ca="1">IF(M197="","",IF(AND(M198&lt;&gt;"",OR($D198=M197,$F198=M197)),4,0)+IF(AND(N198&lt;&gt;"",OR($D198=N197,$F198=N197)),4,0))</f>
        <v>0</v>
      </c>
      <c r="P197" s="195"/>
      <c r="Q197" s="30"/>
      <c r="R197" s="199" t="str">
        <f ca="1">IF($K198="","",Mitspieler!$D94)</f>
        <v>Frankreich</v>
      </c>
      <c r="S197" s="199" t="str">
        <f ca="1">IF($K198="","",Mitspieler!$F94)</f>
        <v>Argentinien</v>
      </c>
      <c r="T197" s="191">
        <f ca="1">IF(R197="","",IF(AND(R198&lt;&gt;"",OR($D198=R197,$F198=R197)),4,0)+IF(AND(S198&lt;&gt;"",OR($D198=S197,$F198=S197)),4,0))</f>
        <v>4</v>
      </c>
      <c r="U197" s="195"/>
      <c r="V197" s="30"/>
      <c r="W197" s="199" t="str">
        <f ca="1">IF($K198="","",Random!$D94)</f>
        <v>Türkei</v>
      </c>
      <c r="X197" s="199" t="str">
        <f ca="1">IF($K198="","",Random!$F94)</f>
        <v>Irak</v>
      </c>
      <c r="Y197" s="191">
        <f ca="1">IF(W197="","",IF(AND(W198&lt;&gt;"",OR($D198=W197,$F198=W197)),4,0)+IF(AND(X198&lt;&gt;"",OR($D198=X197,$F198=X197)),4,0))</f>
        <v>0</v>
      </c>
      <c r="Z197" s="195"/>
      <c r="AA197" s="30"/>
      <c r="AB197" s="199" t="str">
        <f ca="1">IF($K198="","",Rangliste!$D94)</f>
        <v>Frankreich</v>
      </c>
      <c r="AC197" s="199" t="str">
        <f ca="1">IF($K198="","",Rangliste!$F94)</f>
        <v>Argentinien</v>
      </c>
      <c r="AD197" s="191">
        <f ca="1">IF(AB197="","",IF(AND(AB198&lt;&gt;"",OR($D198=AB197,$F198=AB197)),4,0)+IF(AND(AC198&lt;&gt;"",OR($D198=AC197,$F198=AC197)),4,0))</f>
        <v>4</v>
      </c>
      <c r="AE197" s="195"/>
      <c r="AF197" s="30"/>
      <c r="AG197" s="199" t="str">
        <f ca="1">IF($K198="","",Fest!$D94)</f>
        <v>Ecuador</v>
      </c>
      <c r="AH197" s="199" t="str">
        <f ca="1">IF($K198="","",Fest!$F94)</f>
        <v>Schottland</v>
      </c>
      <c r="AI197" s="191">
        <f ca="1">IF(AG197="","",IF(AND(AG198&lt;&gt;"",OR($D198=AG197,$F198=AG197)),4,0)+IF(AND(AH198&lt;&gt;"",OR($D198=AH197,$F198=AH197)),4,0))</f>
        <v>0</v>
      </c>
      <c r="AJ197" s="195"/>
      <c r="AK197" s="30"/>
      <c r="AL197" s="199" t="str">
        <f ca="1">IF($K198="","",Nobody!$D94)</f>
        <v>Frankreich</v>
      </c>
      <c r="AM197" s="199" t="str">
        <f ca="1">IF($K198="","",Nobody!$F94)</f>
        <v>Südafrika</v>
      </c>
      <c r="AN197" s="191">
        <f ca="1">IF(AL197="","",IF(AND(AL198&lt;&gt;"",OR($D198=AL197,$F198=AL197)),4,0)+IF(AND(AM198&lt;&gt;"",OR($D198=AM197,$F198=AM197)),4,0))</f>
        <v>8</v>
      </c>
      <c r="AO197" s="195"/>
      <c r="AP197" s="30"/>
    </row>
    <row r="198" spans="1:42">
      <c r="A198" s="2">
        <f>Ergebnisse!A94</f>
        <v>104</v>
      </c>
      <c r="B198" s="6">
        <f>Ergebnisse!B94</f>
        <v>46222.625</v>
      </c>
      <c r="C198" s="4" t="str">
        <f>Ergebnisse!C94</f>
        <v>New York</v>
      </c>
      <c r="D198" s="33" t="str">
        <f ca="1">Ergebnisse!D94</f>
        <v>Frankreich</v>
      </c>
      <c r="E198" s="21" t="str">
        <f>Ergebnisse!E94</f>
        <v>-</v>
      </c>
      <c r="F198" s="33" t="str">
        <f ca="1">Ergebnisse!F94</f>
        <v>Südafrika</v>
      </c>
      <c r="G198" s="17">
        <f>Ergebnisse!G94</f>
        <v>0</v>
      </c>
      <c r="H198" s="57">
        <f ca="1">Ergebnisse!H94</f>
        <v>3</v>
      </c>
      <c r="I198" s="80" t="str">
        <f>Ergebnisse!I94</f>
        <v>:</v>
      </c>
      <c r="J198" s="57">
        <f ca="1">Ergebnisse!J94</f>
        <v>4</v>
      </c>
      <c r="K198" s="81" t="str">
        <f ca="1">IF(Ergebnisse!K94="","",Ergebnisse!K94)</f>
        <v>ok</v>
      </c>
      <c r="L198" s="192"/>
      <c r="M198" s="79">
        <f ca="1">IF($K198="","",Bernd!$H94)</f>
        <v>3</v>
      </c>
      <c r="N198" s="79">
        <f ca="1">IF($K198="","",Bernd!$J94)</f>
        <v>1</v>
      </c>
      <c r="O198" s="191">
        <f ca="1">IF(Bernd!$AY94="","",Bernd!$AX94-O197)</f>
        <v>1</v>
      </c>
      <c r="P198" s="195"/>
      <c r="Q198" s="192"/>
      <c r="R198" s="79">
        <f ca="1">IF($K198="","",Mitspieler!$H94)</f>
        <v>0</v>
      </c>
      <c r="S198" s="79">
        <f ca="1">IF($K198="","",Mitspieler!$J94)</f>
        <v>1</v>
      </c>
      <c r="T198" s="191">
        <f ca="1">IF(Mitspieler!$AY94="","",Mitspieler!$AX94-T197)</f>
        <v>7</v>
      </c>
      <c r="U198" s="195"/>
      <c r="V198" s="192"/>
      <c r="W198" s="79">
        <f ca="1">IF($K198="","",Random!$H94)</f>
        <v>2</v>
      </c>
      <c r="X198" s="79">
        <f ca="1">IF($K198="","",Random!$J94)</f>
        <v>3</v>
      </c>
      <c r="Y198" s="191">
        <f ca="1">IF(Random!$AY94="","",Random!$AX94-Y197)</f>
        <v>7</v>
      </c>
      <c r="Z198" s="195"/>
      <c r="AA198" s="192"/>
      <c r="AB198" s="79">
        <f ca="1">IF($K198="","",Rangliste!$H94)</f>
        <v>1</v>
      </c>
      <c r="AC198" s="79">
        <f ca="1">IF($K198="","",Rangliste!$J94)</f>
        <v>0</v>
      </c>
      <c r="AD198" s="191">
        <f ca="1">IF(Rangliste!$AY94="","",Rangliste!$AX94-AD197)</f>
        <v>0</v>
      </c>
      <c r="AE198" s="195"/>
      <c r="AF198" s="192"/>
      <c r="AG198" s="79">
        <f ca="1">IF($K198="","",Fest!$H94)</f>
        <v>2</v>
      </c>
      <c r="AH198" s="79">
        <f ca="1">IF($K198="","",Fest!$J94)</f>
        <v>1</v>
      </c>
      <c r="AI198" s="191">
        <f ca="1">IF(Fest!$AY94="","",Fest!$AX94-AI197)</f>
        <v>0</v>
      </c>
      <c r="AJ198" s="195"/>
      <c r="AK198" s="192"/>
      <c r="AL198" s="79">
        <f ca="1">IF($K198="","",Nobody!$H94)</f>
        <v>3</v>
      </c>
      <c r="AM198" s="79">
        <f ca="1">IF($K198="","",Nobody!$J94)</f>
        <v>4</v>
      </c>
      <c r="AN198" s="191">
        <f ca="1">IF(Nobody!$AY94="","",Nobody!$AX94-AN197)</f>
        <v>9</v>
      </c>
      <c r="AO198" s="195"/>
      <c r="AP198" s="192"/>
    </row>
    <row r="199" spans="1:42">
      <c r="H199" s="2"/>
      <c r="I199" s="2"/>
      <c r="J199" s="2"/>
      <c r="L199" s="30"/>
      <c r="M199" s="65"/>
      <c r="N199" s="65"/>
      <c r="O199" s="30"/>
      <c r="P199" s="195"/>
      <c r="Q199" s="30"/>
      <c r="R199" s="65"/>
      <c r="S199" s="65"/>
      <c r="T199" s="30"/>
      <c r="U199" s="195"/>
      <c r="V199" s="30"/>
      <c r="W199" s="65"/>
      <c r="X199" s="65"/>
      <c r="Y199" s="30"/>
      <c r="Z199" s="195"/>
      <c r="AA199" s="30"/>
      <c r="AB199" s="65"/>
      <c r="AC199" s="65"/>
      <c r="AD199" s="30"/>
      <c r="AE199" s="195"/>
      <c r="AF199" s="30"/>
      <c r="AG199" s="65"/>
      <c r="AH199" s="65"/>
      <c r="AI199" s="30"/>
      <c r="AJ199" s="195"/>
      <c r="AK199" s="30"/>
      <c r="AL199" s="65"/>
      <c r="AM199" s="65"/>
      <c r="AN199" s="30"/>
      <c r="AO199" s="195"/>
      <c r="AP199" s="30"/>
    </row>
    <row r="200" spans="1:42" ht="13.5" thickBot="1">
      <c r="H200" s="2"/>
      <c r="I200" s="2"/>
      <c r="J200" s="2"/>
      <c r="L200" s="30"/>
      <c r="M200" s="65"/>
      <c r="N200" s="65"/>
      <c r="O200" s="30"/>
      <c r="P200" s="195"/>
      <c r="Q200" s="30"/>
      <c r="R200" s="65"/>
      <c r="S200" s="65"/>
      <c r="T200" s="30"/>
      <c r="U200" s="195"/>
      <c r="V200" s="30"/>
      <c r="W200" s="65"/>
      <c r="X200" s="65"/>
      <c r="Y200" s="30"/>
      <c r="Z200" s="195"/>
      <c r="AA200" s="30"/>
      <c r="AB200" s="65"/>
      <c r="AC200" s="65"/>
      <c r="AD200" s="30"/>
      <c r="AE200" s="195"/>
      <c r="AF200" s="30"/>
      <c r="AG200" s="65"/>
      <c r="AH200" s="65"/>
      <c r="AI200" s="30"/>
      <c r="AJ200" s="195"/>
      <c r="AK200" s="30"/>
      <c r="AL200" s="65"/>
      <c r="AM200" s="65"/>
      <c r="AN200" s="30"/>
      <c r="AO200" s="195"/>
      <c r="AP200" s="30"/>
    </row>
    <row r="201" spans="1:42" ht="14.25" thickTop="1" thickBot="1">
      <c r="C201" s="1"/>
      <c r="D201" s="3"/>
      <c r="F201" s="81"/>
      <c r="G201" s="82"/>
      <c r="H201" s="106"/>
      <c r="I201" s="1"/>
      <c r="J201" s="1"/>
      <c r="L201" s="30"/>
      <c r="M201" s="29"/>
      <c r="N201" s="29"/>
      <c r="O201" s="194">
        <f ca="1">SUM(O2:O199)</f>
        <v>255</v>
      </c>
      <c r="P201" s="195"/>
      <c r="Q201" s="30"/>
      <c r="R201" s="29"/>
      <c r="S201" s="29"/>
      <c r="T201" s="194">
        <f ca="1">SUM(T2:T199)</f>
        <v>299</v>
      </c>
      <c r="U201" s="195"/>
      <c r="V201" s="30"/>
      <c r="W201" s="29"/>
      <c r="X201" s="29"/>
      <c r="Y201" s="194">
        <f ca="1">SUM(Y2:Y199)</f>
        <v>265</v>
      </c>
      <c r="Z201" s="195"/>
      <c r="AA201" s="30"/>
      <c r="AB201" s="29"/>
      <c r="AC201" s="29"/>
      <c r="AD201" s="194">
        <f ca="1">SUM(AD2:AD199)</f>
        <v>258</v>
      </c>
      <c r="AE201" s="195"/>
      <c r="AF201" s="30"/>
      <c r="AG201" s="29"/>
      <c r="AH201" s="29"/>
      <c r="AI201" s="194">
        <f ca="1">SUM(AI2:AI199)</f>
        <v>305</v>
      </c>
      <c r="AJ201" s="195"/>
      <c r="AK201" s="30"/>
      <c r="AL201" s="29"/>
      <c r="AM201" s="29"/>
      <c r="AN201" s="194">
        <f ca="1">SUM(AN2:AN199)</f>
        <v>1000</v>
      </c>
      <c r="AO201" s="195"/>
      <c r="AP201" s="30"/>
    </row>
    <row r="202" spans="1:42" ht="13.5" thickTop="1">
      <c r="C202" s="1"/>
      <c r="D202" s="3"/>
      <c r="F202" s="81"/>
      <c r="H202" s="1"/>
      <c r="I202" s="1"/>
      <c r="J202" s="1"/>
      <c r="O202" s="79"/>
      <c r="T202" s="79"/>
      <c r="Y202" s="79"/>
      <c r="AD202" s="79"/>
      <c r="AI202" s="79"/>
      <c r="AN202" s="79"/>
    </row>
    <row r="203" spans="1:42" s="10" customFormat="1">
      <c r="H203" s="59"/>
      <c r="I203" s="59"/>
      <c r="J203" s="59"/>
      <c r="K203" s="105"/>
      <c r="O203" s="215">
        <f>Bernd!$AX97</f>
        <v>0</v>
      </c>
      <c r="P203" s="35"/>
      <c r="T203" s="215">
        <f>Mitspieler!$AX97</f>
        <v>0</v>
      </c>
      <c r="U203" s="35"/>
      <c r="Y203" s="215">
        <f>Random!$AX97</f>
        <v>0</v>
      </c>
      <c r="Z203" s="35"/>
      <c r="AD203" s="215">
        <f>Rangliste!$AX97</f>
        <v>0</v>
      </c>
      <c r="AE203" s="35"/>
      <c r="AI203" s="215">
        <f>Fest!$AX97</f>
        <v>0</v>
      </c>
      <c r="AJ203" s="35"/>
      <c r="AN203" s="215"/>
      <c r="AO203" s="35"/>
    </row>
    <row r="204" spans="1:42" s="10" customFormat="1">
      <c r="H204" s="59"/>
      <c r="I204" s="59"/>
      <c r="J204" s="59"/>
      <c r="K204" s="105"/>
      <c r="O204" s="215">
        <f ca="1">Bernd!$AX98</f>
        <v>255</v>
      </c>
      <c r="P204" s="35"/>
      <c r="T204" s="215">
        <f ca="1">Mitspieler!$AX98</f>
        <v>299</v>
      </c>
      <c r="U204" s="35"/>
      <c r="Y204" s="215">
        <f ca="1">Random!$AX98</f>
        <v>265</v>
      </c>
      <c r="Z204" s="35"/>
      <c r="AD204" s="215">
        <f ca="1">Rangliste!$AX98</f>
        <v>258</v>
      </c>
      <c r="AE204" s="35"/>
      <c r="AI204" s="215">
        <f ca="1">Fest!$AX98</f>
        <v>305</v>
      </c>
      <c r="AJ204" s="35"/>
      <c r="AN204" s="215">
        <f ca="1">Nobody!$AX98</f>
        <v>1000</v>
      </c>
      <c r="AO204" s="35"/>
    </row>
  </sheetData>
  <mergeCells count="6">
    <mergeCell ref="AL196:AM196"/>
    <mergeCell ref="R196:S196"/>
    <mergeCell ref="M196:N196"/>
    <mergeCell ref="W196:X196"/>
    <mergeCell ref="AB196:AC196"/>
    <mergeCell ref="AG196:AH196"/>
  </mergeCells>
  <phoneticPr fontId="23" type="noConversion"/>
  <conditionalFormatting sqref="M4:M9 M14:M19 M24:M29 M198 M34:M39 M54:M59 M44:M49 M176 M186 M189:M191 M178">
    <cfRule type="expression" dxfId="865" priority="6214" stopIfTrue="1">
      <formula>AND(M4&lt;&gt;"",M4=$H4)</formula>
    </cfRule>
  </conditionalFormatting>
  <conditionalFormatting sqref="N4:N9 N14:N19 N24:N29 N198 N34:N39 N54:N59 N44:N49 N176 N186 N189:N191">
    <cfRule type="expression" dxfId="864" priority="6215" stopIfTrue="1">
      <formula>AND(N4&lt;&gt;"",N4=$J4)</formula>
    </cfRule>
  </conditionalFormatting>
  <conditionalFormatting sqref="N175 N179 N181 X175 X179 X181 X177 AC175 AC179 AC181 AC177 AH175 AH179 AH181 AH177 AM175 AM179 AM181 AM177">
    <cfRule type="expression" dxfId="863" priority="6091" stopIfTrue="1">
      <formula>AND(N176&lt;&gt;"",$F176=N175)</formula>
    </cfRule>
    <cfRule type="expression" dxfId="862" priority="6169" stopIfTrue="1">
      <formula>AND(N176&lt;&gt;"",COUNTIF($D$176:$F$182,N175)&gt;0)</formula>
    </cfRule>
  </conditionalFormatting>
  <conditionalFormatting sqref="M157 M123 M125 M127 M129 M131 M133 M135 M137 M139 M141 M143 M145 M147 M149 M151 M153 W157 W123 W125 W127 W129 W131 W133 W135 W137 W139 W141 W143 W145 W147 W149 W151 W153 W159 W161 W163 W165 W167 W169 W171 AB157 AB123 AB125 AB127 AB129 AB131 AB133 AB135 AB137 AB139 AB141 AB143 AB145 AB147 AB149 AB151 AB153 AB159 AB161 AB163 AB165 AB167 AB169 AB171 AG157 AG123 AG125 AG127 AG129 AG131 AG133 AG135 AG137 AG139 AG141 AG143 AG145 AG147 AG149 AG151 AG153 AG159 AG161 AG163 AG165 AG167 AG169 AG171 AL157 AL123 AL125 AL127 AL129 AL131 AL133 AL135 AL137 AL139 AL141 AL143 AL145 AL147 AL149 AL151 AL153 AL159 AL161 AL163 AL165 AL167 AL169 AL171">
    <cfRule type="expression" dxfId="861" priority="6216" stopIfTrue="1">
      <formula>AND(M124&lt;&gt;"",$D124=M123)</formula>
    </cfRule>
  </conditionalFormatting>
  <conditionalFormatting sqref="N157 N123 N125 N127 N129 N131 N133 N135 N137 N139 N141 N143 N145 N147 N149 N151 N153 X157 X123 X125 X127 X129 X131 X133 X135 X137 X139 X141 X143 X145 X147 X149 X151 X153 X159 X161 X163 X165 X167 X169 X171 AC157 AC123 AC125 AC127 AC129 AC131 AC133 AC135 AC137 AC139 AC141 AC143 AC145 AC147 AC149 AC151 AC153 AC159 AC161 AC163 AC165 AC167 AC169 AC171 AH157 AH123 AH125 AH127 AH129 AH131 AH133 AH135 AH137 AH139 AH141 AH143 AH145 AH147 AH149 AH151 AH153 AH159 AH161 AH163 AH165 AH167 AH169 AH171 AM157 AM123 AM125 AM127 AM129 AM131 AM133 AM135 AM137 AM139 AM141 AM143 AM145 AM147 AM149 AM151 AM153 AM159 AM161 AM163 AM165 AM167 AM169 AM171">
    <cfRule type="expression" dxfId="860" priority="6217" stopIfTrue="1">
      <formula>AND(N124&lt;&gt;"",$F124=N123)</formula>
    </cfRule>
  </conditionalFormatting>
  <conditionalFormatting sqref="M175 M177 W175 W177 W179 W181 AB175 AB177 AB179 AB181 AG175 AG177 AG179 AG181 AL175 AL177 AL179 AL181">
    <cfRule type="expression" dxfId="859" priority="6218" stopIfTrue="1">
      <formula>AND(M176&lt;&gt;"",$D176=M175)</formula>
    </cfRule>
    <cfRule type="expression" dxfId="858" priority="6219" stopIfTrue="1">
      <formula>AND(M176&lt;&gt;"",COUNTIF($D$176:$F$182,M175)&gt;0)</formula>
    </cfRule>
  </conditionalFormatting>
  <conditionalFormatting sqref="M185 W185 W187 W192 AB185 AB187 AB192 AG185 AG187 AG192 AL185 AL187 AL192">
    <cfRule type="expression" dxfId="857" priority="6220" stopIfTrue="1">
      <formula>AND(M186&lt;&gt;"",$D186=M185)</formula>
    </cfRule>
    <cfRule type="expression" dxfId="856" priority="6221" stopIfTrue="1">
      <formula>AND(M186&lt;&gt;"",COUNTIF($D$186:$F$188,M185)&gt;0)</formula>
    </cfRule>
  </conditionalFormatting>
  <conditionalFormatting sqref="N185 X185 X187 X192 AC185 AC187 AC192 AH185 AH187 AH192 AM185 AM187 AM192">
    <cfRule type="expression" dxfId="855" priority="6222" stopIfTrue="1">
      <formula>AND(N186&lt;&gt;"",$F186=N185)</formula>
    </cfRule>
    <cfRule type="expression" dxfId="854" priority="6223" stopIfTrue="1">
      <formula>AND(N186&lt;&gt;"",COUNTIF($D$186:$F$188,N185)&gt;0)</formula>
    </cfRule>
  </conditionalFormatting>
  <conditionalFormatting sqref="M197 W197 AB197 AG197 AL197">
    <cfRule type="expression" dxfId="853" priority="6224" stopIfTrue="1">
      <formula>AND(M198&lt;&gt;"",OR($D198=M197,$F198=M197))</formula>
    </cfRule>
  </conditionalFormatting>
  <conditionalFormatting sqref="N197 X197 AC197 AH197 AM197">
    <cfRule type="expression" dxfId="852" priority="6225" stopIfTrue="1">
      <formula>AND(N198&lt;&gt;"",OR($F198=N197,$D198=N197))</formula>
    </cfRule>
  </conditionalFormatting>
  <conditionalFormatting sqref="O156">
    <cfRule type="cellIs" dxfId="851" priority="6117" stopIfTrue="1" operator="between">
      <formula>1</formula>
      <formula>3</formula>
    </cfRule>
    <cfRule type="cellIs" dxfId="850" priority="6118" stopIfTrue="1" operator="greaterThan">
      <formula>3</formula>
    </cfRule>
  </conditionalFormatting>
  <conditionalFormatting sqref="O4:O9 O54:O59 O44:O49 O34:O39 O14:O19 O24:O29 O189:O191 O194:O195 O158 O124">
    <cfRule type="cellIs" dxfId="849" priority="6115" stopIfTrue="1" operator="between">
      <formula>1</formula>
      <formula>3</formula>
    </cfRule>
    <cfRule type="cellIs" dxfId="848" priority="6116" stopIfTrue="1" operator="between">
      <formula>4</formula>
      <formula>20</formula>
    </cfRule>
  </conditionalFormatting>
  <conditionalFormatting sqref="O173:O174 O183:O184">
    <cfRule type="cellIs" dxfId="847" priority="6113" stopIfTrue="1" operator="between">
      <formula>1</formula>
      <formula>3</formula>
    </cfRule>
    <cfRule type="cellIs" dxfId="846" priority="6114" stopIfTrue="1" operator="greaterThan">
      <formula>3</formula>
    </cfRule>
  </conditionalFormatting>
  <conditionalFormatting sqref="O176 O178">
    <cfRule type="cellIs" dxfId="845" priority="6110" stopIfTrue="1" operator="between">
      <formula>1</formula>
      <formula>4</formula>
    </cfRule>
    <cfRule type="cellIs" dxfId="844" priority="6111" stopIfTrue="1" operator="between">
      <formula>5</formula>
      <formula>20</formula>
    </cfRule>
  </conditionalFormatting>
  <conditionalFormatting sqref="O186">
    <cfRule type="cellIs" dxfId="843" priority="6108" stopIfTrue="1" operator="between">
      <formula>1</formula>
      <formula>6</formula>
    </cfRule>
    <cfRule type="cellIs" dxfId="842" priority="6109" stopIfTrue="1" operator="between">
      <formula>7</formula>
      <formula>20</formula>
    </cfRule>
  </conditionalFormatting>
  <conditionalFormatting sqref="O198">
    <cfRule type="cellIs" dxfId="841" priority="6106" stopIfTrue="1" operator="between">
      <formula>1</formula>
      <formula>7</formula>
    </cfRule>
    <cfRule type="cellIs" dxfId="840" priority="6107" stopIfTrue="1" operator="between">
      <formula>8</formula>
      <formula>20</formula>
    </cfRule>
  </conditionalFormatting>
  <conditionalFormatting sqref="O157 O123">
    <cfRule type="cellIs" dxfId="839" priority="6104" stopIfTrue="1" operator="between">
      <formula>1</formula>
      <formula>1</formula>
    </cfRule>
    <cfRule type="cellIs" dxfId="838" priority="6105" stopIfTrue="1" operator="between">
      <formula>2</formula>
      <formula>20</formula>
    </cfRule>
  </conditionalFormatting>
  <conditionalFormatting sqref="O175 O185 O197 O177">
    <cfRule type="cellIs" dxfId="837" priority="6102" stopIfTrue="1" operator="between">
      <formula>1</formula>
      <formula>2</formula>
    </cfRule>
    <cfRule type="cellIs" dxfId="836" priority="6103" stopIfTrue="1" operator="between">
      <formula>3</formula>
      <formula>20</formula>
    </cfRule>
  </conditionalFormatting>
  <conditionalFormatting sqref="O196">
    <cfRule type="cellIs" dxfId="835" priority="6093" stopIfTrue="1" operator="between">
      <formula>1</formula>
      <formula>2</formula>
    </cfRule>
    <cfRule type="cellIs" dxfId="834" priority="6094" stopIfTrue="1" operator="between">
      <formula>3</formula>
      <formula>30</formula>
    </cfRule>
  </conditionalFormatting>
  <conditionalFormatting sqref="O2:O3">
    <cfRule type="cellIs" dxfId="833" priority="6082" stopIfTrue="1" operator="between">
      <formula>1</formula>
      <formula>3</formula>
    </cfRule>
    <cfRule type="cellIs" dxfId="832" priority="6083" stopIfTrue="1" operator="between">
      <formula>4</formula>
      <formula>20</formula>
    </cfRule>
  </conditionalFormatting>
  <conditionalFormatting sqref="O10:O13">
    <cfRule type="cellIs" dxfId="831" priority="6080" stopIfTrue="1" operator="between">
      <formula>1</formula>
      <formula>3</formula>
    </cfRule>
    <cfRule type="cellIs" dxfId="830" priority="6081" stopIfTrue="1" operator="between">
      <formula>4</formula>
      <formula>20</formula>
    </cfRule>
  </conditionalFormatting>
  <conditionalFormatting sqref="O20:O23">
    <cfRule type="cellIs" dxfId="829" priority="6078" stopIfTrue="1" operator="between">
      <formula>1</formula>
      <formula>3</formula>
    </cfRule>
    <cfRule type="cellIs" dxfId="828" priority="6079" stopIfTrue="1" operator="between">
      <formula>4</formula>
      <formula>20</formula>
    </cfRule>
  </conditionalFormatting>
  <conditionalFormatting sqref="O30:O33">
    <cfRule type="cellIs" dxfId="827" priority="6076" stopIfTrue="1" operator="between">
      <formula>1</formula>
      <formula>3</formula>
    </cfRule>
    <cfRule type="cellIs" dxfId="826" priority="6077" stopIfTrue="1" operator="between">
      <formula>4</formula>
      <formula>20</formula>
    </cfRule>
  </conditionalFormatting>
  <conditionalFormatting sqref="O40:O43">
    <cfRule type="cellIs" dxfId="825" priority="6074" stopIfTrue="1" operator="between">
      <formula>1</formula>
      <formula>3</formula>
    </cfRule>
    <cfRule type="cellIs" dxfId="824" priority="6075" stopIfTrue="1" operator="between">
      <formula>4</formula>
      <formula>20</formula>
    </cfRule>
  </conditionalFormatting>
  <conditionalFormatting sqref="O50:O53">
    <cfRule type="cellIs" dxfId="823" priority="6072" stopIfTrue="1" operator="between">
      <formula>1</formula>
      <formula>3</formula>
    </cfRule>
    <cfRule type="cellIs" dxfId="822" priority="6073" stopIfTrue="1" operator="between">
      <formula>4</formula>
      <formula>20</formula>
    </cfRule>
  </conditionalFormatting>
  <conditionalFormatting sqref="O60">
    <cfRule type="cellIs" dxfId="821" priority="6070" stopIfTrue="1" operator="between">
      <formula>1</formula>
      <formula>3</formula>
    </cfRule>
    <cfRule type="cellIs" dxfId="820" priority="6071" stopIfTrue="1" operator="between">
      <formula>4</formula>
      <formula>20</formula>
    </cfRule>
  </conditionalFormatting>
  <conditionalFormatting sqref="M64:M69 M74:M79 M84:M89 M94:M99 M104:M109 M114:M119">
    <cfRule type="expression" dxfId="819" priority="6068" stopIfTrue="1">
      <formula>AND(M64&lt;&gt;"",M64=$H64)</formula>
    </cfRule>
  </conditionalFormatting>
  <conditionalFormatting sqref="N64:N69 N74:N79 N84:N89 N94:N99 N104:N109 N114:N119">
    <cfRule type="expression" dxfId="818" priority="6069" stopIfTrue="1">
      <formula>AND(N64&lt;&gt;"",N64=$J64)</formula>
    </cfRule>
  </conditionalFormatting>
  <conditionalFormatting sqref="O64:O69 O114:O119 O104:O109 O94:O99 O74:O79 O82:O90">
    <cfRule type="cellIs" dxfId="817" priority="6066" stopIfTrue="1" operator="between">
      <formula>1</formula>
      <formula>3</formula>
    </cfRule>
    <cfRule type="cellIs" dxfId="816" priority="6067" stopIfTrue="1" operator="between">
      <formula>4</formula>
      <formula>20</formula>
    </cfRule>
  </conditionalFormatting>
  <conditionalFormatting sqref="O62:O70">
    <cfRule type="cellIs" dxfId="815" priority="6064" stopIfTrue="1" operator="between">
      <formula>1</formula>
      <formula>3</formula>
    </cfRule>
    <cfRule type="cellIs" dxfId="814" priority="6065" stopIfTrue="1" operator="between">
      <formula>4</formula>
      <formula>20</formula>
    </cfRule>
  </conditionalFormatting>
  <conditionalFormatting sqref="O70:O80">
    <cfRule type="cellIs" dxfId="813" priority="6062" stopIfTrue="1" operator="between">
      <formula>1</formula>
      <formula>3</formula>
    </cfRule>
    <cfRule type="cellIs" dxfId="812" priority="6063" stopIfTrue="1" operator="between">
      <formula>4</formula>
      <formula>20</formula>
    </cfRule>
  </conditionalFormatting>
  <conditionalFormatting sqref="O80:O83">
    <cfRule type="cellIs" dxfId="811" priority="6060" stopIfTrue="1" operator="between">
      <formula>1</formula>
      <formula>3</formula>
    </cfRule>
    <cfRule type="cellIs" dxfId="810" priority="6061" stopIfTrue="1" operator="between">
      <formula>4</formula>
      <formula>20</formula>
    </cfRule>
  </conditionalFormatting>
  <conditionalFormatting sqref="O90:O100">
    <cfRule type="cellIs" dxfId="809" priority="6058" stopIfTrue="1" operator="between">
      <formula>1</formula>
      <formula>3</formula>
    </cfRule>
    <cfRule type="cellIs" dxfId="808" priority="6059" stopIfTrue="1" operator="between">
      <formula>4</formula>
      <formula>20</formula>
    </cfRule>
  </conditionalFormatting>
  <conditionalFormatting sqref="O100:O110">
    <cfRule type="cellIs" dxfId="807" priority="6056" stopIfTrue="1" operator="between">
      <formula>1</formula>
      <formula>3</formula>
    </cfRule>
    <cfRule type="cellIs" dxfId="806" priority="6057" stopIfTrue="1" operator="between">
      <formula>4</formula>
      <formula>20</formula>
    </cfRule>
  </conditionalFormatting>
  <conditionalFormatting sqref="O110:O120">
    <cfRule type="cellIs" dxfId="805" priority="6054" stopIfTrue="1" operator="between">
      <formula>1</formula>
      <formula>3</formula>
    </cfRule>
    <cfRule type="cellIs" dxfId="804" priority="6055" stopIfTrue="1" operator="between">
      <formula>4</formula>
      <formula>20</formula>
    </cfRule>
  </conditionalFormatting>
  <conditionalFormatting sqref="O120">
    <cfRule type="cellIs" dxfId="803" priority="6052" stopIfTrue="1" operator="between">
      <formula>1</formula>
      <formula>3</formula>
    </cfRule>
    <cfRule type="cellIs" dxfId="802" priority="6053" stopIfTrue="1" operator="between">
      <formula>4</formula>
      <formula>20</formula>
    </cfRule>
  </conditionalFormatting>
  <conditionalFormatting sqref="M180">
    <cfRule type="expression" dxfId="801" priority="6045" stopIfTrue="1">
      <formula>AND(M180&lt;&gt;"",M180=$H180)</formula>
    </cfRule>
  </conditionalFormatting>
  <conditionalFormatting sqref="M179">
    <cfRule type="expression" dxfId="800" priority="6047" stopIfTrue="1">
      <formula>AND(M180&lt;&gt;"",$D180=M179)</formula>
    </cfRule>
    <cfRule type="expression" dxfId="799" priority="6048" stopIfTrue="1">
      <formula>AND(M180&lt;&gt;"",COUNTIF($D$176:$F$182,M179)&gt;0)</formula>
    </cfRule>
  </conditionalFormatting>
  <conditionalFormatting sqref="O182">
    <cfRule type="cellIs" dxfId="798" priority="6042" stopIfTrue="1" operator="between">
      <formula>1</formula>
      <formula>4</formula>
    </cfRule>
    <cfRule type="cellIs" dxfId="797" priority="6043" stopIfTrue="1" operator="between">
      <formula>5</formula>
      <formula>20</formula>
    </cfRule>
  </conditionalFormatting>
  <conditionalFormatting sqref="O179 O181">
    <cfRule type="cellIs" dxfId="796" priority="6040" stopIfTrue="1" operator="between">
      <formula>1</formula>
      <formula>2</formula>
    </cfRule>
    <cfRule type="cellIs" dxfId="795" priority="6041" stopIfTrue="1" operator="between">
      <formula>3</formula>
      <formula>20</formula>
    </cfRule>
  </conditionalFormatting>
  <conditionalFormatting sqref="M182">
    <cfRule type="expression" dxfId="794" priority="6035" stopIfTrue="1">
      <formula>AND(M182&lt;&gt;"",M182=$H182)</formula>
    </cfRule>
  </conditionalFormatting>
  <conditionalFormatting sqref="N182">
    <cfRule type="expression" dxfId="793" priority="6036" stopIfTrue="1">
      <formula>AND(N182&lt;&gt;"",N182=$J182)</formula>
    </cfRule>
  </conditionalFormatting>
  <conditionalFormatting sqref="M181">
    <cfRule type="expression" dxfId="792" priority="6037" stopIfTrue="1">
      <formula>AND(M182&lt;&gt;"",$D182=M181)</formula>
    </cfRule>
    <cfRule type="expression" dxfId="791" priority="6038" stopIfTrue="1">
      <formula>AND(M182&lt;&gt;"",COUNTIF($D$176:$F$182,M181)&gt;0)</formula>
    </cfRule>
  </conditionalFormatting>
  <conditionalFormatting sqref="O180">
    <cfRule type="cellIs" dxfId="790" priority="6031" stopIfTrue="1" operator="between">
      <formula>1</formula>
      <formula>4</formula>
    </cfRule>
    <cfRule type="cellIs" dxfId="789" priority="6032" stopIfTrue="1" operator="between">
      <formula>5</formula>
      <formula>20</formula>
    </cfRule>
  </conditionalFormatting>
  <conditionalFormatting sqref="N177">
    <cfRule type="expression" dxfId="788" priority="6029" stopIfTrue="1">
      <formula>AND(N178&lt;&gt;"",$F178=N177)</formula>
    </cfRule>
    <cfRule type="expression" dxfId="787" priority="6030" stopIfTrue="1">
      <formula>AND(N178&lt;&gt;"",COUNTIF($D$176:$F$182,N177)&gt;0)</formula>
    </cfRule>
  </conditionalFormatting>
  <conditionalFormatting sqref="N178">
    <cfRule type="expression" dxfId="786" priority="6028" stopIfTrue="1">
      <formula>AND(N178&lt;&gt;"",N178=$J178)</formula>
    </cfRule>
  </conditionalFormatting>
  <conditionalFormatting sqref="N180">
    <cfRule type="expression" dxfId="785" priority="6027" stopIfTrue="1">
      <formula>AND(N180&lt;&gt;"",N180=$J180)</formula>
    </cfRule>
  </conditionalFormatting>
  <conditionalFormatting sqref="O155">
    <cfRule type="cellIs" dxfId="784" priority="6021" stopIfTrue="1" operator="between">
      <formula>1</formula>
      <formula>3</formula>
    </cfRule>
    <cfRule type="cellIs" dxfId="783" priority="6022" stopIfTrue="1" operator="greaterThan">
      <formula>3</formula>
    </cfRule>
  </conditionalFormatting>
  <conditionalFormatting sqref="O155">
    <cfRule type="cellIs" dxfId="782" priority="6015" stopIfTrue="1" operator="between">
      <formula>1</formula>
      <formula>3</formula>
    </cfRule>
    <cfRule type="cellIs" dxfId="781" priority="6016" stopIfTrue="1" operator="between">
      <formula>4</formula>
      <formula>20</formula>
    </cfRule>
  </conditionalFormatting>
  <conditionalFormatting sqref="O155">
    <cfRule type="cellIs" dxfId="780" priority="6013" stopIfTrue="1" operator="between">
      <formula>1</formula>
      <formula>3</formula>
    </cfRule>
    <cfRule type="cellIs" dxfId="779" priority="6014" stopIfTrue="1" operator="between">
      <formula>4</formula>
      <formula>20</formula>
    </cfRule>
  </conditionalFormatting>
  <conditionalFormatting sqref="O121:O122">
    <cfRule type="cellIs" dxfId="778" priority="5961" stopIfTrue="1" operator="between">
      <formula>1</formula>
      <formula>3</formula>
    </cfRule>
    <cfRule type="cellIs" dxfId="777" priority="5962" stopIfTrue="1" operator="greaterThan">
      <formula>3</formula>
    </cfRule>
  </conditionalFormatting>
  <conditionalFormatting sqref="O121:O122">
    <cfRule type="cellIs" dxfId="776" priority="5959" stopIfTrue="1" operator="between">
      <formula>1</formula>
      <formula>3</formula>
    </cfRule>
    <cfRule type="cellIs" dxfId="775" priority="5960" stopIfTrue="1" operator="between">
      <formula>4</formula>
      <formula>20</formula>
    </cfRule>
  </conditionalFormatting>
  <conditionalFormatting sqref="O121:O122">
    <cfRule type="cellIs" dxfId="774" priority="5957" stopIfTrue="1" operator="between">
      <formula>1</formula>
      <formula>3</formula>
    </cfRule>
    <cfRule type="cellIs" dxfId="773" priority="5958" stopIfTrue="1" operator="between">
      <formula>4</formula>
      <formula>20</formula>
    </cfRule>
  </conditionalFormatting>
  <conditionalFormatting sqref="M188">
    <cfRule type="expression" dxfId="772" priority="5947" stopIfTrue="1">
      <formula>AND(M188&lt;&gt;"",M188=$H188)</formula>
    </cfRule>
  </conditionalFormatting>
  <conditionalFormatting sqref="N188">
    <cfRule type="expression" dxfId="771" priority="5948" stopIfTrue="1">
      <formula>AND(N188&lt;&gt;"",N188=$J188)</formula>
    </cfRule>
  </conditionalFormatting>
  <conditionalFormatting sqref="M187">
    <cfRule type="expression" dxfId="770" priority="5949" stopIfTrue="1">
      <formula>AND(M188&lt;&gt;"",$D188=M187)</formula>
    </cfRule>
    <cfRule type="expression" dxfId="769" priority="5950" stopIfTrue="1">
      <formula>AND(M188&lt;&gt;"",COUNTIF($D$186:$F$188,M187)&gt;0)</formula>
    </cfRule>
  </conditionalFormatting>
  <conditionalFormatting sqref="N187">
    <cfRule type="expression" dxfId="768" priority="5951" stopIfTrue="1">
      <formula>AND(N188&lt;&gt;"",$F188=N187)</formula>
    </cfRule>
    <cfRule type="expression" dxfId="767" priority="5952" stopIfTrue="1">
      <formula>AND(N188&lt;&gt;"",COUNTIF($D$186:$F$188,N187)&gt;0)</formula>
    </cfRule>
  </conditionalFormatting>
  <conditionalFormatting sqref="O193">
    <cfRule type="cellIs" dxfId="766" priority="5933" stopIfTrue="1" operator="between">
      <formula>1</formula>
      <formula>6</formula>
    </cfRule>
    <cfRule type="cellIs" dxfId="765" priority="5934" stopIfTrue="1" operator="between">
      <formula>7</formula>
      <formula>20</formula>
    </cfRule>
  </conditionalFormatting>
  <conditionalFormatting sqref="O187">
    <cfRule type="cellIs" dxfId="764" priority="5943" stopIfTrue="1" operator="between">
      <formula>1</formula>
      <formula>2</formula>
    </cfRule>
    <cfRule type="cellIs" dxfId="763" priority="5944" stopIfTrue="1" operator="between">
      <formula>3</formula>
      <formula>20</formula>
    </cfRule>
  </conditionalFormatting>
  <conditionalFormatting sqref="O188">
    <cfRule type="cellIs" dxfId="762" priority="5941" stopIfTrue="1" operator="between">
      <formula>1</formula>
      <formula>6</formula>
    </cfRule>
    <cfRule type="cellIs" dxfId="761" priority="5942" stopIfTrue="1" operator="between">
      <formula>7</formula>
      <formula>20</formula>
    </cfRule>
  </conditionalFormatting>
  <conditionalFormatting sqref="M193">
    <cfRule type="expression" dxfId="760" priority="5935" stopIfTrue="1">
      <formula>AND(M193&lt;&gt;"",M193=$H193)</formula>
    </cfRule>
  </conditionalFormatting>
  <conditionalFormatting sqref="N193">
    <cfRule type="expression" dxfId="759" priority="5936" stopIfTrue="1">
      <formula>AND(N193&lt;&gt;"",N193=$J193)</formula>
    </cfRule>
  </conditionalFormatting>
  <conditionalFormatting sqref="M192">
    <cfRule type="expression" dxfId="758" priority="5937" stopIfTrue="1">
      <formula>AND(M193&lt;&gt;"",$D193=M192)</formula>
    </cfRule>
    <cfRule type="expression" dxfId="757" priority="5938" stopIfTrue="1">
      <formula>AND(M193&lt;&gt;"",COUNTIF($D$186:$F$188,M192)&gt;0)</formula>
    </cfRule>
  </conditionalFormatting>
  <conditionalFormatting sqref="N192">
    <cfRule type="expression" dxfId="756" priority="5939" stopIfTrue="1">
      <formula>AND(N193&lt;&gt;"",$F193=N192)</formula>
    </cfRule>
    <cfRule type="expression" dxfId="755" priority="5940" stopIfTrue="1">
      <formula>AND(N193&lt;&gt;"",COUNTIF($D$186:$F$188,N192)&gt;0)</formula>
    </cfRule>
  </conditionalFormatting>
  <conditionalFormatting sqref="O192">
    <cfRule type="cellIs" dxfId="754" priority="5931" stopIfTrue="1" operator="between">
      <formula>1</formula>
      <formula>2</formula>
    </cfRule>
    <cfRule type="cellIs" dxfId="753" priority="5932" stopIfTrue="1" operator="between">
      <formula>3</formula>
      <formula>20</formula>
    </cfRule>
  </conditionalFormatting>
  <conditionalFormatting sqref="M158">
    <cfRule type="expression" dxfId="752" priority="6226" stopIfTrue="1">
      <formula>AND(M158&lt;&gt;"",M158=$H158)</formula>
    </cfRule>
  </conditionalFormatting>
  <conditionalFormatting sqref="N158">
    <cfRule type="expression" dxfId="751" priority="6227" stopIfTrue="1">
      <formula>AND(N158&lt;&gt;"",N158=$J158)</formula>
    </cfRule>
  </conditionalFormatting>
  <conditionalFormatting sqref="O160">
    <cfRule type="cellIs" dxfId="750" priority="5929" stopIfTrue="1" operator="between">
      <formula>1</formula>
      <formula>3</formula>
    </cfRule>
    <cfRule type="cellIs" dxfId="749" priority="5930" stopIfTrue="1" operator="between">
      <formula>4</formula>
      <formula>20</formula>
    </cfRule>
  </conditionalFormatting>
  <conditionalFormatting sqref="O159">
    <cfRule type="cellIs" dxfId="748" priority="5927" stopIfTrue="1" operator="between">
      <formula>1</formula>
      <formula>1</formula>
    </cfRule>
    <cfRule type="cellIs" dxfId="747" priority="5928" stopIfTrue="1" operator="between">
      <formula>2</formula>
      <formula>20</formula>
    </cfRule>
  </conditionalFormatting>
  <conditionalFormatting sqref="O162 O164 O166 O168 O170 O172">
    <cfRule type="cellIs" dxfId="746" priority="5925" stopIfTrue="1" operator="between">
      <formula>1</formula>
      <formula>3</formula>
    </cfRule>
    <cfRule type="cellIs" dxfId="745" priority="5926" stopIfTrue="1" operator="between">
      <formula>4</formula>
      <formula>20</formula>
    </cfRule>
  </conditionalFormatting>
  <conditionalFormatting sqref="O161 O163 O165 O167 O169 O171">
    <cfRule type="cellIs" dxfId="744" priority="5923" stopIfTrue="1" operator="between">
      <formula>1</formula>
      <formula>1</formula>
    </cfRule>
    <cfRule type="cellIs" dxfId="743" priority="5924" stopIfTrue="1" operator="between">
      <formula>2</formula>
      <formula>20</formula>
    </cfRule>
  </conditionalFormatting>
  <conditionalFormatting sqref="M159 M161 M163 M165 M167 M169 M171">
    <cfRule type="expression" dxfId="742" priority="5919" stopIfTrue="1">
      <formula>AND(M160&lt;&gt;"",$D160=M159)</formula>
    </cfRule>
  </conditionalFormatting>
  <conditionalFormatting sqref="N159 N161 N163 N165 N167 N169 N171">
    <cfRule type="expression" dxfId="741" priority="5920" stopIfTrue="1">
      <formula>AND(N160&lt;&gt;"",$F160=N159)</formula>
    </cfRule>
  </conditionalFormatting>
  <conditionalFormatting sqref="M160 M162 M164 M166 M168 M170 M172">
    <cfRule type="expression" dxfId="740" priority="5921" stopIfTrue="1">
      <formula>AND(M160&lt;&gt;"",M160=$H160)</formula>
    </cfRule>
  </conditionalFormatting>
  <conditionalFormatting sqref="N160 N162 N164 N166 N168 N170 N172">
    <cfRule type="expression" dxfId="739" priority="5922" stopIfTrue="1">
      <formula>AND(N160&lt;&gt;"",N160=$J160)</formula>
    </cfRule>
  </conditionalFormatting>
  <conditionalFormatting sqref="M124">
    <cfRule type="expression" dxfId="738" priority="5917" stopIfTrue="1">
      <formula>AND(M124&lt;&gt;"",M124=$H124)</formula>
    </cfRule>
  </conditionalFormatting>
  <conditionalFormatting sqref="N124">
    <cfRule type="expression" dxfId="737" priority="5918" stopIfTrue="1">
      <formula>AND(N124&lt;&gt;"",N124=$J124)</formula>
    </cfRule>
  </conditionalFormatting>
  <conditionalFormatting sqref="O125 O127 O129 O131 O133 O135 O137 O139 O141 O143 O145 O147 O149 O151 O153">
    <cfRule type="cellIs" dxfId="736" priority="5907" stopIfTrue="1" operator="between">
      <formula>1</formula>
      <formula>1</formula>
    </cfRule>
    <cfRule type="cellIs" dxfId="735" priority="5908" stopIfTrue="1" operator="between">
      <formula>2</formula>
      <formula>20</formula>
    </cfRule>
  </conditionalFormatting>
  <conditionalFormatting sqref="O136">
    <cfRule type="cellIs" dxfId="734" priority="5887" stopIfTrue="1" operator="between">
      <formula>1</formula>
      <formula>3</formula>
    </cfRule>
    <cfRule type="cellIs" dxfId="733" priority="5888" stopIfTrue="1" operator="between">
      <formula>4</formula>
      <formula>20</formula>
    </cfRule>
  </conditionalFormatting>
  <conditionalFormatting sqref="M126 M128 M130 M132 M134 M136 M138 M140 M142 M144 M146 M148 M150 M152 M154">
    <cfRule type="expression" dxfId="732" priority="5899" stopIfTrue="1">
      <formula>AND(M126&lt;&gt;"",M126=$H126)</formula>
    </cfRule>
  </conditionalFormatting>
  <conditionalFormatting sqref="N126 N128 N130 N132 N134 N136 N138 N140 N142 N144 N146 N148 N150 N152 N154">
    <cfRule type="expression" dxfId="731" priority="5900" stopIfTrue="1">
      <formula>AND(N126&lt;&gt;"",N126=$J126)</formula>
    </cfRule>
  </conditionalFormatting>
  <conditionalFormatting sqref="O126">
    <cfRule type="cellIs" dxfId="730" priority="5897" stopIfTrue="1" operator="between">
      <formula>1</formula>
      <formula>3</formula>
    </cfRule>
    <cfRule type="cellIs" dxfId="729" priority="5898" stopIfTrue="1" operator="between">
      <formula>4</formula>
      <formula>20</formula>
    </cfRule>
  </conditionalFormatting>
  <conditionalFormatting sqref="O128">
    <cfRule type="cellIs" dxfId="728" priority="5895" stopIfTrue="1" operator="between">
      <formula>1</formula>
      <formula>3</formula>
    </cfRule>
    <cfRule type="cellIs" dxfId="727" priority="5896" stopIfTrue="1" operator="between">
      <formula>4</formula>
      <formula>20</formula>
    </cfRule>
  </conditionalFormatting>
  <conditionalFormatting sqref="O130">
    <cfRule type="cellIs" dxfId="726" priority="5893" stopIfTrue="1" operator="between">
      <formula>1</formula>
      <formula>3</formula>
    </cfRule>
    <cfRule type="cellIs" dxfId="725" priority="5894" stopIfTrue="1" operator="between">
      <formula>4</formula>
      <formula>20</formula>
    </cfRule>
  </conditionalFormatting>
  <conditionalFormatting sqref="O132">
    <cfRule type="cellIs" dxfId="724" priority="5891" stopIfTrue="1" operator="between">
      <formula>1</formula>
      <formula>3</formula>
    </cfRule>
    <cfRule type="cellIs" dxfId="723" priority="5892" stopIfTrue="1" operator="between">
      <formula>4</formula>
      <formula>20</formula>
    </cfRule>
  </conditionalFormatting>
  <conditionalFormatting sqref="O134">
    <cfRule type="cellIs" dxfId="722" priority="5889" stopIfTrue="1" operator="between">
      <formula>1</formula>
      <formula>3</formula>
    </cfRule>
    <cfRule type="cellIs" dxfId="721" priority="5890" stopIfTrue="1" operator="between">
      <formula>4</formula>
      <formula>20</formula>
    </cfRule>
  </conditionalFormatting>
  <conditionalFormatting sqref="O138">
    <cfRule type="cellIs" dxfId="720" priority="5885" stopIfTrue="1" operator="between">
      <formula>1</formula>
      <formula>3</formula>
    </cfRule>
    <cfRule type="cellIs" dxfId="719" priority="5886" stopIfTrue="1" operator="between">
      <formula>4</formula>
      <formula>20</formula>
    </cfRule>
  </conditionalFormatting>
  <conditionalFormatting sqref="O140">
    <cfRule type="cellIs" dxfId="718" priority="5883" stopIfTrue="1" operator="between">
      <formula>1</formula>
      <formula>3</formula>
    </cfRule>
    <cfRule type="cellIs" dxfId="717" priority="5884" stopIfTrue="1" operator="between">
      <formula>4</formula>
      <formula>20</formula>
    </cfRule>
  </conditionalFormatting>
  <conditionalFormatting sqref="O142">
    <cfRule type="cellIs" dxfId="716" priority="5881" stopIfTrue="1" operator="between">
      <formula>1</formula>
      <formula>3</formula>
    </cfRule>
    <cfRule type="cellIs" dxfId="715" priority="5882" stopIfTrue="1" operator="between">
      <formula>4</formula>
      <formula>20</formula>
    </cfRule>
  </conditionalFormatting>
  <conditionalFormatting sqref="O144">
    <cfRule type="cellIs" dxfId="714" priority="5879" stopIfTrue="1" operator="between">
      <formula>1</formula>
      <formula>3</formula>
    </cfRule>
    <cfRule type="cellIs" dxfId="713" priority="5880" stopIfTrue="1" operator="between">
      <formula>4</formula>
      <formula>20</formula>
    </cfRule>
  </conditionalFormatting>
  <conditionalFormatting sqref="O146">
    <cfRule type="cellIs" dxfId="712" priority="5877" stopIfTrue="1" operator="between">
      <formula>1</formula>
      <formula>3</formula>
    </cfRule>
    <cfRule type="cellIs" dxfId="711" priority="5878" stopIfTrue="1" operator="between">
      <formula>4</formula>
      <formula>20</formula>
    </cfRule>
  </conditionalFormatting>
  <conditionalFormatting sqref="O148">
    <cfRule type="cellIs" dxfId="710" priority="5875" stopIfTrue="1" operator="between">
      <formula>1</formula>
      <formula>3</formula>
    </cfRule>
    <cfRule type="cellIs" dxfId="709" priority="5876" stopIfTrue="1" operator="between">
      <formula>4</formula>
      <formula>20</formula>
    </cfRule>
  </conditionalFormatting>
  <conditionalFormatting sqref="O150">
    <cfRule type="cellIs" dxfId="708" priority="5873" stopIfTrue="1" operator="between">
      <formula>1</formula>
      <formula>3</formula>
    </cfRule>
    <cfRule type="cellIs" dxfId="707" priority="5874" stopIfTrue="1" operator="between">
      <formula>4</formula>
      <formula>20</formula>
    </cfRule>
  </conditionalFormatting>
  <conditionalFormatting sqref="O152">
    <cfRule type="cellIs" dxfId="706" priority="5871" stopIfTrue="1" operator="between">
      <formula>1</formula>
      <formula>3</formula>
    </cfRule>
    <cfRule type="cellIs" dxfId="705" priority="5872" stopIfTrue="1" operator="between">
      <formula>4</formula>
      <formula>20</formula>
    </cfRule>
  </conditionalFormatting>
  <conditionalFormatting sqref="O154">
    <cfRule type="cellIs" dxfId="704" priority="5869" stopIfTrue="1" operator="between">
      <formula>1</formula>
      <formula>3</formula>
    </cfRule>
    <cfRule type="cellIs" dxfId="703" priority="5870" stopIfTrue="1" operator="between">
      <formula>4</formula>
      <formula>20</formula>
    </cfRule>
  </conditionalFormatting>
  <conditionalFormatting sqref="W4:W9 W14:W19 W24:W29 W198 W34:W39 W54:W59 W44:W49 W176 W186 W189:W191 W178">
    <cfRule type="expression" dxfId="702" priority="5692" stopIfTrue="1">
      <formula>AND(W4&lt;&gt;"",W4=$H4)</formula>
    </cfRule>
  </conditionalFormatting>
  <conditionalFormatting sqref="X4:X9 X14:X19 X24:X29 X198 X34:X39 X54:X59 X44:X49 X176 X186 X189:X191">
    <cfRule type="expression" dxfId="701" priority="5693" stopIfTrue="1">
      <formula>AND(X4&lt;&gt;"",X4=$J4)</formula>
    </cfRule>
  </conditionalFormatting>
  <conditionalFormatting sqref="Y156">
    <cfRule type="cellIs" dxfId="700" priority="5689" stopIfTrue="1" operator="between">
      <formula>1</formula>
      <formula>3</formula>
    </cfRule>
    <cfRule type="cellIs" dxfId="699" priority="5690" stopIfTrue="1" operator="greaterThan">
      <formula>3</formula>
    </cfRule>
  </conditionalFormatting>
  <conditionalFormatting sqref="Y4:Y9 Y54:Y59 Y44:Y49 Y34:Y39 Y14:Y19 Y24:Y29 Y189:Y191 Y194:Y195 Y158 Y124">
    <cfRule type="cellIs" dxfId="698" priority="5687" stopIfTrue="1" operator="between">
      <formula>1</formula>
      <formula>3</formula>
    </cfRule>
    <cfRule type="cellIs" dxfId="697" priority="5688" stopIfTrue="1" operator="between">
      <formula>4</formula>
      <formula>20</formula>
    </cfRule>
  </conditionalFormatting>
  <conditionalFormatting sqref="Y173:Y174 Y183:Y184">
    <cfRule type="cellIs" dxfId="696" priority="5685" stopIfTrue="1" operator="between">
      <formula>1</formula>
      <formula>3</formula>
    </cfRule>
    <cfRule type="cellIs" dxfId="695" priority="5686" stopIfTrue="1" operator="greaterThan">
      <formula>3</formula>
    </cfRule>
  </conditionalFormatting>
  <conditionalFormatting sqref="Y176 Y178">
    <cfRule type="cellIs" dxfId="694" priority="5683" stopIfTrue="1" operator="between">
      <formula>1</formula>
      <formula>4</formula>
    </cfRule>
    <cfRule type="cellIs" dxfId="693" priority="5684" stopIfTrue="1" operator="between">
      <formula>5</formula>
      <formula>20</formula>
    </cfRule>
  </conditionalFormatting>
  <conditionalFormatting sqref="Y186">
    <cfRule type="cellIs" dxfId="692" priority="5681" stopIfTrue="1" operator="between">
      <formula>1</formula>
      <formula>6</formula>
    </cfRule>
    <cfRule type="cellIs" dxfId="691" priority="5682" stopIfTrue="1" operator="between">
      <formula>7</formula>
      <formula>20</formula>
    </cfRule>
  </conditionalFormatting>
  <conditionalFormatting sqref="Y198">
    <cfRule type="cellIs" dxfId="690" priority="5679" stopIfTrue="1" operator="between">
      <formula>1</formula>
      <formula>7</formula>
    </cfRule>
    <cfRule type="cellIs" dxfId="689" priority="5680" stopIfTrue="1" operator="between">
      <formula>8</formula>
      <formula>20</formula>
    </cfRule>
  </conditionalFormatting>
  <conditionalFormatting sqref="Y157 Y123">
    <cfRule type="cellIs" dxfId="688" priority="5677" stopIfTrue="1" operator="between">
      <formula>1</formula>
      <formula>1</formula>
    </cfRule>
    <cfRule type="cellIs" dxfId="687" priority="5678" stopIfTrue="1" operator="between">
      <formula>2</formula>
      <formula>20</formula>
    </cfRule>
  </conditionalFormatting>
  <conditionalFormatting sqref="Y175 Y185 Y197 Y177">
    <cfRule type="cellIs" dxfId="686" priority="5675" stopIfTrue="1" operator="between">
      <formula>1</formula>
      <formula>2</formula>
    </cfRule>
    <cfRule type="cellIs" dxfId="685" priority="5676" stopIfTrue="1" operator="between">
      <formula>3</formula>
      <formula>20</formula>
    </cfRule>
  </conditionalFormatting>
  <conditionalFormatting sqref="Y196">
    <cfRule type="cellIs" dxfId="684" priority="5673" stopIfTrue="1" operator="between">
      <formula>1</formula>
      <formula>2</formula>
    </cfRule>
    <cfRule type="cellIs" dxfId="683" priority="5674" stopIfTrue="1" operator="between">
      <formula>3</formula>
      <formula>30</formula>
    </cfRule>
  </conditionalFormatting>
  <conditionalFormatting sqref="Y2:Y3">
    <cfRule type="cellIs" dxfId="682" priority="5670" stopIfTrue="1" operator="between">
      <formula>1</formula>
      <formula>3</formula>
    </cfRule>
    <cfRule type="cellIs" dxfId="681" priority="5671" stopIfTrue="1" operator="between">
      <formula>4</formula>
      <formula>20</formula>
    </cfRule>
  </conditionalFormatting>
  <conditionalFormatting sqref="Y10:Y13">
    <cfRule type="cellIs" dxfId="680" priority="5668" stopIfTrue="1" operator="between">
      <formula>1</formula>
      <formula>3</formula>
    </cfRule>
    <cfRule type="cellIs" dxfId="679" priority="5669" stopIfTrue="1" operator="between">
      <formula>4</formula>
      <formula>20</formula>
    </cfRule>
  </conditionalFormatting>
  <conditionalFormatting sqref="Y20:Y23">
    <cfRule type="cellIs" dxfId="678" priority="5666" stopIfTrue="1" operator="between">
      <formula>1</formula>
      <formula>3</formula>
    </cfRule>
    <cfRule type="cellIs" dxfId="677" priority="5667" stopIfTrue="1" operator="between">
      <formula>4</formula>
      <formula>20</formula>
    </cfRule>
  </conditionalFormatting>
  <conditionalFormatting sqref="Y30:Y33">
    <cfRule type="cellIs" dxfId="676" priority="5664" stopIfTrue="1" operator="between">
      <formula>1</formula>
      <formula>3</formula>
    </cfRule>
    <cfRule type="cellIs" dxfId="675" priority="5665" stopIfTrue="1" operator="between">
      <formula>4</formula>
      <formula>20</formula>
    </cfRule>
  </conditionalFormatting>
  <conditionalFormatting sqref="Y40:Y43">
    <cfRule type="cellIs" dxfId="674" priority="5662" stopIfTrue="1" operator="between">
      <formula>1</formula>
      <formula>3</formula>
    </cfRule>
    <cfRule type="cellIs" dxfId="673" priority="5663" stopIfTrue="1" operator="between">
      <formula>4</formula>
      <formula>20</formula>
    </cfRule>
  </conditionalFormatting>
  <conditionalFormatting sqref="Y50:Y53">
    <cfRule type="cellIs" dxfId="672" priority="5660" stopIfTrue="1" operator="between">
      <formula>1</formula>
      <formula>3</formula>
    </cfRule>
    <cfRule type="cellIs" dxfId="671" priority="5661" stopIfTrue="1" operator="between">
      <formula>4</formula>
      <formula>20</formula>
    </cfRule>
  </conditionalFormatting>
  <conditionalFormatting sqref="Y60">
    <cfRule type="cellIs" dxfId="670" priority="5658" stopIfTrue="1" operator="between">
      <formula>1</formula>
      <formula>3</formula>
    </cfRule>
    <cfRule type="cellIs" dxfId="669" priority="5659" stopIfTrue="1" operator="between">
      <formula>4</formula>
      <formula>20</formula>
    </cfRule>
  </conditionalFormatting>
  <conditionalFormatting sqref="W64:W69 W74:W79 W84:W89 W94:W99 W104:W109 W114:W119">
    <cfRule type="expression" dxfId="668" priority="5656" stopIfTrue="1">
      <formula>AND(W64&lt;&gt;"",W64=$H64)</formula>
    </cfRule>
  </conditionalFormatting>
  <conditionalFormatting sqref="X64:X69 X74:X79 X84:X89 X94:X99 X104:X109 X114:X119">
    <cfRule type="expression" dxfId="667" priority="5657" stopIfTrue="1">
      <formula>AND(X64&lt;&gt;"",X64=$J64)</formula>
    </cfRule>
  </conditionalFormatting>
  <conditionalFormatting sqref="Y64:Y69 Y114:Y119 Y104:Y109 Y94:Y99 Y74:Y79 Y82:Y90">
    <cfRule type="cellIs" dxfId="666" priority="5654" stopIfTrue="1" operator="between">
      <formula>1</formula>
      <formula>3</formula>
    </cfRule>
    <cfRule type="cellIs" dxfId="665" priority="5655" stopIfTrue="1" operator="between">
      <formula>4</formula>
      <formula>20</formula>
    </cfRule>
  </conditionalFormatting>
  <conditionalFormatting sqref="Y62:Y70">
    <cfRule type="cellIs" dxfId="664" priority="5652" stopIfTrue="1" operator="between">
      <formula>1</formula>
      <formula>3</formula>
    </cfRule>
    <cfRule type="cellIs" dxfId="663" priority="5653" stopIfTrue="1" operator="between">
      <formula>4</formula>
      <formula>20</formula>
    </cfRule>
  </conditionalFormatting>
  <conditionalFormatting sqref="Y70:Y80">
    <cfRule type="cellIs" dxfId="662" priority="5650" stopIfTrue="1" operator="between">
      <formula>1</formula>
      <formula>3</formula>
    </cfRule>
    <cfRule type="cellIs" dxfId="661" priority="5651" stopIfTrue="1" operator="between">
      <formula>4</formula>
      <formula>20</formula>
    </cfRule>
  </conditionalFormatting>
  <conditionalFormatting sqref="Y80:Y83">
    <cfRule type="cellIs" dxfId="660" priority="5648" stopIfTrue="1" operator="between">
      <formula>1</formula>
      <formula>3</formula>
    </cfRule>
    <cfRule type="cellIs" dxfId="659" priority="5649" stopIfTrue="1" operator="between">
      <formula>4</formula>
      <formula>20</formula>
    </cfRule>
  </conditionalFormatting>
  <conditionalFormatting sqref="Y90:Y100">
    <cfRule type="cellIs" dxfId="658" priority="5646" stopIfTrue="1" operator="between">
      <formula>1</formula>
      <formula>3</formula>
    </cfRule>
    <cfRule type="cellIs" dxfId="657" priority="5647" stopIfTrue="1" operator="between">
      <formula>4</formula>
      <formula>20</formula>
    </cfRule>
  </conditionalFormatting>
  <conditionalFormatting sqref="Y100:Y110">
    <cfRule type="cellIs" dxfId="656" priority="5644" stopIfTrue="1" operator="between">
      <formula>1</formula>
      <formula>3</formula>
    </cfRule>
    <cfRule type="cellIs" dxfId="655" priority="5645" stopIfTrue="1" operator="between">
      <formula>4</formula>
      <formula>20</formula>
    </cfRule>
  </conditionalFormatting>
  <conditionalFormatting sqref="Y110:Y120">
    <cfRule type="cellIs" dxfId="654" priority="5642" stopIfTrue="1" operator="between">
      <formula>1</formula>
      <formula>3</formula>
    </cfRule>
    <cfRule type="cellIs" dxfId="653" priority="5643" stopIfTrue="1" operator="between">
      <formula>4</formula>
      <formula>20</formula>
    </cfRule>
  </conditionalFormatting>
  <conditionalFormatting sqref="Y120">
    <cfRule type="cellIs" dxfId="652" priority="5640" stopIfTrue="1" operator="between">
      <formula>1</formula>
      <formula>3</formula>
    </cfRule>
    <cfRule type="cellIs" dxfId="651" priority="5641" stopIfTrue="1" operator="between">
      <formula>4</formula>
      <formula>20</formula>
    </cfRule>
  </conditionalFormatting>
  <conditionalFormatting sqref="W180">
    <cfRule type="expression" dxfId="650" priority="5637" stopIfTrue="1">
      <formula>AND(W180&lt;&gt;"",W180=$H180)</formula>
    </cfRule>
  </conditionalFormatting>
  <conditionalFormatting sqref="Y182">
    <cfRule type="cellIs" dxfId="649" priority="5635" stopIfTrue="1" operator="between">
      <formula>1</formula>
      <formula>4</formula>
    </cfRule>
    <cfRule type="cellIs" dxfId="648" priority="5636" stopIfTrue="1" operator="between">
      <formula>5</formula>
      <formula>20</formula>
    </cfRule>
  </conditionalFormatting>
  <conditionalFormatting sqref="Y179 Y181">
    <cfRule type="cellIs" dxfId="647" priority="5633" stopIfTrue="1" operator="between">
      <formula>1</formula>
      <formula>2</formula>
    </cfRule>
    <cfRule type="cellIs" dxfId="646" priority="5634" stopIfTrue="1" operator="between">
      <formula>3</formula>
      <formula>20</formula>
    </cfRule>
  </conditionalFormatting>
  <conditionalFormatting sqref="W182">
    <cfRule type="expression" dxfId="645" priority="5629" stopIfTrue="1">
      <formula>AND(W182&lt;&gt;"",W182=$H182)</formula>
    </cfRule>
  </conditionalFormatting>
  <conditionalFormatting sqref="X182">
    <cfRule type="expression" dxfId="644" priority="5630" stopIfTrue="1">
      <formula>AND(X182&lt;&gt;"",X182=$J182)</formula>
    </cfRule>
  </conditionalFormatting>
  <conditionalFormatting sqref="Y180">
    <cfRule type="cellIs" dxfId="643" priority="5627" stopIfTrue="1" operator="between">
      <formula>1</formula>
      <formula>4</formula>
    </cfRule>
    <cfRule type="cellIs" dxfId="642" priority="5628" stopIfTrue="1" operator="between">
      <formula>5</formula>
      <formula>20</formula>
    </cfRule>
  </conditionalFormatting>
  <conditionalFormatting sqref="X178">
    <cfRule type="expression" dxfId="641" priority="5624" stopIfTrue="1">
      <formula>AND(X178&lt;&gt;"",X178=$J178)</formula>
    </cfRule>
  </conditionalFormatting>
  <conditionalFormatting sqref="X180">
    <cfRule type="expression" dxfId="640" priority="5623" stopIfTrue="1">
      <formula>AND(X180&lt;&gt;"",X180=$J180)</formula>
    </cfRule>
  </conditionalFormatting>
  <conditionalFormatting sqref="Y155">
    <cfRule type="cellIs" dxfId="639" priority="5621" stopIfTrue="1" operator="between">
      <formula>1</formula>
      <formula>3</formula>
    </cfRule>
    <cfRule type="cellIs" dxfId="638" priority="5622" stopIfTrue="1" operator="greaterThan">
      <formula>3</formula>
    </cfRule>
  </conditionalFormatting>
  <conditionalFormatting sqref="Y155">
    <cfRule type="cellIs" dxfId="637" priority="5619" stopIfTrue="1" operator="between">
      <formula>1</formula>
      <formula>3</formula>
    </cfRule>
    <cfRule type="cellIs" dxfId="636" priority="5620" stopIfTrue="1" operator="between">
      <formula>4</formula>
      <formula>20</formula>
    </cfRule>
  </conditionalFormatting>
  <conditionalFormatting sqref="Y155">
    <cfRule type="cellIs" dxfId="635" priority="5617" stopIfTrue="1" operator="between">
      <formula>1</formula>
      <formula>3</formula>
    </cfRule>
    <cfRule type="cellIs" dxfId="634" priority="5618" stopIfTrue="1" operator="between">
      <formula>4</formula>
      <formula>20</formula>
    </cfRule>
  </conditionalFormatting>
  <conditionalFormatting sqref="Y121:Y122">
    <cfRule type="cellIs" dxfId="633" priority="5615" stopIfTrue="1" operator="between">
      <formula>1</formula>
      <formula>3</formula>
    </cfRule>
    <cfRule type="cellIs" dxfId="632" priority="5616" stopIfTrue="1" operator="greaterThan">
      <formula>3</formula>
    </cfRule>
  </conditionalFormatting>
  <conditionalFormatting sqref="Y121:Y122">
    <cfRule type="cellIs" dxfId="631" priority="5613" stopIfTrue="1" operator="between">
      <formula>1</formula>
      <formula>3</formula>
    </cfRule>
    <cfRule type="cellIs" dxfId="630" priority="5614" stopIfTrue="1" operator="between">
      <formula>4</formula>
      <formula>20</formula>
    </cfRule>
  </conditionalFormatting>
  <conditionalFormatting sqref="Y121:Y122">
    <cfRule type="cellIs" dxfId="629" priority="5611" stopIfTrue="1" operator="between">
      <formula>1</formula>
      <formula>3</formula>
    </cfRule>
    <cfRule type="cellIs" dxfId="628" priority="5612" stopIfTrue="1" operator="between">
      <formula>4</formula>
      <formula>20</formula>
    </cfRule>
  </conditionalFormatting>
  <conditionalFormatting sqref="W188">
    <cfRule type="expression" dxfId="627" priority="5605" stopIfTrue="1">
      <formula>AND(W188&lt;&gt;"",W188=$H188)</formula>
    </cfRule>
  </conditionalFormatting>
  <conditionalFormatting sqref="X188">
    <cfRule type="expression" dxfId="626" priority="5606" stopIfTrue="1">
      <formula>AND(X188&lt;&gt;"",X188=$J188)</formula>
    </cfRule>
  </conditionalFormatting>
  <conditionalFormatting sqref="Y193">
    <cfRule type="cellIs" dxfId="625" priority="5593" stopIfTrue="1" operator="between">
      <formula>1</formula>
      <formula>6</formula>
    </cfRule>
    <cfRule type="cellIs" dxfId="624" priority="5594" stopIfTrue="1" operator="between">
      <formula>7</formula>
      <formula>20</formula>
    </cfRule>
  </conditionalFormatting>
  <conditionalFormatting sqref="Y187">
    <cfRule type="cellIs" dxfId="623" priority="5603" stopIfTrue="1" operator="between">
      <formula>1</formula>
      <formula>2</formula>
    </cfRule>
    <cfRule type="cellIs" dxfId="622" priority="5604" stopIfTrue="1" operator="between">
      <formula>3</formula>
      <formula>20</formula>
    </cfRule>
  </conditionalFormatting>
  <conditionalFormatting sqref="Y188">
    <cfRule type="cellIs" dxfId="621" priority="5601" stopIfTrue="1" operator="between">
      <formula>1</formula>
      <formula>6</formula>
    </cfRule>
    <cfRule type="cellIs" dxfId="620" priority="5602" stopIfTrue="1" operator="between">
      <formula>7</formula>
      <formula>20</formula>
    </cfRule>
  </conditionalFormatting>
  <conditionalFormatting sqref="W193">
    <cfRule type="expression" dxfId="619" priority="5595" stopIfTrue="1">
      <formula>AND(W193&lt;&gt;"",W193=$H193)</formula>
    </cfRule>
  </conditionalFormatting>
  <conditionalFormatting sqref="X193">
    <cfRule type="expression" dxfId="618" priority="5596" stopIfTrue="1">
      <formula>AND(X193&lt;&gt;"",X193=$J193)</formula>
    </cfRule>
  </conditionalFormatting>
  <conditionalFormatting sqref="Y192">
    <cfRule type="cellIs" dxfId="617" priority="5591" stopIfTrue="1" operator="between">
      <formula>1</formula>
      <formula>2</formula>
    </cfRule>
    <cfRule type="cellIs" dxfId="616" priority="5592" stopIfTrue="1" operator="between">
      <formula>3</formula>
      <formula>20</formula>
    </cfRule>
  </conditionalFormatting>
  <conditionalFormatting sqref="W158">
    <cfRule type="expression" dxfId="615" priority="5704" stopIfTrue="1">
      <formula>AND(W158&lt;&gt;"",W158=$H158)</formula>
    </cfRule>
  </conditionalFormatting>
  <conditionalFormatting sqref="X158">
    <cfRule type="expression" dxfId="614" priority="5705" stopIfTrue="1">
      <formula>AND(X158&lt;&gt;"",X158=$J158)</formula>
    </cfRule>
  </conditionalFormatting>
  <conditionalFormatting sqref="Y160">
    <cfRule type="cellIs" dxfId="613" priority="5589" stopIfTrue="1" operator="between">
      <formula>1</formula>
      <formula>3</formula>
    </cfRule>
    <cfRule type="cellIs" dxfId="612" priority="5590" stopIfTrue="1" operator="between">
      <formula>4</formula>
      <formula>20</formula>
    </cfRule>
  </conditionalFormatting>
  <conditionalFormatting sqref="Y159">
    <cfRule type="cellIs" dxfId="611" priority="5587" stopIfTrue="1" operator="between">
      <formula>1</formula>
      <formula>1</formula>
    </cfRule>
    <cfRule type="cellIs" dxfId="610" priority="5588" stopIfTrue="1" operator="between">
      <formula>2</formula>
      <formula>20</formula>
    </cfRule>
  </conditionalFormatting>
  <conditionalFormatting sqref="Y162 Y164 Y166 Y168 Y170 Y172">
    <cfRule type="cellIs" dxfId="609" priority="5585" stopIfTrue="1" operator="between">
      <formula>1</formula>
      <formula>3</formula>
    </cfRule>
    <cfRule type="cellIs" dxfId="608" priority="5586" stopIfTrue="1" operator="between">
      <formula>4</formula>
      <formula>20</formula>
    </cfRule>
  </conditionalFormatting>
  <conditionalFormatting sqref="Y161 Y163 Y165 Y167 Y169 Y171">
    <cfRule type="cellIs" dxfId="607" priority="5583" stopIfTrue="1" operator="between">
      <formula>1</formula>
      <formula>1</formula>
    </cfRule>
    <cfRule type="cellIs" dxfId="606" priority="5584" stopIfTrue="1" operator="between">
      <formula>2</formula>
      <formula>20</formula>
    </cfRule>
  </conditionalFormatting>
  <conditionalFormatting sqref="W160 W162 W164 W166 W168 W170 W172">
    <cfRule type="expression" dxfId="605" priority="5581" stopIfTrue="1">
      <formula>AND(W160&lt;&gt;"",W160=$H160)</formula>
    </cfRule>
  </conditionalFormatting>
  <conditionalFormatting sqref="X160 X162 X164 X166 X168 X170 X172">
    <cfRule type="expression" dxfId="604" priority="5582" stopIfTrue="1">
      <formula>AND(X160&lt;&gt;"",X160=$J160)</formula>
    </cfRule>
  </conditionalFormatting>
  <conditionalFormatting sqref="W124">
    <cfRule type="expression" dxfId="603" priority="5577" stopIfTrue="1">
      <formula>AND(W124&lt;&gt;"",W124=$H124)</formula>
    </cfRule>
  </conditionalFormatting>
  <conditionalFormatting sqref="X124">
    <cfRule type="expression" dxfId="602" priority="5578" stopIfTrue="1">
      <formula>AND(X124&lt;&gt;"",X124=$J124)</formula>
    </cfRule>
  </conditionalFormatting>
  <conditionalFormatting sqref="Y125 Y127 Y129 Y131 Y133 Y135 Y137 Y139 Y141 Y143 Y145 Y147 Y149 Y151 Y153">
    <cfRule type="cellIs" dxfId="601" priority="5575" stopIfTrue="1" operator="between">
      <formula>1</formula>
      <formula>1</formula>
    </cfRule>
    <cfRule type="cellIs" dxfId="600" priority="5576" stopIfTrue="1" operator="between">
      <formula>2</formula>
      <formula>20</formula>
    </cfRule>
  </conditionalFormatting>
  <conditionalFormatting sqref="Y136">
    <cfRule type="cellIs" dxfId="599" priority="5561" stopIfTrue="1" operator="between">
      <formula>1</formula>
      <formula>3</formula>
    </cfRule>
    <cfRule type="cellIs" dxfId="598" priority="5562" stopIfTrue="1" operator="between">
      <formula>4</formula>
      <formula>20</formula>
    </cfRule>
  </conditionalFormatting>
  <conditionalFormatting sqref="W126 W128 W130 W132 W134 W136 W138 W140 W142 W144 W146 W148 W150 W152 W154">
    <cfRule type="expression" dxfId="597" priority="5573" stopIfTrue="1">
      <formula>AND(W126&lt;&gt;"",W126=$H126)</formula>
    </cfRule>
  </conditionalFormatting>
  <conditionalFormatting sqref="X126 X128 X130 X132 X134 X136 X138 X140 X142 X144 X146 X148 X150 X152 X154">
    <cfRule type="expression" dxfId="596" priority="5574" stopIfTrue="1">
      <formula>AND(X126&lt;&gt;"",X126=$J126)</formula>
    </cfRule>
  </conditionalFormatting>
  <conditionalFormatting sqref="Y126">
    <cfRule type="cellIs" dxfId="595" priority="5571" stopIfTrue="1" operator="between">
      <formula>1</formula>
      <formula>3</formula>
    </cfRule>
    <cfRule type="cellIs" dxfId="594" priority="5572" stopIfTrue="1" operator="between">
      <formula>4</formula>
      <formula>20</formula>
    </cfRule>
  </conditionalFormatting>
  <conditionalFormatting sqref="Y128">
    <cfRule type="cellIs" dxfId="593" priority="5569" stopIfTrue="1" operator="between">
      <formula>1</formula>
      <formula>3</formula>
    </cfRule>
    <cfRule type="cellIs" dxfId="592" priority="5570" stopIfTrue="1" operator="between">
      <formula>4</formula>
      <formula>20</formula>
    </cfRule>
  </conditionalFormatting>
  <conditionalFormatting sqref="Y130">
    <cfRule type="cellIs" dxfId="591" priority="5567" stopIfTrue="1" operator="between">
      <formula>1</formula>
      <formula>3</formula>
    </cfRule>
    <cfRule type="cellIs" dxfId="590" priority="5568" stopIfTrue="1" operator="between">
      <formula>4</formula>
      <formula>20</formula>
    </cfRule>
  </conditionalFormatting>
  <conditionalFormatting sqref="Y132">
    <cfRule type="cellIs" dxfId="589" priority="5565" stopIfTrue="1" operator="between">
      <formula>1</formula>
      <formula>3</formula>
    </cfRule>
    <cfRule type="cellIs" dxfId="588" priority="5566" stopIfTrue="1" operator="between">
      <formula>4</formula>
      <formula>20</formula>
    </cfRule>
  </conditionalFormatting>
  <conditionalFormatting sqref="Y134">
    <cfRule type="cellIs" dxfId="587" priority="5563" stopIfTrue="1" operator="between">
      <formula>1</formula>
      <formula>3</formula>
    </cfRule>
    <cfRule type="cellIs" dxfId="586" priority="5564" stopIfTrue="1" operator="between">
      <formula>4</formula>
      <formula>20</formula>
    </cfRule>
  </conditionalFormatting>
  <conditionalFormatting sqref="Y138">
    <cfRule type="cellIs" dxfId="585" priority="5559" stopIfTrue="1" operator="between">
      <formula>1</formula>
      <formula>3</formula>
    </cfRule>
    <cfRule type="cellIs" dxfId="584" priority="5560" stopIfTrue="1" operator="between">
      <formula>4</formula>
      <formula>20</formula>
    </cfRule>
  </conditionalFormatting>
  <conditionalFormatting sqref="Y140">
    <cfRule type="cellIs" dxfId="583" priority="5557" stopIfTrue="1" operator="between">
      <formula>1</formula>
      <formula>3</formula>
    </cfRule>
    <cfRule type="cellIs" dxfId="582" priority="5558" stopIfTrue="1" operator="between">
      <formula>4</formula>
      <formula>20</formula>
    </cfRule>
  </conditionalFormatting>
  <conditionalFormatting sqref="Y142">
    <cfRule type="cellIs" dxfId="581" priority="5555" stopIfTrue="1" operator="between">
      <formula>1</formula>
      <formula>3</formula>
    </cfRule>
    <cfRule type="cellIs" dxfId="580" priority="5556" stopIfTrue="1" operator="between">
      <formula>4</formula>
      <formula>20</formula>
    </cfRule>
  </conditionalFormatting>
  <conditionalFormatting sqref="Y144">
    <cfRule type="cellIs" dxfId="579" priority="5553" stopIfTrue="1" operator="between">
      <formula>1</formula>
      <formula>3</formula>
    </cfRule>
    <cfRule type="cellIs" dxfId="578" priority="5554" stopIfTrue="1" operator="between">
      <formula>4</formula>
      <formula>20</formula>
    </cfRule>
  </conditionalFormatting>
  <conditionalFormatting sqref="Y146">
    <cfRule type="cellIs" dxfId="577" priority="5551" stopIfTrue="1" operator="between">
      <formula>1</formula>
      <formula>3</formula>
    </cfRule>
    <cfRule type="cellIs" dxfId="576" priority="5552" stopIfTrue="1" operator="between">
      <formula>4</formula>
      <formula>20</formula>
    </cfRule>
  </conditionalFormatting>
  <conditionalFormatting sqref="Y148">
    <cfRule type="cellIs" dxfId="575" priority="5549" stopIfTrue="1" operator="between">
      <formula>1</formula>
      <formula>3</formula>
    </cfRule>
    <cfRule type="cellIs" dxfId="574" priority="5550" stopIfTrue="1" operator="between">
      <formula>4</formula>
      <formula>20</formula>
    </cfRule>
  </conditionalFormatting>
  <conditionalFormatting sqref="Y150">
    <cfRule type="cellIs" dxfId="573" priority="5547" stopIfTrue="1" operator="between">
      <formula>1</formula>
      <formula>3</formula>
    </cfRule>
    <cfRule type="cellIs" dxfId="572" priority="5548" stopIfTrue="1" operator="between">
      <formula>4</formula>
      <formula>20</formula>
    </cfRule>
  </conditionalFormatting>
  <conditionalFormatting sqref="Y152">
    <cfRule type="cellIs" dxfId="571" priority="5545" stopIfTrue="1" operator="between">
      <formula>1</formula>
      <formula>3</formula>
    </cfRule>
    <cfRule type="cellIs" dxfId="570" priority="5546" stopIfTrue="1" operator="between">
      <formula>4</formula>
      <formula>20</formula>
    </cfRule>
  </conditionalFormatting>
  <conditionalFormatting sqref="Y154">
    <cfRule type="cellIs" dxfId="569" priority="5543" stopIfTrue="1" operator="between">
      <formula>1</formula>
      <formula>3</formula>
    </cfRule>
    <cfRule type="cellIs" dxfId="568" priority="5544" stopIfTrue="1" operator="between">
      <formula>4</formula>
      <formula>20</formula>
    </cfRule>
  </conditionalFormatting>
  <conditionalFormatting sqref="AB4:AB9 AB14:AB19 AB24:AB29 AB198 AB34:AB39 AB54:AB59 AB44:AB49 AB176 AB186 AB189:AB191 AB178">
    <cfRule type="expression" dxfId="567" priority="5529" stopIfTrue="1">
      <formula>AND(AB4&lt;&gt;"",AB4=$H4)</formula>
    </cfRule>
  </conditionalFormatting>
  <conditionalFormatting sqref="AC4:AC9 AC14:AC19 AC24:AC29 AC198 AC34:AC39 AC54:AC59 AC44:AC49 AC176 AC186 AC189:AC191">
    <cfRule type="expression" dxfId="566" priority="5530" stopIfTrue="1">
      <formula>AND(AC4&lt;&gt;"",AC4=$J4)</formula>
    </cfRule>
  </conditionalFormatting>
  <conditionalFormatting sqref="AD156">
    <cfRule type="cellIs" dxfId="565" priority="5526" stopIfTrue="1" operator="between">
      <formula>1</formula>
      <formula>3</formula>
    </cfRule>
    <cfRule type="cellIs" dxfId="564" priority="5527" stopIfTrue="1" operator="greaterThan">
      <formula>3</formula>
    </cfRule>
  </conditionalFormatting>
  <conditionalFormatting sqref="AD4:AD9 AD54:AD59 AD44:AD49 AD34:AD39 AD14:AD19 AD24:AD29 AD189:AD191 AD194:AD195 AD158 AD124">
    <cfRule type="cellIs" dxfId="563" priority="5524" stopIfTrue="1" operator="between">
      <formula>1</formula>
      <formula>3</formula>
    </cfRule>
    <cfRule type="cellIs" dxfId="562" priority="5525" stopIfTrue="1" operator="between">
      <formula>4</formula>
      <formula>20</formula>
    </cfRule>
  </conditionalFormatting>
  <conditionalFormatting sqref="AD173:AD174 AD183:AD184">
    <cfRule type="cellIs" dxfId="561" priority="5522" stopIfTrue="1" operator="between">
      <formula>1</formula>
      <formula>3</formula>
    </cfRule>
    <cfRule type="cellIs" dxfId="560" priority="5523" stopIfTrue="1" operator="greaterThan">
      <formula>3</formula>
    </cfRule>
  </conditionalFormatting>
  <conditionalFormatting sqref="AD176 AD178">
    <cfRule type="cellIs" dxfId="559" priority="5520" stopIfTrue="1" operator="between">
      <formula>1</formula>
      <formula>4</formula>
    </cfRule>
    <cfRule type="cellIs" dxfId="558" priority="5521" stopIfTrue="1" operator="between">
      <formula>5</formula>
      <formula>20</formula>
    </cfRule>
  </conditionalFormatting>
  <conditionalFormatting sqref="AD186">
    <cfRule type="cellIs" dxfId="557" priority="5518" stopIfTrue="1" operator="between">
      <formula>1</formula>
      <formula>6</formula>
    </cfRule>
    <cfRule type="cellIs" dxfId="556" priority="5519" stopIfTrue="1" operator="between">
      <formula>7</formula>
      <formula>20</formula>
    </cfRule>
  </conditionalFormatting>
  <conditionalFormatting sqref="AD198">
    <cfRule type="cellIs" dxfId="555" priority="5516" stopIfTrue="1" operator="between">
      <formula>1</formula>
      <formula>7</formula>
    </cfRule>
    <cfRule type="cellIs" dxfId="554" priority="5517" stopIfTrue="1" operator="between">
      <formula>8</formula>
      <formula>20</formula>
    </cfRule>
  </conditionalFormatting>
  <conditionalFormatting sqref="AD157 AD123">
    <cfRule type="cellIs" dxfId="553" priority="5514" stopIfTrue="1" operator="between">
      <formula>1</formula>
      <formula>1</formula>
    </cfRule>
    <cfRule type="cellIs" dxfId="552" priority="5515" stopIfTrue="1" operator="between">
      <formula>2</formula>
      <formula>20</formula>
    </cfRule>
  </conditionalFormatting>
  <conditionalFormatting sqref="AD175 AD185 AD197 AD177">
    <cfRule type="cellIs" dxfId="551" priority="5512" stopIfTrue="1" operator="between">
      <formula>1</formula>
      <formula>2</formula>
    </cfRule>
    <cfRule type="cellIs" dxfId="550" priority="5513" stopIfTrue="1" operator="between">
      <formula>3</formula>
      <formula>20</formula>
    </cfRule>
  </conditionalFormatting>
  <conditionalFormatting sqref="AD196">
    <cfRule type="cellIs" dxfId="549" priority="5510" stopIfTrue="1" operator="between">
      <formula>1</formula>
      <formula>2</formula>
    </cfRule>
    <cfRule type="cellIs" dxfId="548" priority="5511" stopIfTrue="1" operator="between">
      <formula>3</formula>
      <formula>30</formula>
    </cfRule>
  </conditionalFormatting>
  <conditionalFormatting sqref="AD2:AD3">
    <cfRule type="cellIs" dxfId="547" priority="5507" stopIfTrue="1" operator="between">
      <formula>1</formula>
      <formula>3</formula>
    </cfRule>
    <cfRule type="cellIs" dxfId="546" priority="5508" stopIfTrue="1" operator="between">
      <formula>4</formula>
      <formula>20</formula>
    </cfRule>
  </conditionalFormatting>
  <conditionalFormatting sqref="AD10:AD13">
    <cfRule type="cellIs" dxfId="545" priority="5505" stopIfTrue="1" operator="between">
      <formula>1</formula>
      <formula>3</formula>
    </cfRule>
    <cfRule type="cellIs" dxfId="544" priority="5506" stopIfTrue="1" operator="between">
      <formula>4</formula>
      <formula>20</formula>
    </cfRule>
  </conditionalFormatting>
  <conditionalFormatting sqref="AD20:AD23">
    <cfRule type="cellIs" dxfId="543" priority="5503" stopIfTrue="1" operator="between">
      <formula>1</formula>
      <formula>3</formula>
    </cfRule>
    <cfRule type="cellIs" dxfId="542" priority="5504" stopIfTrue="1" operator="between">
      <formula>4</formula>
      <formula>20</formula>
    </cfRule>
  </conditionalFormatting>
  <conditionalFormatting sqref="AD30:AD33">
    <cfRule type="cellIs" dxfId="541" priority="5501" stopIfTrue="1" operator="between">
      <formula>1</formula>
      <formula>3</formula>
    </cfRule>
    <cfRule type="cellIs" dxfId="540" priority="5502" stopIfTrue="1" operator="between">
      <formula>4</formula>
      <formula>20</formula>
    </cfRule>
  </conditionalFormatting>
  <conditionalFormatting sqref="AD40:AD43">
    <cfRule type="cellIs" dxfId="539" priority="5499" stopIfTrue="1" operator="between">
      <formula>1</formula>
      <formula>3</formula>
    </cfRule>
    <cfRule type="cellIs" dxfId="538" priority="5500" stopIfTrue="1" operator="between">
      <formula>4</formula>
      <formula>20</formula>
    </cfRule>
  </conditionalFormatting>
  <conditionalFormatting sqref="AD50:AD53">
    <cfRule type="cellIs" dxfId="537" priority="5497" stopIfTrue="1" operator="between">
      <formula>1</formula>
      <formula>3</formula>
    </cfRule>
    <cfRule type="cellIs" dxfId="536" priority="5498" stopIfTrue="1" operator="between">
      <formula>4</formula>
      <formula>20</formula>
    </cfRule>
  </conditionalFormatting>
  <conditionalFormatting sqref="AD60">
    <cfRule type="cellIs" dxfId="535" priority="5495" stopIfTrue="1" operator="between">
      <formula>1</formula>
      <formula>3</formula>
    </cfRule>
    <cfRule type="cellIs" dxfId="534" priority="5496" stopIfTrue="1" operator="between">
      <formula>4</formula>
      <formula>20</formula>
    </cfRule>
  </conditionalFormatting>
  <conditionalFormatting sqref="AB64:AB69 AB74:AB79 AB84:AB89 AB94:AB99 AB104:AB109 AB114:AB119">
    <cfRule type="expression" dxfId="533" priority="5493" stopIfTrue="1">
      <formula>AND(AB64&lt;&gt;"",AB64=$H64)</formula>
    </cfRule>
  </conditionalFormatting>
  <conditionalFormatting sqref="AC64:AC69 AC74:AC79 AC84:AC89 AC94:AC99 AC104:AC109 AC114:AC119">
    <cfRule type="expression" dxfId="532" priority="5494" stopIfTrue="1">
      <formula>AND(AC64&lt;&gt;"",AC64=$J64)</formula>
    </cfRule>
  </conditionalFormatting>
  <conditionalFormatting sqref="AD64:AD69 AD114:AD119 AD104:AD109 AD94:AD99 AD74:AD79 AD82:AD90">
    <cfRule type="cellIs" dxfId="531" priority="5491" stopIfTrue="1" operator="between">
      <formula>1</formula>
      <formula>3</formula>
    </cfRule>
    <cfRule type="cellIs" dxfId="530" priority="5492" stopIfTrue="1" operator="between">
      <formula>4</formula>
      <formula>20</formula>
    </cfRule>
  </conditionalFormatting>
  <conditionalFormatting sqref="AD62:AD70">
    <cfRule type="cellIs" dxfId="529" priority="5489" stopIfTrue="1" operator="between">
      <formula>1</formula>
      <formula>3</formula>
    </cfRule>
    <cfRule type="cellIs" dxfId="528" priority="5490" stopIfTrue="1" operator="between">
      <formula>4</formula>
      <formula>20</formula>
    </cfRule>
  </conditionalFormatting>
  <conditionalFormatting sqref="AD70:AD80">
    <cfRule type="cellIs" dxfId="527" priority="5487" stopIfTrue="1" operator="between">
      <formula>1</formula>
      <formula>3</formula>
    </cfRule>
    <cfRule type="cellIs" dxfId="526" priority="5488" stopIfTrue="1" operator="between">
      <formula>4</formula>
      <formula>20</formula>
    </cfRule>
  </conditionalFormatting>
  <conditionalFormatting sqref="AD80:AD83">
    <cfRule type="cellIs" dxfId="525" priority="5485" stopIfTrue="1" operator="between">
      <formula>1</formula>
      <formula>3</formula>
    </cfRule>
    <cfRule type="cellIs" dxfId="524" priority="5486" stopIfTrue="1" operator="between">
      <formula>4</formula>
      <formula>20</formula>
    </cfRule>
  </conditionalFormatting>
  <conditionalFormatting sqref="AD90:AD100">
    <cfRule type="cellIs" dxfId="523" priority="5483" stopIfTrue="1" operator="between">
      <formula>1</formula>
      <formula>3</formula>
    </cfRule>
    <cfRule type="cellIs" dxfId="522" priority="5484" stopIfTrue="1" operator="between">
      <formula>4</formula>
      <formula>20</formula>
    </cfRule>
  </conditionalFormatting>
  <conditionalFormatting sqref="AD100:AD110">
    <cfRule type="cellIs" dxfId="521" priority="5481" stopIfTrue="1" operator="between">
      <formula>1</formula>
      <formula>3</formula>
    </cfRule>
    <cfRule type="cellIs" dxfId="520" priority="5482" stopIfTrue="1" operator="between">
      <formula>4</formula>
      <formula>20</formula>
    </cfRule>
  </conditionalFormatting>
  <conditionalFormatting sqref="AD110:AD120">
    <cfRule type="cellIs" dxfId="519" priority="5479" stopIfTrue="1" operator="between">
      <formula>1</formula>
      <formula>3</formula>
    </cfRule>
    <cfRule type="cellIs" dxfId="518" priority="5480" stopIfTrue="1" operator="between">
      <formula>4</formula>
      <formula>20</formula>
    </cfRule>
  </conditionalFormatting>
  <conditionalFormatting sqref="AD120">
    <cfRule type="cellIs" dxfId="517" priority="5477" stopIfTrue="1" operator="between">
      <formula>1</formula>
      <formula>3</formula>
    </cfRule>
    <cfRule type="cellIs" dxfId="516" priority="5478" stopIfTrue="1" operator="between">
      <formula>4</formula>
      <formula>20</formula>
    </cfRule>
  </conditionalFormatting>
  <conditionalFormatting sqref="AB180">
    <cfRule type="expression" dxfId="515" priority="5474" stopIfTrue="1">
      <formula>AND(AB180&lt;&gt;"",AB180=$H180)</formula>
    </cfRule>
  </conditionalFormatting>
  <conditionalFormatting sqref="AD182">
    <cfRule type="cellIs" dxfId="514" priority="5472" stopIfTrue="1" operator="between">
      <formula>1</formula>
      <formula>4</formula>
    </cfRule>
    <cfRule type="cellIs" dxfId="513" priority="5473" stopIfTrue="1" operator="between">
      <formula>5</formula>
      <formula>20</formula>
    </cfRule>
  </conditionalFormatting>
  <conditionalFormatting sqref="AD179 AD181">
    <cfRule type="cellIs" dxfId="512" priority="5470" stopIfTrue="1" operator="between">
      <formula>1</formula>
      <formula>2</formula>
    </cfRule>
    <cfRule type="cellIs" dxfId="511" priority="5471" stopIfTrue="1" operator="between">
      <formula>3</formula>
      <formula>20</formula>
    </cfRule>
  </conditionalFormatting>
  <conditionalFormatting sqref="AB182">
    <cfRule type="expression" dxfId="510" priority="5466" stopIfTrue="1">
      <formula>AND(AB182&lt;&gt;"",AB182=$H182)</formula>
    </cfRule>
  </conditionalFormatting>
  <conditionalFormatting sqref="AC182">
    <cfRule type="expression" dxfId="509" priority="5467" stopIfTrue="1">
      <formula>AND(AC182&lt;&gt;"",AC182=$J182)</formula>
    </cfRule>
  </conditionalFormatting>
  <conditionalFormatting sqref="AD180">
    <cfRule type="cellIs" dxfId="508" priority="5464" stopIfTrue="1" operator="between">
      <formula>1</formula>
      <formula>4</formula>
    </cfRule>
    <cfRule type="cellIs" dxfId="507" priority="5465" stopIfTrue="1" operator="between">
      <formula>5</formula>
      <formula>20</formula>
    </cfRule>
  </conditionalFormatting>
  <conditionalFormatting sqref="AC178">
    <cfRule type="expression" dxfId="506" priority="5461" stopIfTrue="1">
      <formula>AND(AC178&lt;&gt;"",AC178=$J178)</formula>
    </cfRule>
  </conditionalFormatting>
  <conditionalFormatting sqref="AC180">
    <cfRule type="expression" dxfId="505" priority="5460" stopIfTrue="1">
      <formula>AND(AC180&lt;&gt;"",AC180=$J180)</formula>
    </cfRule>
  </conditionalFormatting>
  <conditionalFormatting sqref="AD155">
    <cfRule type="cellIs" dxfId="504" priority="5458" stopIfTrue="1" operator="between">
      <formula>1</formula>
      <formula>3</formula>
    </cfRule>
    <cfRule type="cellIs" dxfId="503" priority="5459" stopIfTrue="1" operator="greaterThan">
      <formula>3</formula>
    </cfRule>
  </conditionalFormatting>
  <conditionalFormatting sqref="AD155">
    <cfRule type="cellIs" dxfId="502" priority="5456" stopIfTrue="1" operator="between">
      <formula>1</formula>
      <formula>3</formula>
    </cfRule>
    <cfRule type="cellIs" dxfId="501" priority="5457" stopIfTrue="1" operator="between">
      <formula>4</formula>
      <formula>20</formula>
    </cfRule>
  </conditionalFormatting>
  <conditionalFormatting sqref="AD155">
    <cfRule type="cellIs" dxfId="500" priority="5454" stopIfTrue="1" operator="between">
      <formula>1</formula>
      <formula>3</formula>
    </cfRule>
    <cfRule type="cellIs" dxfId="499" priority="5455" stopIfTrue="1" operator="between">
      <formula>4</formula>
      <formula>20</formula>
    </cfRule>
  </conditionalFormatting>
  <conditionalFormatting sqref="AD121:AD122">
    <cfRule type="cellIs" dxfId="498" priority="5452" stopIfTrue="1" operator="between">
      <formula>1</formula>
      <formula>3</formula>
    </cfRule>
    <cfRule type="cellIs" dxfId="497" priority="5453" stopIfTrue="1" operator="greaterThan">
      <formula>3</formula>
    </cfRule>
  </conditionalFormatting>
  <conditionalFormatting sqref="AD121:AD122">
    <cfRule type="cellIs" dxfId="496" priority="5450" stopIfTrue="1" operator="between">
      <formula>1</formula>
      <formula>3</formula>
    </cfRule>
    <cfRule type="cellIs" dxfId="495" priority="5451" stopIfTrue="1" operator="between">
      <formula>4</formula>
      <formula>20</formula>
    </cfRule>
  </conditionalFormatting>
  <conditionalFormatting sqref="AD121:AD122">
    <cfRule type="cellIs" dxfId="494" priority="5448" stopIfTrue="1" operator="between">
      <formula>1</formula>
      <formula>3</formula>
    </cfRule>
    <cfRule type="cellIs" dxfId="493" priority="5449" stopIfTrue="1" operator="between">
      <formula>4</formula>
      <formula>20</formula>
    </cfRule>
  </conditionalFormatting>
  <conditionalFormatting sqref="AB188">
    <cfRule type="expression" dxfId="492" priority="5442" stopIfTrue="1">
      <formula>AND(AB188&lt;&gt;"",AB188=$H188)</formula>
    </cfRule>
  </conditionalFormatting>
  <conditionalFormatting sqref="AC188">
    <cfRule type="expression" dxfId="491" priority="5443" stopIfTrue="1">
      <formula>AND(AC188&lt;&gt;"",AC188=$J188)</formula>
    </cfRule>
  </conditionalFormatting>
  <conditionalFormatting sqref="AD193">
    <cfRule type="cellIs" dxfId="490" priority="5430" stopIfTrue="1" operator="between">
      <formula>1</formula>
      <formula>6</formula>
    </cfRule>
    <cfRule type="cellIs" dxfId="489" priority="5431" stopIfTrue="1" operator="between">
      <formula>7</formula>
      <formula>20</formula>
    </cfRule>
  </conditionalFormatting>
  <conditionalFormatting sqref="AD187">
    <cfRule type="cellIs" dxfId="488" priority="5440" stopIfTrue="1" operator="between">
      <formula>1</formula>
      <formula>2</formula>
    </cfRule>
    <cfRule type="cellIs" dxfId="487" priority="5441" stopIfTrue="1" operator="between">
      <formula>3</formula>
      <formula>20</formula>
    </cfRule>
  </conditionalFormatting>
  <conditionalFormatting sqref="AD188">
    <cfRule type="cellIs" dxfId="486" priority="5438" stopIfTrue="1" operator="between">
      <formula>1</formula>
      <formula>6</formula>
    </cfRule>
    <cfRule type="cellIs" dxfId="485" priority="5439" stopIfTrue="1" operator="between">
      <formula>7</formula>
      <formula>20</formula>
    </cfRule>
  </conditionalFormatting>
  <conditionalFormatting sqref="AB193">
    <cfRule type="expression" dxfId="484" priority="5432" stopIfTrue="1">
      <formula>AND(AB193&lt;&gt;"",AB193=$H193)</formula>
    </cfRule>
  </conditionalFormatting>
  <conditionalFormatting sqref="AC193">
    <cfRule type="expression" dxfId="483" priority="5433" stopIfTrue="1">
      <formula>AND(AC193&lt;&gt;"",AC193=$J193)</formula>
    </cfRule>
  </conditionalFormatting>
  <conditionalFormatting sqref="AD192">
    <cfRule type="cellIs" dxfId="482" priority="5428" stopIfTrue="1" operator="between">
      <formula>1</formula>
      <formula>2</formula>
    </cfRule>
    <cfRule type="cellIs" dxfId="481" priority="5429" stopIfTrue="1" operator="between">
      <formula>3</formula>
      <formula>20</formula>
    </cfRule>
  </conditionalFormatting>
  <conditionalFormatting sqref="AB158">
    <cfRule type="expression" dxfId="480" priority="5541" stopIfTrue="1">
      <formula>AND(AB158&lt;&gt;"",AB158=$H158)</formula>
    </cfRule>
  </conditionalFormatting>
  <conditionalFormatting sqref="AC158">
    <cfRule type="expression" dxfId="479" priority="5542" stopIfTrue="1">
      <formula>AND(AC158&lt;&gt;"",AC158=$J158)</formula>
    </cfRule>
  </conditionalFormatting>
  <conditionalFormatting sqref="AD160">
    <cfRule type="cellIs" dxfId="478" priority="5426" stopIfTrue="1" operator="between">
      <formula>1</formula>
      <formula>3</formula>
    </cfRule>
    <cfRule type="cellIs" dxfId="477" priority="5427" stopIfTrue="1" operator="between">
      <formula>4</formula>
      <formula>20</formula>
    </cfRule>
  </conditionalFormatting>
  <conditionalFormatting sqref="AD159">
    <cfRule type="cellIs" dxfId="476" priority="5424" stopIfTrue="1" operator="between">
      <formula>1</formula>
      <formula>1</formula>
    </cfRule>
    <cfRule type="cellIs" dxfId="475" priority="5425" stopIfTrue="1" operator="between">
      <formula>2</formula>
      <formula>20</formula>
    </cfRule>
  </conditionalFormatting>
  <conditionalFormatting sqref="AD162 AD164 AD166 AD168 AD170 AD172">
    <cfRule type="cellIs" dxfId="474" priority="5422" stopIfTrue="1" operator="between">
      <formula>1</formula>
      <formula>3</formula>
    </cfRule>
    <cfRule type="cellIs" dxfId="473" priority="5423" stopIfTrue="1" operator="between">
      <formula>4</formula>
      <formula>20</formula>
    </cfRule>
  </conditionalFormatting>
  <conditionalFormatting sqref="AD161 AD163 AD165 AD167 AD169 AD171">
    <cfRule type="cellIs" dxfId="472" priority="5420" stopIfTrue="1" operator="between">
      <formula>1</formula>
      <formula>1</formula>
    </cfRule>
    <cfRule type="cellIs" dxfId="471" priority="5421" stopIfTrue="1" operator="between">
      <formula>2</formula>
      <formula>20</formula>
    </cfRule>
  </conditionalFormatting>
  <conditionalFormatting sqref="AB160 AB162 AB164 AB166 AB168 AB170 AB172">
    <cfRule type="expression" dxfId="470" priority="5418" stopIfTrue="1">
      <formula>AND(AB160&lt;&gt;"",AB160=$H160)</formula>
    </cfRule>
  </conditionalFormatting>
  <conditionalFormatting sqref="AC160 AC162 AC164 AC166 AC168 AC170 AC172">
    <cfRule type="expression" dxfId="469" priority="5419" stopIfTrue="1">
      <formula>AND(AC160&lt;&gt;"",AC160=$J160)</formula>
    </cfRule>
  </conditionalFormatting>
  <conditionalFormatting sqref="AB124">
    <cfRule type="expression" dxfId="468" priority="5414" stopIfTrue="1">
      <formula>AND(AB124&lt;&gt;"",AB124=$H124)</formula>
    </cfRule>
  </conditionalFormatting>
  <conditionalFormatting sqref="AC124">
    <cfRule type="expression" dxfId="467" priority="5415" stopIfTrue="1">
      <formula>AND(AC124&lt;&gt;"",AC124=$J124)</formula>
    </cfRule>
  </conditionalFormatting>
  <conditionalFormatting sqref="AD125 AD127 AD129 AD131 AD133 AD135 AD137 AD139 AD141 AD143 AD145 AD147 AD149 AD151 AD153">
    <cfRule type="cellIs" dxfId="466" priority="5412" stopIfTrue="1" operator="between">
      <formula>1</formula>
      <formula>1</formula>
    </cfRule>
    <cfRule type="cellIs" dxfId="465" priority="5413" stopIfTrue="1" operator="between">
      <formula>2</formula>
      <formula>20</formula>
    </cfRule>
  </conditionalFormatting>
  <conditionalFormatting sqref="AD136">
    <cfRule type="cellIs" dxfId="464" priority="5398" stopIfTrue="1" operator="between">
      <formula>1</formula>
      <formula>3</formula>
    </cfRule>
    <cfRule type="cellIs" dxfId="463" priority="5399" stopIfTrue="1" operator="between">
      <formula>4</formula>
      <formula>20</formula>
    </cfRule>
  </conditionalFormatting>
  <conditionalFormatting sqref="AB126 AB128 AB130 AB132 AB134 AB136 AB138 AB140 AB142 AB144 AB146 AB148 AB150 AB152 AB154">
    <cfRule type="expression" dxfId="462" priority="5410" stopIfTrue="1">
      <formula>AND(AB126&lt;&gt;"",AB126=$H126)</formula>
    </cfRule>
  </conditionalFormatting>
  <conditionalFormatting sqref="AC126 AC128 AC130 AC132 AC134 AC136 AC138 AC140 AC142 AC144 AC146 AC148 AC150 AC152 AC154">
    <cfRule type="expression" dxfId="461" priority="5411" stopIfTrue="1">
      <formula>AND(AC126&lt;&gt;"",AC126=$J126)</formula>
    </cfRule>
  </conditionalFormatting>
  <conditionalFormatting sqref="AD126">
    <cfRule type="cellIs" dxfId="460" priority="5408" stopIfTrue="1" operator="between">
      <formula>1</formula>
      <formula>3</formula>
    </cfRule>
    <cfRule type="cellIs" dxfId="459" priority="5409" stopIfTrue="1" operator="between">
      <formula>4</formula>
      <formula>20</formula>
    </cfRule>
  </conditionalFormatting>
  <conditionalFormatting sqref="AD128">
    <cfRule type="cellIs" dxfId="458" priority="5406" stopIfTrue="1" operator="between">
      <formula>1</formula>
      <formula>3</formula>
    </cfRule>
    <cfRule type="cellIs" dxfId="457" priority="5407" stopIfTrue="1" operator="between">
      <formula>4</formula>
      <formula>20</formula>
    </cfRule>
  </conditionalFormatting>
  <conditionalFormatting sqref="AD130">
    <cfRule type="cellIs" dxfId="456" priority="5404" stopIfTrue="1" operator="between">
      <formula>1</formula>
      <formula>3</formula>
    </cfRule>
    <cfRule type="cellIs" dxfId="455" priority="5405" stopIfTrue="1" operator="between">
      <formula>4</formula>
      <formula>20</formula>
    </cfRule>
  </conditionalFormatting>
  <conditionalFormatting sqref="AD132">
    <cfRule type="cellIs" dxfId="454" priority="5402" stopIfTrue="1" operator="between">
      <formula>1</formula>
      <formula>3</formula>
    </cfRule>
    <cfRule type="cellIs" dxfId="453" priority="5403" stopIfTrue="1" operator="between">
      <formula>4</formula>
      <formula>20</formula>
    </cfRule>
  </conditionalFormatting>
  <conditionalFormatting sqref="AD134">
    <cfRule type="cellIs" dxfId="452" priority="5400" stopIfTrue="1" operator="between">
      <formula>1</formula>
      <formula>3</formula>
    </cfRule>
    <cfRule type="cellIs" dxfId="451" priority="5401" stopIfTrue="1" operator="between">
      <formula>4</formula>
      <formula>20</formula>
    </cfRule>
  </conditionalFormatting>
  <conditionalFormatting sqref="AD138">
    <cfRule type="cellIs" dxfId="450" priority="5396" stopIfTrue="1" operator="between">
      <formula>1</formula>
      <formula>3</formula>
    </cfRule>
    <cfRule type="cellIs" dxfId="449" priority="5397" stopIfTrue="1" operator="between">
      <formula>4</formula>
      <formula>20</formula>
    </cfRule>
  </conditionalFormatting>
  <conditionalFormatting sqref="AD140">
    <cfRule type="cellIs" dxfId="448" priority="5394" stopIfTrue="1" operator="between">
      <formula>1</formula>
      <formula>3</formula>
    </cfRule>
    <cfRule type="cellIs" dxfId="447" priority="5395" stopIfTrue="1" operator="between">
      <formula>4</formula>
      <formula>20</formula>
    </cfRule>
  </conditionalFormatting>
  <conditionalFormatting sqref="AD142">
    <cfRule type="cellIs" dxfId="446" priority="5392" stopIfTrue="1" operator="between">
      <formula>1</formula>
      <formula>3</formula>
    </cfRule>
    <cfRule type="cellIs" dxfId="445" priority="5393" stopIfTrue="1" operator="between">
      <formula>4</formula>
      <formula>20</formula>
    </cfRule>
  </conditionalFormatting>
  <conditionalFormatting sqref="AD144">
    <cfRule type="cellIs" dxfId="444" priority="5390" stopIfTrue="1" operator="between">
      <formula>1</formula>
      <formula>3</formula>
    </cfRule>
    <cfRule type="cellIs" dxfId="443" priority="5391" stopIfTrue="1" operator="between">
      <formula>4</formula>
      <formula>20</formula>
    </cfRule>
  </conditionalFormatting>
  <conditionalFormatting sqref="AD146">
    <cfRule type="cellIs" dxfId="442" priority="5388" stopIfTrue="1" operator="between">
      <formula>1</formula>
      <formula>3</formula>
    </cfRule>
    <cfRule type="cellIs" dxfId="441" priority="5389" stopIfTrue="1" operator="between">
      <formula>4</formula>
      <formula>20</formula>
    </cfRule>
  </conditionalFormatting>
  <conditionalFormatting sqref="AD148">
    <cfRule type="cellIs" dxfId="440" priority="5386" stopIfTrue="1" operator="between">
      <formula>1</formula>
      <formula>3</formula>
    </cfRule>
    <cfRule type="cellIs" dxfId="439" priority="5387" stopIfTrue="1" operator="between">
      <formula>4</formula>
      <formula>20</formula>
    </cfRule>
  </conditionalFormatting>
  <conditionalFormatting sqref="AD150">
    <cfRule type="cellIs" dxfId="438" priority="5384" stopIfTrue="1" operator="between">
      <formula>1</formula>
      <formula>3</formula>
    </cfRule>
    <cfRule type="cellIs" dxfId="437" priority="5385" stopIfTrue="1" operator="between">
      <formula>4</formula>
      <formula>20</formula>
    </cfRule>
  </conditionalFormatting>
  <conditionalFormatting sqref="AD152">
    <cfRule type="cellIs" dxfId="436" priority="5382" stopIfTrue="1" operator="between">
      <formula>1</formula>
      <formula>3</formula>
    </cfRule>
    <cfRule type="cellIs" dxfId="435" priority="5383" stopIfTrue="1" operator="between">
      <formula>4</formula>
      <formula>20</formula>
    </cfRule>
  </conditionalFormatting>
  <conditionalFormatting sqref="AD154">
    <cfRule type="cellIs" dxfId="434" priority="5380" stopIfTrue="1" operator="between">
      <formula>1</formula>
      <formula>3</formula>
    </cfRule>
    <cfRule type="cellIs" dxfId="433" priority="5381" stopIfTrue="1" operator="between">
      <formula>4</formula>
      <formula>20</formula>
    </cfRule>
  </conditionalFormatting>
  <conditionalFormatting sqref="AG4:AG9 AG14:AG19 AG24:AG29 AG198 AG34:AG39 AG54:AG59 AG44:AG49 AG176 AG186 AG189:AG191 AG178">
    <cfRule type="expression" dxfId="432" priority="5366" stopIfTrue="1">
      <formula>AND(AG4&lt;&gt;"",AG4=$H4)</formula>
    </cfRule>
  </conditionalFormatting>
  <conditionalFormatting sqref="AH4:AH9 AH14:AH19 AH24:AH29 AH198 AH34:AH39 AH54:AH59 AH44:AH49 AH176 AH186 AH189:AH191">
    <cfRule type="expression" dxfId="431" priority="5367" stopIfTrue="1">
      <formula>AND(AH4&lt;&gt;"",AH4=$J4)</formula>
    </cfRule>
  </conditionalFormatting>
  <conditionalFormatting sqref="AI156">
    <cfRule type="cellIs" dxfId="430" priority="5363" stopIfTrue="1" operator="between">
      <formula>1</formula>
      <formula>3</formula>
    </cfRule>
    <cfRule type="cellIs" dxfId="429" priority="5364" stopIfTrue="1" operator="greaterThan">
      <formula>3</formula>
    </cfRule>
  </conditionalFormatting>
  <conditionalFormatting sqref="AI4:AI9 AI54:AI59 AI44:AI49 AI34:AI39 AI14:AI19 AI24:AI29 AI189:AI191 AI194:AI195 AI158 AI124">
    <cfRule type="cellIs" dxfId="428" priority="5361" stopIfTrue="1" operator="between">
      <formula>1</formula>
      <formula>3</formula>
    </cfRule>
    <cfRule type="cellIs" dxfId="427" priority="5362" stopIfTrue="1" operator="between">
      <formula>4</formula>
      <formula>20</formula>
    </cfRule>
  </conditionalFormatting>
  <conditionalFormatting sqref="AI173:AI174 AI183:AI184">
    <cfRule type="cellIs" dxfId="426" priority="5359" stopIfTrue="1" operator="between">
      <formula>1</formula>
      <formula>3</formula>
    </cfRule>
    <cfRule type="cellIs" dxfId="425" priority="5360" stopIfTrue="1" operator="greaterThan">
      <formula>3</formula>
    </cfRule>
  </conditionalFormatting>
  <conditionalFormatting sqref="AI176 AI178">
    <cfRule type="cellIs" dxfId="424" priority="5357" stopIfTrue="1" operator="between">
      <formula>1</formula>
      <formula>4</formula>
    </cfRule>
    <cfRule type="cellIs" dxfId="423" priority="5358" stopIfTrue="1" operator="between">
      <formula>5</formula>
      <formula>20</formula>
    </cfRule>
  </conditionalFormatting>
  <conditionalFormatting sqref="AI186">
    <cfRule type="cellIs" dxfId="422" priority="5355" stopIfTrue="1" operator="between">
      <formula>1</formula>
      <formula>6</formula>
    </cfRule>
    <cfRule type="cellIs" dxfId="421" priority="5356" stopIfTrue="1" operator="between">
      <formula>7</formula>
      <formula>20</formula>
    </cfRule>
  </conditionalFormatting>
  <conditionalFormatting sqref="AI198">
    <cfRule type="cellIs" dxfId="420" priority="5353" stopIfTrue="1" operator="between">
      <formula>1</formula>
      <formula>7</formula>
    </cfRule>
    <cfRule type="cellIs" dxfId="419" priority="5354" stopIfTrue="1" operator="between">
      <formula>8</formula>
      <formula>20</formula>
    </cfRule>
  </conditionalFormatting>
  <conditionalFormatting sqref="AI157 AI123">
    <cfRule type="cellIs" dxfId="418" priority="5351" stopIfTrue="1" operator="between">
      <formula>1</formula>
      <formula>1</formula>
    </cfRule>
    <cfRule type="cellIs" dxfId="417" priority="5352" stopIfTrue="1" operator="between">
      <formula>2</formula>
      <formula>20</formula>
    </cfRule>
  </conditionalFormatting>
  <conditionalFormatting sqref="AI175 AI185 AI197 AI177">
    <cfRule type="cellIs" dxfId="416" priority="5349" stopIfTrue="1" operator="between">
      <formula>1</formula>
      <formula>2</formula>
    </cfRule>
    <cfRule type="cellIs" dxfId="415" priority="5350" stopIfTrue="1" operator="between">
      <formula>3</formula>
      <formula>20</formula>
    </cfRule>
  </conditionalFormatting>
  <conditionalFormatting sqref="AI196">
    <cfRule type="cellIs" dxfId="414" priority="5347" stopIfTrue="1" operator="between">
      <formula>1</formula>
      <formula>2</formula>
    </cfRule>
    <cfRule type="cellIs" dxfId="413" priority="5348" stopIfTrue="1" operator="between">
      <formula>3</formula>
      <formula>30</formula>
    </cfRule>
  </conditionalFormatting>
  <conditionalFormatting sqref="AI2:AI3">
    <cfRule type="cellIs" dxfId="412" priority="5344" stopIfTrue="1" operator="between">
      <formula>1</formula>
      <formula>3</formula>
    </cfRule>
    <cfRule type="cellIs" dxfId="411" priority="5345" stopIfTrue="1" operator="between">
      <formula>4</formula>
      <formula>20</formula>
    </cfRule>
  </conditionalFormatting>
  <conditionalFormatting sqref="AI10:AI13">
    <cfRule type="cellIs" dxfId="410" priority="5342" stopIfTrue="1" operator="between">
      <formula>1</formula>
      <formula>3</formula>
    </cfRule>
    <cfRule type="cellIs" dxfId="409" priority="5343" stopIfTrue="1" operator="between">
      <formula>4</formula>
      <formula>20</formula>
    </cfRule>
  </conditionalFormatting>
  <conditionalFormatting sqref="AI20:AI23">
    <cfRule type="cellIs" dxfId="408" priority="5340" stopIfTrue="1" operator="between">
      <formula>1</formula>
      <formula>3</formula>
    </cfRule>
    <cfRule type="cellIs" dxfId="407" priority="5341" stopIfTrue="1" operator="between">
      <formula>4</formula>
      <formula>20</formula>
    </cfRule>
  </conditionalFormatting>
  <conditionalFormatting sqref="AI30:AI33">
    <cfRule type="cellIs" dxfId="406" priority="5338" stopIfTrue="1" operator="between">
      <formula>1</formula>
      <formula>3</formula>
    </cfRule>
    <cfRule type="cellIs" dxfId="405" priority="5339" stopIfTrue="1" operator="between">
      <formula>4</formula>
      <formula>20</formula>
    </cfRule>
  </conditionalFormatting>
  <conditionalFormatting sqref="AI40:AI43">
    <cfRule type="cellIs" dxfId="404" priority="5336" stopIfTrue="1" operator="between">
      <formula>1</formula>
      <formula>3</formula>
    </cfRule>
    <cfRule type="cellIs" dxfId="403" priority="5337" stopIfTrue="1" operator="between">
      <formula>4</formula>
      <formula>20</formula>
    </cfRule>
  </conditionalFormatting>
  <conditionalFormatting sqref="AI50:AI53">
    <cfRule type="cellIs" dxfId="402" priority="5334" stopIfTrue="1" operator="between">
      <formula>1</formula>
      <formula>3</formula>
    </cfRule>
    <cfRule type="cellIs" dxfId="401" priority="5335" stopIfTrue="1" operator="between">
      <formula>4</formula>
      <formula>20</formula>
    </cfRule>
  </conditionalFormatting>
  <conditionalFormatting sqref="AI60">
    <cfRule type="cellIs" dxfId="400" priority="5332" stopIfTrue="1" operator="between">
      <formula>1</formula>
      <formula>3</formula>
    </cfRule>
    <cfRule type="cellIs" dxfId="399" priority="5333" stopIfTrue="1" operator="between">
      <formula>4</formula>
      <formula>20</formula>
    </cfRule>
  </conditionalFormatting>
  <conditionalFormatting sqref="AG64:AG69 AG74:AG79 AG84:AG89 AG94:AG99 AG104:AG109 AG114:AG119">
    <cfRule type="expression" dxfId="398" priority="5330" stopIfTrue="1">
      <formula>AND(AG64&lt;&gt;"",AG64=$H64)</formula>
    </cfRule>
  </conditionalFormatting>
  <conditionalFormatting sqref="AH64:AH69 AH74:AH79 AH84:AH89 AH94:AH99 AH104:AH109 AH114:AH119">
    <cfRule type="expression" dxfId="397" priority="5331" stopIfTrue="1">
      <formula>AND(AH64&lt;&gt;"",AH64=$J64)</formula>
    </cfRule>
  </conditionalFormatting>
  <conditionalFormatting sqref="AI64:AI69 AI114:AI119 AI104:AI109 AI94:AI99 AI74:AI79 AI82:AI90">
    <cfRule type="cellIs" dxfId="396" priority="5328" stopIfTrue="1" operator="between">
      <formula>1</formula>
      <formula>3</formula>
    </cfRule>
    <cfRule type="cellIs" dxfId="395" priority="5329" stopIfTrue="1" operator="between">
      <formula>4</formula>
      <formula>20</formula>
    </cfRule>
  </conditionalFormatting>
  <conditionalFormatting sqref="AI62:AI70">
    <cfRule type="cellIs" dxfId="394" priority="5326" stopIfTrue="1" operator="between">
      <formula>1</formula>
      <formula>3</formula>
    </cfRule>
    <cfRule type="cellIs" dxfId="393" priority="5327" stopIfTrue="1" operator="between">
      <formula>4</formula>
      <formula>20</formula>
    </cfRule>
  </conditionalFormatting>
  <conditionalFormatting sqref="AI70:AI80">
    <cfRule type="cellIs" dxfId="392" priority="5324" stopIfTrue="1" operator="between">
      <formula>1</formula>
      <formula>3</formula>
    </cfRule>
    <cfRule type="cellIs" dxfId="391" priority="5325" stopIfTrue="1" operator="between">
      <formula>4</formula>
      <formula>20</formula>
    </cfRule>
  </conditionalFormatting>
  <conditionalFormatting sqref="AI80:AI83">
    <cfRule type="cellIs" dxfId="390" priority="5322" stopIfTrue="1" operator="between">
      <formula>1</formula>
      <formula>3</formula>
    </cfRule>
    <cfRule type="cellIs" dxfId="389" priority="5323" stopIfTrue="1" operator="between">
      <formula>4</formula>
      <formula>20</formula>
    </cfRule>
  </conditionalFormatting>
  <conditionalFormatting sqref="AI90:AI100">
    <cfRule type="cellIs" dxfId="388" priority="5320" stopIfTrue="1" operator="between">
      <formula>1</formula>
      <formula>3</formula>
    </cfRule>
    <cfRule type="cellIs" dxfId="387" priority="5321" stopIfTrue="1" operator="between">
      <formula>4</formula>
      <formula>20</formula>
    </cfRule>
  </conditionalFormatting>
  <conditionalFormatting sqref="AI100:AI110">
    <cfRule type="cellIs" dxfId="386" priority="5318" stopIfTrue="1" operator="between">
      <formula>1</formula>
      <formula>3</formula>
    </cfRule>
    <cfRule type="cellIs" dxfId="385" priority="5319" stopIfTrue="1" operator="between">
      <formula>4</formula>
      <formula>20</formula>
    </cfRule>
  </conditionalFormatting>
  <conditionalFormatting sqref="AI110:AI120">
    <cfRule type="cellIs" dxfId="384" priority="5316" stopIfTrue="1" operator="between">
      <formula>1</formula>
      <formula>3</formula>
    </cfRule>
    <cfRule type="cellIs" dxfId="383" priority="5317" stopIfTrue="1" operator="between">
      <formula>4</formula>
      <formula>20</formula>
    </cfRule>
  </conditionalFormatting>
  <conditionalFormatting sqref="AI120">
    <cfRule type="cellIs" dxfId="382" priority="5314" stopIfTrue="1" operator="between">
      <formula>1</formula>
      <formula>3</formula>
    </cfRule>
    <cfRule type="cellIs" dxfId="381" priority="5315" stopIfTrue="1" operator="between">
      <formula>4</formula>
      <formula>20</formula>
    </cfRule>
  </conditionalFormatting>
  <conditionalFormatting sqref="AG180">
    <cfRule type="expression" dxfId="380" priority="5311" stopIfTrue="1">
      <formula>AND(AG180&lt;&gt;"",AG180=$H180)</formula>
    </cfRule>
  </conditionalFormatting>
  <conditionalFormatting sqref="AI182">
    <cfRule type="cellIs" dxfId="379" priority="5309" stopIfTrue="1" operator="between">
      <formula>1</formula>
      <formula>4</formula>
    </cfRule>
    <cfRule type="cellIs" dxfId="378" priority="5310" stopIfTrue="1" operator="between">
      <formula>5</formula>
      <formula>20</formula>
    </cfRule>
  </conditionalFormatting>
  <conditionalFormatting sqref="AI179 AI181">
    <cfRule type="cellIs" dxfId="377" priority="5307" stopIfTrue="1" operator="between">
      <formula>1</formula>
      <formula>2</formula>
    </cfRule>
    <cfRule type="cellIs" dxfId="376" priority="5308" stopIfTrue="1" operator="between">
      <formula>3</formula>
      <formula>20</formula>
    </cfRule>
  </conditionalFormatting>
  <conditionalFormatting sqref="AG182">
    <cfRule type="expression" dxfId="375" priority="5303" stopIfTrue="1">
      <formula>AND(AG182&lt;&gt;"",AG182=$H182)</formula>
    </cfRule>
  </conditionalFormatting>
  <conditionalFormatting sqref="AH182">
    <cfRule type="expression" dxfId="374" priority="5304" stopIfTrue="1">
      <formula>AND(AH182&lt;&gt;"",AH182=$J182)</formula>
    </cfRule>
  </conditionalFormatting>
  <conditionalFormatting sqref="AI180">
    <cfRule type="cellIs" dxfId="373" priority="5301" stopIfTrue="1" operator="between">
      <formula>1</formula>
      <formula>4</formula>
    </cfRule>
    <cfRule type="cellIs" dxfId="372" priority="5302" stopIfTrue="1" operator="between">
      <formula>5</formula>
      <formula>20</formula>
    </cfRule>
  </conditionalFormatting>
  <conditionalFormatting sqref="AH178">
    <cfRule type="expression" dxfId="371" priority="5298" stopIfTrue="1">
      <formula>AND(AH178&lt;&gt;"",AH178=$J178)</formula>
    </cfRule>
  </conditionalFormatting>
  <conditionalFormatting sqref="AH180">
    <cfRule type="expression" dxfId="370" priority="5297" stopIfTrue="1">
      <formula>AND(AH180&lt;&gt;"",AH180=$J180)</formula>
    </cfRule>
  </conditionalFormatting>
  <conditionalFormatting sqref="AI155">
    <cfRule type="cellIs" dxfId="369" priority="5295" stopIfTrue="1" operator="between">
      <formula>1</formula>
      <formula>3</formula>
    </cfRule>
    <cfRule type="cellIs" dxfId="368" priority="5296" stopIfTrue="1" operator="greaterThan">
      <formula>3</formula>
    </cfRule>
  </conditionalFormatting>
  <conditionalFormatting sqref="AI155">
    <cfRule type="cellIs" dxfId="367" priority="5293" stopIfTrue="1" operator="between">
      <formula>1</formula>
      <formula>3</formula>
    </cfRule>
    <cfRule type="cellIs" dxfId="366" priority="5294" stopIfTrue="1" operator="between">
      <formula>4</formula>
      <formula>20</formula>
    </cfRule>
  </conditionalFormatting>
  <conditionalFormatting sqref="AI155">
    <cfRule type="cellIs" dxfId="365" priority="5291" stopIfTrue="1" operator="between">
      <formula>1</formula>
      <formula>3</formula>
    </cfRule>
    <cfRule type="cellIs" dxfId="364" priority="5292" stopIfTrue="1" operator="between">
      <formula>4</formula>
      <formula>20</formula>
    </cfRule>
  </conditionalFormatting>
  <conditionalFormatting sqref="AI121:AI122">
    <cfRule type="cellIs" dxfId="363" priority="5289" stopIfTrue="1" operator="between">
      <formula>1</formula>
      <formula>3</formula>
    </cfRule>
    <cfRule type="cellIs" dxfId="362" priority="5290" stopIfTrue="1" operator="greaterThan">
      <formula>3</formula>
    </cfRule>
  </conditionalFormatting>
  <conditionalFormatting sqref="AI121:AI122">
    <cfRule type="cellIs" dxfId="361" priority="5287" stopIfTrue="1" operator="between">
      <formula>1</formula>
      <formula>3</formula>
    </cfRule>
    <cfRule type="cellIs" dxfId="360" priority="5288" stopIfTrue="1" operator="between">
      <formula>4</formula>
      <formula>20</formula>
    </cfRule>
  </conditionalFormatting>
  <conditionalFormatting sqref="AI121:AI122">
    <cfRule type="cellIs" dxfId="359" priority="5285" stopIfTrue="1" operator="between">
      <formula>1</formula>
      <formula>3</formula>
    </cfRule>
    <cfRule type="cellIs" dxfId="358" priority="5286" stopIfTrue="1" operator="between">
      <formula>4</formula>
      <formula>20</formula>
    </cfRule>
  </conditionalFormatting>
  <conditionalFormatting sqref="AG188">
    <cfRule type="expression" dxfId="357" priority="5279" stopIfTrue="1">
      <formula>AND(AG188&lt;&gt;"",AG188=$H188)</formula>
    </cfRule>
  </conditionalFormatting>
  <conditionalFormatting sqref="AH188">
    <cfRule type="expression" dxfId="356" priority="5280" stopIfTrue="1">
      <formula>AND(AH188&lt;&gt;"",AH188=$J188)</formula>
    </cfRule>
  </conditionalFormatting>
  <conditionalFormatting sqref="AI193">
    <cfRule type="cellIs" dxfId="355" priority="5267" stopIfTrue="1" operator="between">
      <formula>1</formula>
      <formula>6</formula>
    </cfRule>
    <cfRule type="cellIs" dxfId="354" priority="5268" stopIfTrue="1" operator="between">
      <formula>7</formula>
      <formula>20</formula>
    </cfRule>
  </conditionalFormatting>
  <conditionalFormatting sqref="AI187">
    <cfRule type="cellIs" dxfId="353" priority="5277" stopIfTrue="1" operator="between">
      <formula>1</formula>
      <formula>2</formula>
    </cfRule>
    <cfRule type="cellIs" dxfId="352" priority="5278" stopIfTrue="1" operator="between">
      <formula>3</formula>
      <formula>20</formula>
    </cfRule>
  </conditionalFormatting>
  <conditionalFormatting sqref="AI188">
    <cfRule type="cellIs" dxfId="351" priority="5275" stopIfTrue="1" operator="between">
      <formula>1</formula>
      <formula>6</formula>
    </cfRule>
    <cfRule type="cellIs" dxfId="350" priority="5276" stopIfTrue="1" operator="between">
      <formula>7</formula>
      <formula>20</formula>
    </cfRule>
  </conditionalFormatting>
  <conditionalFormatting sqref="AG193">
    <cfRule type="expression" dxfId="349" priority="5269" stopIfTrue="1">
      <formula>AND(AG193&lt;&gt;"",AG193=$H193)</formula>
    </cfRule>
  </conditionalFormatting>
  <conditionalFormatting sqref="AH193">
    <cfRule type="expression" dxfId="348" priority="5270" stopIfTrue="1">
      <formula>AND(AH193&lt;&gt;"",AH193=$J193)</formula>
    </cfRule>
  </conditionalFormatting>
  <conditionalFormatting sqref="AI192">
    <cfRule type="cellIs" dxfId="347" priority="5265" stopIfTrue="1" operator="between">
      <formula>1</formula>
      <formula>2</formula>
    </cfRule>
    <cfRule type="cellIs" dxfId="346" priority="5266" stopIfTrue="1" operator="between">
      <formula>3</formula>
      <formula>20</formula>
    </cfRule>
  </conditionalFormatting>
  <conditionalFormatting sqref="AG158">
    <cfRule type="expression" dxfId="345" priority="5378" stopIfTrue="1">
      <formula>AND(AG158&lt;&gt;"",AG158=$H158)</formula>
    </cfRule>
  </conditionalFormatting>
  <conditionalFormatting sqref="AH158">
    <cfRule type="expression" dxfId="344" priority="5379" stopIfTrue="1">
      <formula>AND(AH158&lt;&gt;"",AH158=$J158)</formula>
    </cfRule>
  </conditionalFormatting>
  <conditionalFormatting sqref="AI160">
    <cfRule type="cellIs" dxfId="343" priority="5263" stopIfTrue="1" operator="between">
      <formula>1</formula>
      <formula>3</formula>
    </cfRule>
    <cfRule type="cellIs" dxfId="342" priority="5264" stopIfTrue="1" operator="between">
      <formula>4</formula>
      <formula>20</formula>
    </cfRule>
  </conditionalFormatting>
  <conditionalFormatting sqref="AI159">
    <cfRule type="cellIs" dxfId="341" priority="5261" stopIfTrue="1" operator="between">
      <formula>1</formula>
      <formula>1</formula>
    </cfRule>
    <cfRule type="cellIs" dxfId="340" priority="5262" stopIfTrue="1" operator="between">
      <formula>2</formula>
      <formula>20</formula>
    </cfRule>
  </conditionalFormatting>
  <conditionalFormatting sqref="AI162 AI164 AI166 AI168 AI170 AI172">
    <cfRule type="cellIs" dxfId="339" priority="5259" stopIfTrue="1" operator="between">
      <formula>1</formula>
      <formula>3</formula>
    </cfRule>
    <cfRule type="cellIs" dxfId="338" priority="5260" stopIfTrue="1" operator="between">
      <formula>4</formula>
      <formula>20</formula>
    </cfRule>
  </conditionalFormatting>
  <conditionalFormatting sqref="AI161 AI163 AI165 AI167 AI169 AI171">
    <cfRule type="cellIs" dxfId="337" priority="5257" stopIfTrue="1" operator="between">
      <formula>1</formula>
      <formula>1</formula>
    </cfRule>
    <cfRule type="cellIs" dxfId="336" priority="5258" stopIfTrue="1" operator="between">
      <formula>2</formula>
      <formula>20</formula>
    </cfRule>
  </conditionalFormatting>
  <conditionalFormatting sqref="AG160 AG162 AG164 AG166 AG168 AG170 AG172">
    <cfRule type="expression" dxfId="335" priority="5255" stopIfTrue="1">
      <formula>AND(AG160&lt;&gt;"",AG160=$H160)</formula>
    </cfRule>
  </conditionalFormatting>
  <conditionalFormatting sqref="AH160 AH162 AH164 AH166 AH168 AH170 AH172">
    <cfRule type="expression" dxfId="334" priority="5256" stopIfTrue="1">
      <formula>AND(AH160&lt;&gt;"",AH160=$J160)</formula>
    </cfRule>
  </conditionalFormatting>
  <conditionalFormatting sqref="AG124">
    <cfRule type="expression" dxfId="333" priority="5251" stopIfTrue="1">
      <formula>AND(AG124&lt;&gt;"",AG124=$H124)</formula>
    </cfRule>
  </conditionalFormatting>
  <conditionalFormatting sqref="AH124">
    <cfRule type="expression" dxfId="332" priority="5252" stopIfTrue="1">
      <formula>AND(AH124&lt;&gt;"",AH124=$J124)</formula>
    </cfRule>
  </conditionalFormatting>
  <conditionalFormatting sqref="AI125 AI127 AI129 AI131 AI133 AI135 AI137 AI139 AI141 AI143 AI145 AI147 AI149 AI151 AI153">
    <cfRule type="cellIs" dxfId="331" priority="5249" stopIfTrue="1" operator="between">
      <formula>1</formula>
      <formula>1</formula>
    </cfRule>
    <cfRule type="cellIs" dxfId="330" priority="5250" stopIfTrue="1" operator="between">
      <formula>2</formula>
      <formula>20</formula>
    </cfRule>
  </conditionalFormatting>
  <conditionalFormatting sqref="AI136">
    <cfRule type="cellIs" dxfId="329" priority="5235" stopIfTrue="1" operator="between">
      <formula>1</formula>
      <formula>3</formula>
    </cfRule>
    <cfRule type="cellIs" dxfId="328" priority="5236" stopIfTrue="1" operator="between">
      <formula>4</formula>
      <formula>20</formula>
    </cfRule>
  </conditionalFormatting>
  <conditionalFormatting sqref="AG126 AG128 AG130 AG132 AG134 AG136 AG138 AG140 AG142 AG144 AG146 AG148 AG150 AG152 AG154">
    <cfRule type="expression" dxfId="327" priority="5247" stopIfTrue="1">
      <formula>AND(AG126&lt;&gt;"",AG126=$H126)</formula>
    </cfRule>
  </conditionalFormatting>
  <conditionalFormatting sqref="AH126 AH128 AH130 AH132 AH134 AH136 AH138 AH140 AH142 AH144 AH146 AH148 AH150 AH152 AH154">
    <cfRule type="expression" dxfId="326" priority="5248" stopIfTrue="1">
      <formula>AND(AH126&lt;&gt;"",AH126=$J126)</formula>
    </cfRule>
  </conditionalFormatting>
  <conditionalFormatting sqref="AI126">
    <cfRule type="cellIs" dxfId="325" priority="5245" stopIfTrue="1" operator="between">
      <formula>1</formula>
      <formula>3</formula>
    </cfRule>
    <cfRule type="cellIs" dxfId="324" priority="5246" stopIfTrue="1" operator="between">
      <formula>4</formula>
      <formula>20</formula>
    </cfRule>
  </conditionalFormatting>
  <conditionalFormatting sqref="AI128">
    <cfRule type="cellIs" dxfId="323" priority="5243" stopIfTrue="1" operator="between">
      <formula>1</formula>
      <formula>3</formula>
    </cfRule>
    <cfRule type="cellIs" dxfId="322" priority="5244" stopIfTrue="1" operator="between">
      <formula>4</formula>
      <formula>20</formula>
    </cfRule>
  </conditionalFormatting>
  <conditionalFormatting sqref="AI130">
    <cfRule type="cellIs" dxfId="321" priority="5241" stopIfTrue="1" operator="between">
      <formula>1</formula>
      <formula>3</formula>
    </cfRule>
    <cfRule type="cellIs" dxfId="320" priority="5242" stopIfTrue="1" operator="between">
      <formula>4</formula>
      <formula>20</formula>
    </cfRule>
  </conditionalFormatting>
  <conditionalFormatting sqref="AI132">
    <cfRule type="cellIs" dxfId="319" priority="5239" stopIfTrue="1" operator="between">
      <formula>1</formula>
      <formula>3</formula>
    </cfRule>
    <cfRule type="cellIs" dxfId="318" priority="5240" stopIfTrue="1" operator="between">
      <formula>4</formula>
      <formula>20</formula>
    </cfRule>
  </conditionalFormatting>
  <conditionalFormatting sqref="AI134">
    <cfRule type="cellIs" dxfId="317" priority="5237" stopIfTrue="1" operator="between">
      <formula>1</formula>
      <formula>3</formula>
    </cfRule>
    <cfRule type="cellIs" dxfId="316" priority="5238" stopIfTrue="1" operator="between">
      <formula>4</formula>
      <formula>20</formula>
    </cfRule>
  </conditionalFormatting>
  <conditionalFormatting sqref="AI138">
    <cfRule type="cellIs" dxfId="315" priority="5233" stopIfTrue="1" operator="between">
      <formula>1</formula>
      <formula>3</formula>
    </cfRule>
    <cfRule type="cellIs" dxfId="314" priority="5234" stopIfTrue="1" operator="between">
      <formula>4</formula>
      <formula>20</formula>
    </cfRule>
  </conditionalFormatting>
  <conditionalFormatting sqref="AI140">
    <cfRule type="cellIs" dxfId="313" priority="5231" stopIfTrue="1" operator="between">
      <formula>1</formula>
      <formula>3</formula>
    </cfRule>
    <cfRule type="cellIs" dxfId="312" priority="5232" stopIfTrue="1" operator="between">
      <formula>4</formula>
      <formula>20</formula>
    </cfRule>
  </conditionalFormatting>
  <conditionalFormatting sqref="AI142">
    <cfRule type="cellIs" dxfId="311" priority="5229" stopIfTrue="1" operator="between">
      <formula>1</formula>
      <formula>3</formula>
    </cfRule>
    <cfRule type="cellIs" dxfId="310" priority="5230" stopIfTrue="1" operator="between">
      <formula>4</formula>
      <formula>20</formula>
    </cfRule>
  </conditionalFormatting>
  <conditionalFormatting sqref="AI144">
    <cfRule type="cellIs" dxfId="309" priority="5227" stopIfTrue="1" operator="between">
      <formula>1</formula>
      <formula>3</formula>
    </cfRule>
    <cfRule type="cellIs" dxfId="308" priority="5228" stopIfTrue="1" operator="between">
      <formula>4</formula>
      <formula>20</formula>
    </cfRule>
  </conditionalFormatting>
  <conditionalFormatting sqref="AI146">
    <cfRule type="cellIs" dxfId="307" priority="5225" stopIfTrue="1" operator="between">
      <formula>1</formula>
      <formula>3</formula>
    </cfRule>
    <cfRule type="cellIs" dxfId="306" priority="5226" stopIfTrue="1" operator="between">
      <formula>4</formula>
      <formula>20</formula>
    </cfRule>
  </conditionalFormatting>
  <conditionalFormatting sqref="AI148">
    <cfRule type="cellIs" dxfId="305" priority="5223" stopIfTrue="1" operator="between">
      <formula>1</formula>
      <formula>3</formula>
    </cfRule>
    <cfRule type="cellIs" dxfId="304" priority="5224" stopIfTrue="1" operator="between">
      <formula>4</formula>
      <formula>20</formula>
    </cfRule>
  </conditionalFormatting>
  <conditionalFormatting sqref="AI150">
    <cfRule type="cellIs" dxfId="303" priority="5221" stopIfTrue="1" operator="between">
      <formula>1</formula>
      <formula>3</formula>
    </cfRule>
    <cfRule type="cellIs" dxfId="302" priority="5222" stopIfTrue="1" operator="between">
      <formula>4</formula>
      <formula>20</formula>
    </cfRule>
  </conditionalFormatting>
  <conditionalFormatting sqref="AI152">
    <cfRule type="cellIs" dxfId="301" priority="5219" stopIfTrue="1" operator="between">
      <formula>1</formula>
      <formula>3</formula>
    </cfRule>
    <cfRule type="cellIs" dxfId="300" priority="5220" stopIfTrue="1" operator="between">
      <formula>4</formula>
      <formula>20</formula>
    </cfRule>
  </conditionalFormatting>
  <conditionalFormatting sqref="AI154">
    <cfRule type="cellIs" dxfId="299" priority="5217" stopIfTrue="1" operator="between">
      <formula>1</formula>
      <formula>3</formula>
    </cfRule>
    <cfRule type="cellIs" dxfId="298" priority="5218" stopIfTrue="1" operator="between">
      <formula>4</formula>
      <formula>20</formula>
    </cfRule>
  </conditionalFormatting>
  <conditionalFormatting sqref="AL4:AL9 AL14:AL19 AL24:AL29 AL198 AL34:AL39 AL54:AL59 AL44:AL49 AL176 AL186 AL189:AL191 AL178">
    <cfRule type="expression" dxfId="297" priority="5203" stopIfTrue="1">
      <formula>AND(AL4&lt;&gt;"",AL4=$H4)</formula>
    </cfRule>
  </conditionalFormatting>
  <conditionalFormatting sqref="AM4:AM9 AM14:AM19 AM24:AM29 AM198 AM34:AM39 AM54:AM59 AM44:AM49 AM176 AM186 AM189:AM191">
    <cfRule type="expression" dxfId="296" priority="5204" stopIfTrue="1">
      <formula>AND(AM4&lt;&gt;"",AM4=$J4)</formula>
    </cfRule>
  </conditionalFormatting>
  <conditionalFormatting sqref="AN156">
    <cfRule type="cellIs" dxfId="295" priority="5200" stopIfTrue="1" operator="between">
      <formula>1</formula>
      <formula>3</formula>
    </cfRule>
    <cfRule type="cellIs" dxfId="294" priority="5201" stopIfTrue="1" operator="greaterThan">
      <formula>3</formula>
    </cfRule>
  </conditionalFormatting>
  <conditionalFormatting sqref="AN4:AN9 AN54:AN59 AN44:AN49 AN34:AN39 AN14:AN19 AN24:AN29 AN189:AN191 AN194:AN195 AN158 AN124">
    <cfRule type="cellIs" dxfId="293" priority="5198" stopIfTrue="1" operator="between">
      <formula>1</formula>
      <formula>3</formula>
    </cfRule>
    <cfRule type="cellIs" dxfId="292" priority="5199" stopIfTrue="1" operator="between">
      <formula>4</formula>
      <formula>20</formula>
    </cfRule>
  </conditionalFormatting>
  <conditionalFormatting sqref="AN173:AN174 AN183:AN184">
    <cfRule type="cellIs" dxfId="291" priority="5196" stopIfTrue="1" operator="between">
      <formula>1</formula>
      <formula>3</formula>
    </cfRule>
    <cfRule type="cellIs" dxfId="290" priority="5197" stopIfTrue="1" operator="greaterThan">
      <formula>3</formula>
    </cfRule>
  </conditionalFormatting>
  <conditionalFormatting sqref="AN176 AN178">
    <cfRule type="cellIs" dxfId="289" priority="5194" stopIfTrue="1" operator="between">
      <formula>1</formula>
      <formula>4</formula>
    </cfRule>
    <cfRule type="cellIs" dxfId="288" priority="5195" stopIfTrue="1" operator="between">
      <formula>5</formula>
      <formula>20</formula>
    </cfRule>
  </conditionalFormatting>
  <conditionalFormatting sqref="AN186">
    <cfRule type="cellIs" dxfId="287" priority="5192" stopIfTrue="1" operator="between">
      <formula>1</formula>
      <formula>6</formula>
    </cfRule>
    <cfRule type="cellIs" dxfId="286" priority="5193" stopIfTrue="1" operator="between">
      <formula>7</formula>
      <formula>20</formula>
    </cfRule>
  </conditionalFormatting>
  <conditionalFormatting sqref="AN198">
    <cfRule type="cellIs" dxfId="285" priority="5190" stopIfTrue="1" operator="between">
      <formula>1</formula>
      <formula>7</formula>
    </cfRule>
    <cfRule type="cellIs" dxfId="284" priority="5191" stopIfTrue="1" operator="between">
      <formula>8</formula>
      <formula>20</formula>
    </cfRule>
  </conditionalFormatting>
  <conditionalFormatting sqref="AN157 AN123">
    <cfRule type="cellIs" dxfId="283" priority="5188" stopIfTrue="1" operator="between">
      <formula>1</formula>
      <formula>1</formula>
    </cfRule>
    <cfRule type="cellIs" dxfId="282" priority="5189" stopIfTrue="1" operator="between">
      <formula>2</formula>
      <formula>20</formula>
    </cfRule>
  </conditionalFormatting>
  <conditionalFormatting sqref="AN175 AN185 AN197 AN177">
    <cfRule type="cellIs" dxfId="281" priority="5186" stopIfTrue="1" operator="between">
      <formula>1</formula>
      <formula>2</formula>
    </cfRule>
    <cfRule type="cellIs" dxfId="280" priority="5187" stopIfTrue="1" operator="between">
      <formula>3</formula>
      <formula>20</formula>
    </cfRule>
  </conditionalFormatting>
  <conditionalFormatting sqref="AN196">
    <cfRule type="cellIs" dxfId="279" priority="5184" stopIfTrue="1" operator="between">
      <formula>1</formula>
      <formula>2</formula>
    </cfRule>
    <cfRule type="cellIs" dxfId="278" priority="5185" stopIfTrue="1" operator="between">
      <formula>3</formula>
      <formula>30</formula>
    </cfRule>
  </conditionalFormatting>
  <conditionalFormatting sqref="AN2:AN3">
    <cfRule type="cellIs" dxfId="277" priority="5181" stopIfTrue="1" operator="between">
      <formula>1</formula>
      <formula>3</formula>
    </cfRule>
    <cfRule type="cellIs" dxfId="276" priority="5182" stopIfTrue="1" operator="between">
      <formula>4</formula>
      <formula>20</formula>
    </cfRule>
  </conditionalFormatting>
  <conditionalFormatting sqref="AN10:AN13">
    <cfRule type="cellIs" dxfId="275" priority="5179" stopIfTrue="1" operator="between">
      <formula>1</formula>
      <formula>3</formula>
    </cfRule>
    <cfRule type="cellIs" dxfId="274" priority="5180" stopIfTrue="1" operator="between">
      <formula>4</formula>
      <formula>20</formula>
    </cfRule>
  </conditionalFormatting>
  <conditionalFormatting sqref="AN20:AN23">
    <cfRule type="cellIs" dxfId="273" priority="5177" stopIfTrue="1" operator="between">
      <formula>1</formula>
      <formula>3</formula>
    </cfRule>
    <cfRule type="cellIs" dxfId="272" priority="5178" stopIfTrue="1" operator="between">
      <formula>4</formula>
      <formula>20</formula>
    </cfRule>
  </conditionalFormatting>
  <conditionalFormatting sqref="AN30:AN33">
    <cfRule type="cellIs" dxfId="271" priority="5175" stopIfTrue="1" operator="between">
      <formula>1</formula>
      <formula>3</formula>
    </cfRule>
    <cfRule type="cellIs" dxfId="270" priority="5176" stopIfTrue="1" operator="between">
      <formula>4</formula>
      <formula>20</formula>
    </cfRule>
  </conditionalFormatting>
  <conditionalFormatting sqref="AN40:AN43">
    <cfRule type="cellIs" dxfId="269" priority="5173" stopIfTrue="1" operator="between">
      <formula>1</formula>
      <formula>3</formula>
    </cfRule>
    <cfRule type="cellIs" dxfId="268" priority="5174" stopIfTrue="1" operator="between">
      <formula>4</formula>
      <formula>20</formula>
    </cfRule>
  </conditionalFormatting>
  <conditionalFormatting sqref="AN50:AN53">
    <cfRule type="cellIs" dxfId="267" priority="5171" stopIfTrue="1" operator="between">
      <formula>1</formula>
      <formula>3</formula>
    </cfRule>
    <cfRule type="cellIs" dxfId="266" priority="5172" stopIfTrue="1" operator="between">
      <formula>4</formula>
      <formula>20</formula>
    </cfRule>
  </conditionalFormatting>
  <conditionalFormatting sqref="AN60">
    <cfRule type="cellIs" dxfId="265" priority="5169" stopIfTrue="1" operator="between">
      <formula>1</formula>
      <formula>3</formula>
    </cfRule>
    <cfRule type="cellIs" dxfId="264" priority="5170" stopIfTrue="1" operator="between">
      <formula>4</formula>
      <formula>20</formula>
    </cfRule>
  </conditionalFormatting>
  <conditionalFormatting sqref="AL64:AL69 AL74:AL79 AL84:AL89 AL94:AL99 AL104:AL109 AL114:AL119">
    <cfRule type="expression" dxfId="263" priority="5167" stopIfTrue="1">
      <formula>AND(AL64&lt;&gt;"",AL64=$H64)</formula>
    </cfRule>
  </conditionalFormatting>
  <conditionalFormatting sqref="AM64:AM69 AM74:AM79 AM84:AM89 AM94:AM99 AM104:AM109 AM114:AM119">
    <cfRule type="expression" dxfId="262" priority="5168" stopIfTrue="1">
      <formula>AND(AM64&lt;&gt;"",AM64=$J64)</formula>
    </cfRule>
  </conditionalFormatting>
  <conditionalFormatting sqref="AN64:AN69 AN114:AN119 AN104:AN109 AN94:AN99 AN74:AN79 AN82:AN90">
    <cfRule type="cellIs" dxfId="261" priority="5165" stopIfTrue="1" operator="between">
      <formula>1</formula>
      <formula>3</formula>
    </cfRule>
    <cfRule type="cellIs" dxfId="260" priority="5166" stopIfTrue="1" operator="between">
      <formula>4</formula>
      <formula>20</formula>
    </cfRule>
  </conditionalFormatting>
  <conditionalFormatting sqref="AN62:AN70">
    <cfRule type="cellIs" dxfId="259" priority="5163" stopIfTrue="1" operator="between">
      <formula>1</formula>
      <formula>3</formula>
    </cfRule>
    <cfRule type="cellIs" dxfId="258" priority="5164" stopIfTrue="1" operator="between">
      <formula>4</formula>
      <formula>20</formula>
    </cfRule>
  </conditionalFormatting>
  <conditionalFormatting sqref="AN70:AN80">
    <cfRule type="cellIs" dxfId="257" priority="5161" stopIfTrue="1" operator="between">
      <formula>1</formula>
      <formula>3</formula>
    </cfRule>
    <cfRule type="cellIs" dxfId="256" priority="5162" stopIfTrue="1" operator="between">
      <formula>4</formula>
      <formula>20</formula>
    </cfRule>
  </conditionalFormatting>
  <conditionalFormatting sqref="AN80:AN83">
    <cfRule type="cellIs" dxfId="255" priority="5159" stopIfTrue="1" operator="between">
      <formula>1</formula>
      <formula>3</formula>
    </cfRule>
    <cfRule type="cellIs" dxfId="254" priority="5160" stopIfTrue="1" operator="between">
      <formula>4</formula>
      <formula>20</formula>
    </cfRule>
  </conditionalFormatting>
  <conditionalFormatting sqref="AN90:AN100">
    <cfRule type="cellIs" dxfId="253" priority="5157" stopIfTrue="1" operator="between">
      <formula>1</formula>
      <formula>3</formula>
    </cfRule>
    <cfRule type="cellIs" dxfId="252" priority="5158" stopIfTrue="1" operator="between">
      <formula>4</formula>
      <formula>20</formula>
    </cfRule>
  </conditionalFormatting>
  <conditionalFormatting sqref="AN100:AN110">
    <cfRule type="cellIs" dxfId="251" priority="5155" stopIfTrue="1" operator="between">
      <formula>1</formula>
      <formula>3</formula>
    </cfRule>
    <cfRule type="cellIs" dxfId="250" priority="5156" stopIfTrue="1" operator="between">
      <formula>4</formula>
      <formula>20</formula>
    </cfRule>
  </conditionalFormatting>
  <conditionalFormatting sqref="AN110:AN120">
    <cfRule type="cellIs" dxfId="249" priority="5153" stopIfTrue="1" operator="between">
      <formula>1</formula>
      <formula>3</formula>
    </cfRule>
    <cfRule type="cellIs" dxfId="248" priority="5154" stopIfTrue="1" operator="between">
      <formula>4</formula>
      <formula>20</formula>
    </cfRule>
  </conditionalFormatting>
  <conditionalFormatting sqref="AN120">
    <cfRule type="cellIs" dxfId="247" priority="5151" stopIfTrue="1" operator="between">
      <formula>1</formula>
      <formula>3</formula>
    </cfRule>
    <cfRule type="cellIs" dxfId="246" priority="5152" stopIfTrue="1" operator="between">
      <formula>4</formula>
      <formula>20</formula>
    </cfRule>
  </conditionalFormatting>
  <conditionalFormatting sqref="AL180">
    <cfRule type="expression" dxfId="245" priority="5148" stopIfTrue="1">
      <formula>AND(AL180&lt;&gt;"",AL180=$H180)</formula>
    </cfRule>
  </conditionalFormatting>
  <conditionalFormatting sqref="AN182">
    <cfRule type="cellIs" dxfId="244" priority="5146" stopIfTrue="1" operator="between">
      <formula>1</formula>
      <formula>4</formula>
    </cfRule>
    <cfRule type="cellIs" dxfId="243" priority="5147" stopIfTrue="1" operator="between">
      <formula>5</formula>
      <formula>20</formula>
    </cfRule>
  </conditionalFormatting>
  <conditionalFormatting sqref="AN179 AN181">
    <cfRule type="cellIs" dxfId="242" priority="5144" stopIfTrue="1" operator="between">
      <formula>1</formula>
      <formula>2</formula>
    </cfRule>
    <cfRule type="cellIs" dxfId="241" priority="5145" stopIfTrue="1" operator="between">
      <formula>3</formula>
      <formula>20</formula>
    </cfRule>
  </conditionalFormatting>
  <conditionalFormatting sqref="AL182">
    <cfRule type="expression" dxfId="240" priority="5140" stopIfTrue="1">
      <formula>AND(AL182&lt;&gt;"",AL182=$H182)</formula>
    </cfRule>
  </conditionalFormatting>
  <conditionalFormatting sqref="AM182">
    <cfRule type="expression" dxfId="239" priority="5141" stopIfTrue="1">
      <formula>AND(AM182&lt;&gt;"",AM182=$J182)</formula>
    </cfRule>
  </conditionalFormatting>
  <conditionalFormatting sqref="AN180">
    <cfRule type="cellIs" dxfId="238" priority="5138" stopIfTrue="1" operator="between">
      <formula>1</formula>
      <formula>4</formula>
    </cfRule>
    <cfRule type="cellIs" dxfId="237" priority="5139" stopIfTrue="1" operator="between">
      <formula>5</formula>
      <formula>20</formula>
    </cfRule>
  </conditionalFormatting>
  <conditionalFormatting sqref="AM178">
    <cfRule type="expression" dxfId="236" priority="5135" stopIfTrue="1">
      <formula>AND(AM178&lt;&gt;"",AM178=$J178)</formula>
    </cfRule>
  </conditionalFormatting>
  <conditionalFormatting sqref="AM180">
    <cfRule type="expression" dxfId="235" priority="5134" stopIfTrue="1">
      <formula>AND(AM180&lt;&gt;"",AM180=$J180)</formula>
    </cfRule>
  </conditionalFormatting>
  <conditionalFormatting sqref="AN155">
    <cfRule type="cellIs" dxfId="234" priority="5132" stopIfTrue="1" operator="between">
      <formula>1</formula>
      <formula>3</formula>
    </cfRule>
    <cfRule type="cellIs" dxfId="233" priority="5133" stopIfTrue="1" operator="greaterThan">
      <formula>3</formula>
    </cfRule>
  </conditionalFormatting>
  <conditionalFormatting sqref="AN155">
    <cfRule type="cellIs" dxfId="232" priority="5130" stopIfTrue="1" operator="between">
      <formula>1</formula>
      <formula>3</formula>
    </cfRule>
    <cfRule type="cellIs" dxfId="231" priority="5131" stopIfTrue="1" operator="between">
      <formula>4</formula>
      <formula>20</formula>
    </cfRule>
  </conditionalFormatting>
  <conditionalFormatting sqref="AN155">
    <cfRule type="cellIs" dxfId="230" priority="5128" stopIfTrue="1" operator="between">
      <formula>1</formula>
      <formula>3</formula>
    </cfRule>
    <cfRule type="cellIs" dxfId="229" priority="5129" stopIfTrue="1" operator="between">
      <formula>4</formula>
      <formula>20</formula>
    </cfRule>
  </conditionalFormatting>
  <conditionalFormatting sqref="AN121:AN122">
    <cfRule type="cellIs" dxfId="228" priority="5126" stopIfTrue="1" operator="between">
      <formula>1</formula>
      <formula>3</formula>
    </cfRule>
    <cfRule type="cellIs" dxfId="227" priority="5127" stopIfTrue="1" operator="greaterThan">
      <formula>3</formula>
    </cfRule>
  </conditionalFormatting>
  <conditionalFormatting sqref="AN121:AN122">
    <cfRule type="cellIs" dxfId="226" priority="5124" stopIfTrue="1" operator="between">
      <formula>1</formula>
      <formula>3</formula>
    </cfRule>
    <cfRule type="cellIs" dxfId="225" priority="5125" stopIfTrue="1" operator="between">
      <formula>4</formula>
      <formula>20</formula>
    </cfRule>
  </conditionalFormatting>
  <conditionalFormatting sqref="AN121:AN122">
    <cfRule type="cellIs" dxfId="224" priority="5122" stopIfTrue="1" operator="between">
      <formula>1</formula>
      <formula>3</formula>
    </cfRule>
    <cfRule type="cellIs" dxfId="223" priority="5123" stopIfTrue="1" operator="between">
      <formula>4</formula>
      <formula>20</formula>
    </cfRule>
  </conditionalFormatting>
  <conditionalFormatting sqref="AL188">
    <cfRule type="expression" dxfId="222" priority="5116" stopIfTrue="1">
      <formula>AND(AL188&lt;&gt;"",AL188=$H188)</formula>
    </cfRule>
  </conditionalFormatting>
  <conditionalFormatting sqref="AM188">
    <cfRule type="expression" dxfId="221" priority="5117" stopIfTrue="1">
      <formula>AND(AM188&lt;&gt;"",AM188=$J188)</formula>
    </cfRule>
  </conditionalFormatting>
  <conditionalFormatting sqref="AN193">
    <cfRule type="cellIs" dxfId="220" priority="5104" stopIfTrue="1" operator="between">
      <formula>1</formula>
      <formula>6</formula>
    </cfRule>
    <cfRule type="cellIs" dxfId="219" priority="5105" stopIfTrue="1" operator="between">
      <formula>7</formula>
      <formula>20</formula>
    </cfRule>
  </conditionalFormatting>
  <conditionalFormatting sqref="AN187">
    <cfRule type="cellIs" dxfId="218" priority="5114" stopIfTrue="1" operator="between">
      <formula>1</formula>
      <formula>2</formula>
    </cfRule>
    <cfRule type="cellIs" dxfId="217" priority="5115" stopIfTrue="1" operator="between">
      <formula>3</formula>
      <formula>20</formula>
    </cfRule>
  </conditionalFormatting>
  <conditionalFormatting sqref="AN188">
    <cfRule type="cellIs" dxfId="216" priority="5112" stopIfTrue="1" operator="between">
      <formula>1</formula>
      <formula>6</formula>
    </cfRule>
    <cfRule type="cellIs" dxfId="215" priority="5113" stopIfTrue="1" operator="between">
      <formula>7</formula>
      <formula>20</formula>
    </cfRule>
  </conditionalFormatting>
  <conditionalFormatting sqref="AL193">
    <cfRule type="expression" dxfId="214" priority="5106" stopIfTrue="1">
      <formula>AND(AL193&lt;&gt;"",AL193=$H193)</formula>
    </cfRule>
  </conditionalFormatting>
  <conditionalFormatting sqref="AM193">
    <cfRule type="expression" dxfId="213" priority="5107" stopIfTrue="1">
      <formula>AND(AM193&lt;&gt;"",AM193=$J193)</formula>
    </cfRule>
  </conditionalFormatting>
  <conditionalFormatting sqref="AN192">
    <cfRule type="cellIs" dxfId="212" priority="5102" stopIfTrue="1" operator="between">
      <formula>1</formula>
      <formula>2</formula>
    </cfRule>
    <cfRule type="cellIs" dxfId="211" priority="5103" stopIfTrue="1" operator="between">
      <formula>3</formula>
      <formula>20</formula>
    </cfRule>
  </conditionalFormatting>
  <conditionalFormatting sqref="AL158">
    <cfRule type="expression" dxfId="210" priority="5215" stopIfTrue="1">
      <formula>AND(AL158&lt;&gt;"",AL158=$H158)</formula>
    </cfRule>
  </conditionalFormatting>
  <conditionalFormatting sqref="AM158">
    <cfRule type="expression" dxfId="209" priority="5216" stopIfTrue="1">
      <formula>AND(AM158&lt;&gt;"",AM158=$J158)</formula>
    </cfRule>
  </conditionalFormatting>
  <conditionalFormatting sqref="AN160">
    <cfRule type="cellIs" dxfId="208" priority="5100" stopIfTrue="1" operator="between">
      <formula>1</formula>
      <formula>3</formula>
    </cfRule>
    <cfRule type="cellIs" dxfId="207" priority="5101" stopIfTrue="1" operator="between">
      <formula>4</formula>
      <formula>20</formula>
    </cfRule>
  </conditionalFormatting>
  <conditionalFormatting sqref="AN159">
    <cfRule type="cellIs" dxfId="206" priority="5098" stopIfTrue="1" operator="between">
      <formula>1</formula>
      <formula>1</formula>
    </cfRule>
    <cfRule type="cellIs" dxfId="205" priority="5099" stopIfTrue="1" operator="between">
      <formula>2</formula>
      <formula>20</formula>
    </cfRule>
  </conditionalFormatting>
  <conditionalFormatting sqref="AN162 AN164 AN166 AN168 AN170 AN172">
    <cfRule type="cellIs" dxfId="204" priority="5096" stopIfTrue="1" operator="between">
      <formula>1</formula>
      <formula>3</formula>
    </cfRule>
    <cfRule type="cellIs" dxfId="203" priority="5097" stopIfTrue="1" operator="between">
      <formula>4</formula>
      <formula>20</formula>
    </cfRule>
  </conditionalFormatting>
  <conditionalFormatting sqref="AN161 AN163 AN165 AN167 AN169 AN171">
    <cfRule type="cellIs" dxfId="202" priority="5094" stopIfTrue="1" operator="between">
      <formula>1</formula>
      <formula>1</formula>
    </cfRule>
    <cfRule type="cellIs" dxfId="201" priority="5095" stopIfTrue="1" operator="between">
      <formula>2</formula>
      <formula>20</formula>
    </cfRule>
  </conditionalFormatting>
  <conditionalFormatting sqref="AL160 AL162 AL164 AL166 AL168 AL170 AL172">
    <cfRule type="expression" dxfId="200" priority="5092" stopIfTrue="1">
      <formula>AND(AL160&lt;&gt;"",AL160=$H160)</formula>
    </cfRule>
  </conditionalFormatting>
  <conditionalFormatting sqref="AM160 AM162 AM164 AM166 AM168 AM170 AM172">
    <cfRule type="expression" dxfId="199" priority="5093" stopIfTrue="1">
      <formula>AND(AM160&lt;&gt;"",AM160=$J160)</formula>
    </cfRule>
  </conditionalFormatting>
  <conditionalFormatting sqref="AL124">
    <cfRule type="expression" dxfId="198" priority="5088" stopIfTrue="1">
      <formula>AND(AL124&lt;&gt;"",AL124=$H124)</formula>
    </cfRule>
  </conditionalFormatting>
  <conditionalFormatting sqref="AM124">
    <cfRule type="expression" dxfId="197" priority="5089" stopIfTrue="1">
      <formula>AND(AM124&lt;&gt;"",AM124=$J124)</formula>
    </cfRule>
  </conditionalFormatting>
  <conditionalFormatting sqref="AN125 AN127 AN129 AN131 AN133 AN135 AN137 AN139 AN141 AN143 AN145 AN147 AN149 AN151 AN153">
    <cfRule type="cellIs" dxfId="196" priority="5086" stopIfTrue="1" operator="between">
      <formula>1</formula>
      <formula>1</formula>
    </cfRule>
    <cfRule type="cellIs" dxfId="195" priority="5087" stopIfTrue="1" operator="between">
      <formula>2</formula>
      <formula>20</formula>
    </cfRule>
  </conditionalFormatting>
  <conditionalFormatting sqref="AN136">
    <cfRule type="cellIs" dxfId="194" priority="5072" stopIfTrue="1" operator="between">
      <formula>1</formula>
      <formula>3</formula>
    </cfRule>
    <cfRule type="cellIs" dxfId="193" priority="5073" stopIfTrue="1" operator="between">
      <formula>4</formula>
      <formula>20</formula>
    </cfRule>
  </conditionalFormatting>
  <conditionalFormatting sqref="AL126 AL128 AL130 AL132 AL134 AL136 AL138 AL140 AL142 AL144 AL146 AL148 AL150 AL152 AL154">
    <cfRule type="expression" dxfId="192" priority="5084" stopIfTrue="1">
      <formula>AND(AL126&lt;&gt;"",AL126=$H126)</formula>
    </cfRule>
  </conditionalFormatting>
  <conditionalFormatting sqref="AM126 AM128 AM130 AM132 AM134 AM136 AM138 AM140 AM142 AM144 AM146 AM148 AM150 AM152 AM154">
    <cfRule type="expression" dxfId="191" priority="5085" stopIfTrue="1">
      <formula>AND(AM126&lt;&gt;"",AM126=$J126)</formula>
    </cfRule>
  </conditionalFormatting>
  <conditionalFormatting sqref="AN126">
    <cfRule type="cellIs" dxfId="190" priority="5082" stopIfTrue="1" operator="between">
      <formula>1</formula>
      <formula>3</formula>
    </cfRule>
    <cfRule type="cellIs" dxfId="189" priority="5083" stopIfTrue="1" operator="between">
      <formula>4</formula>
      <formula>20</formula>
    </cfRule>
  </conditionalFormatting>
  <conditionalFormatting sqref="AN128">
    <cfRule type="cellIs" dxfId="188" priority="5080" stopIfTrue="1" operator="between">
      <formula>1</formula>
      <formula>3</formula>
    </cfRule>
    <cfRule type="cellIs" dxfId="187" priority="5081" stopIfTrue="1" operator="between">
      <formula>4</formula>
      <formula>20</formula>
    </cfRule>
  </conditionalFormatting>
  <conditionalFormatting sqref="AN130">
    <cfRule type="cellIs" dxfId="186" priority="5078" stopIfTrue="1" operator="between">
      <formula>1</formula>
      <formula>3</formula>
    </cfRule>
    <cfRule type="cellIs" dxfId="185" priority="5079" stopIfTrue="1" operator="between">
      <formula>4</formula>
      <formula>20</formula>
    </cfRule>
  </conditionalFormatting>
  <conditionalFormatting sqref="AN132">
    <cfRule type="cellIs" dxfId="184" priority="5076" stopIfTrue="1" operator="between">
      <formula>1</formula>
      <formula>3</formula>
    </cfRule>
    <cfRule type="cellIs" dxfId="183" priority="5077" stopIfTrue="1" operator="between">
      <formula>4</formula>
      <formula>20</formula>
    </cfRule>
  </conditionalFormatting>
  <conditionalFormatting sqref="AN134">
    <cfRule type="cellIs" dxfId="182" priority="5074" stopIfTrue="1" operator="between">
      <formula>1</formula>
      <formula>3</formula>
    </cfRule>
    <cfRule type="cellIs" dxfId="181" priority="5075" stopIfTrue="1" operator="between">
      <formula>4</formula>
      <formula>20</formula>
    </cfRule>
  </conditionalFormatting>
  <conditionalFormatting sqref="AN138">
    <cfRule type="cellIs" dxfId="180" priority="5070" stopIfTrue="1" operator="between">
      <formula>1</formula>
      <formula>3</formula>
    </cfRule>
    <cfRule type="cellIs" dxfId="179" priority="5071" stopIfTrue="1" operator="between">
      <formula>4</formula>
      <formula>20</formula>
    </cfRule>
  </conditionalFormatting>
  <conditionalFormatting sqref="AN140">
    <cfRule type="cellIs" dxfId="178" priority="5068" stopIfTrue="1" operator="between">
      <formula>1</formula>
      <formula>3</formula>
    </cfRule>
    <cfRule type="cellIs" dxfId="177" priority="5069" stopIfTrue="1" operator="between">
      <formula>4</formula>
      <formula>20</formula>
    </cfRule>
  </conditionalFormatting>
  <conditionalFormatting sqref="AN142">
    <cfRule type="cellIs" dxfId="176" priority="5066" stopIfTrue="1" operator="between">
      <formula>1</formula>
      <formula>3</formula>
    </cfRule>
    <cfRule type="cellIs" dxfId="175" priority="5067" stopIfTrue="1" operator="between">
      <formula>4</formula>
      <formula>20</formula>
    </cfRule>
  </conditionalFormatting>
  <conditionalFormatting sqref="AN144">
    <cfRule type="cellIs" dxfId="174" priority="5064" stopIfTrue="1" operator="between">
      <formula>1</formula>
      <formula>3</formula>
    </cfRule>
    <cfRule type="cellIs" dxfId="173" priority="5065" stopIfTrue="1" operator="between">
      <formula>4</formula>
      <formula>20</formula>
    </cfRule>
  </conditionalFormatting>
  <conditionalFormatting sqref="AN146">
    <cfRule type="cellIs" dxfId="172" priority="5062" stopIfTrue="1" operator="between">
      <formula>1</formula>
      <formula>3</formula>
    </cfRule>
    <cfRule type="cellIs" dxfId="171" priority="5063" stopIfTrue="1" operator="between">
      <formula>4</formula>
      <formula>20</formula>
    </cfRule>
  </conditionalFormatting>
  <conditionalFormatting sqref="AN148">
    <cfRule type="cellIs" dxfId="170" priority="5060" stopIfTrue="1" operator="between">
      <formula>1</formula>
      <formula>3</formula>
    </cfRule>
    <cfRule type="cellIs" dxfId="169" priority="5061" stopIfTrue="1" operator="between">
      <formula>4</formula>
      <formula>20</formula>
    </cfRule>
  </conditionalFormatting>
  <conditionalFormatting sqref="AN150">
    <cfRule type="cellIs" dxfId="168" priority="5058" stopIfTrue="1" operator="between">
      <formula>1</formula>
      <formula>3</formula>
    </cfRule>
    <cfRule type="cellIs" dxfId="167" priority="5059" stopIfTrue="1" operator="between">
      <formula>4</formula>
      <formula>20</formula>
    </cfRule>
  </conditionalFormatting>
  <conditionalFormatting sqref="AN152">
    <cfRule type="cellIs" dxfId="166" priority="5056" stopIfTrue="1" operator="between">
      <formula>1</formula>
      <formula>3</formula>
    </cfRule>
    <cfRule type="cellIs" dxfId="165" priority="5057" stopIfTrue="1" operator="between">
      <formula>4</formula>
      <formula>20</formula>
    </cfRule>
  </conditionalFormatting>
  <conditionalFormatting sqref="AN154">
    <cfRule type="cellIs" dxfId="164" priority="5054" stopIfTrue="1" operator="between">
      <formula>1</formula>
      <formula>3</formula>
    </cfRule>
    <cfRule type="cellIs" dxfId="163" priority="5055" stopIfTrue="1" operator="between">
      <formula>4</formula>
      <formula>20</formula>
    </cfRule>
  </conditionalFormatting>
  <conditionalFormatting sqref="R4:R9 R14:R19 R24:R29 R198 R34:R39 R54:R59 R44:R49 R176 R186 R189:R191 R178">
    <cfRule type="expression" dxfId="162" priority="4877" stopIfTrue="1">
      <formula>AND(R4&lt;&gt;"",R4=$H4)</formula>
    </cfRule>
  </conditionalFormatting>
  <conditionalFormatting sqref="S4:S9 S14:S19 S24:S29 S198 S34:S39 S54:S59 S44:S49 S176 S186 S189:S191">
    <cfRule type="expression" dxfId="161" priority="4878" stopIfTrue="1">
      <formula>AND(S4&lt;&gt;"",S4=$J4)</formula>
    </cfRule>
  </conditionalFormatting>
  <conditionalFormatting sqref="S175 S179 S181">
    <cfRule type="expression" dxfId="160" priority="4857" stopIfTrue="1">
      <formula>AND(S176&lt;&gt;"",$F176=S175)</formula>
    </cfRule>
    <cfRule type="expression" dxfId="159" priority="4876" stopIfTrue="1">
      <formula>AND(S176&lt;&gt;"",COUNTIF($D$176:$F$182,S175)&gt;0)</formula>
    </cfRule>
  </conditionalFormatting>
  <conditionalFormatting sqref="R157 R123 R125 R127 R129 R131 R133 R135 R137 R139 R141 R143 R145 R147 R149 R151 R153">
    <cfRule type="expression" dxfId="158" priority="4879" stopIfTrue="1">
      <formula>AND(R124&lt;&gt;"",$D124=R123)</formula>
    </cfRule>
  </conditionalFormatting>
  <conditionalFormatting sqref="S157 S123 S125 S127 S129 S131 S133 S135 S137 S139 S141 S143 S145 S147 S149 S151 S153">
    <cfRule type="expression" dxfId="157" priority="4880" stopIfTrue="1">
      <formula>AND(S124&lt;&gt;"",$F124=S123)</formula>
    </cfRule>
  </conditionalFormatting>
  <conditionalFormatting sqref="R175 R177">
    <cfRule type="expression" dxfId="156" priority="4881" stopIfTrue="1">
      <formula>AND(R176&lt;&gt;"",$D176=R175)</formula>
    </cfRule>
    <cfRule type="expression" dxfId="155" priority="4882" stopIfTrue="1">
      <formula>AND(R176&lt;&gt;"",COUNTIF($D$176:$F$182,R175)&gt;0)</formula>
    </cfRule>
  </conditionalFormatting>
  <conditionalFormatting sqref="R185">
    <cfRule type="expression" dxfId="154" priority="4883" stopIfTrue="1">
      <formula>AND(R186&lt;&gt;"",$D186=R185)</formula>
    </cfRule>
    <cfRule type="expression" dxfId="153" priority="4884" stopIfTrue="1">
      <formula>AND(R186&lt;&gt;"",COUNTIF($D$186:$F$188,R185)&gt;0)</formula>
    </cfRule>
  </conditionalFormatting>
  <conditionalFormatting sqref="S185">
    <cfRule type="expression" dxfId="152" priority="4885" stopIfTrue="1">
      <formula>AND(S186&lt;&gt;"",$F186=S185)</formula>
    </cfRule>
    <cfRule type="expression" dxfId="151" priority="4886" stopIfTrue="1">
      <formula>AND(S186&lt;&gt;"",COUNTIF($D$186:$F$188,S185)&gt;0)</formula>
    </cfRule>
  </conditionalFormatting>
  <conditionalFormatting sqref="R197">
    <cfRule type="expression" dxfId="150" priority="4887" stopIfTrue="1">
      <formula>AND(R198&lt;&gt;"",OR($D198=R197,$F198=R197))</formula>
    </cfRule>
  </conditionalFormatting>
  <conditionalFormatting sqref="S197">
    <cfRule type="expression" dxfId="149" priority="4888" stopIfTrue="1">
      <formula>AND(S198&lt;&gt;"",OR($F198=S197,$D198=S197))</formula>
    </cfRule>
  </conditionalFormatting>
  <conditionalFormatting sqref="T156">
    <cfRule type="cellIs" dxfId="148" priority="4874" stopIfTrue="1" operator="between">
      <formula>1</formula>
      <formula>3</formula>
    </cfRule>
    <cfRule type="cellIs" dxfId="147" priority="4875" stopIfTrue="1" operator="greaterThan">
      <formula>3</formula>
    </cfRule>
  </conditionalFormatting>
  <conditionalFormatting sqref="T4:T9 T54:T59 T44:T49 T34:T39 T14:T19 T24:T29 T189:T191 T194:T195 T158 T124">
    <cfRule type="cellIs" dxfId="146" priority="4872" stopIfTrue="1" operator="between">
      <formula>1</formula>
      <formula>3</formula>
    </cfRule>
    <cfRule type="cellIs" dxfId="145" priority="4873" stopIfTrue="1" operator="between">
      <formula>4</formula>
      <formula>20</formula>
    </cfRule>
  </conditionalFormatting>
  <conditionalFormatting sqref="T173:T174 T183:T184">
    <cfRule type="cellIs" dxfId="144" priority="4870" stopIfTrue="1" operator="between">
      <formula>1</formula>
      <formula>3</formula>
    </cfRule>
    <cfRule type="cellIs" dxfId="143" priority="4871" stopIfTrue="1" operator="greaterThan">
      <formula>3</formula>
    </cfRule>
  </conditionalFormatting>
  <conditionalFormatting sqref="T176 T178">
    <cfRule type="cellIs" dxfId="142" priority="4868" stopIfTrue="1" operator="between">
      <formula>1</formula>
      <formula>4</formula>
    </cfRule>
    <cfRule type="cellIs" dxfId="141" priority="4869" stopIfTrue="1" operator="between">
      <formula>5</formula>
      <formula>20</formula>
    </cfRule>
  </conditionalFormatting>
  <conditionalFormatting sqref="T186">
    <cfRule type="cellIs" dxfId="140" priority="4866" stopIfTrue="1" operator="between">
      <formula>1</formula>
      <formula>6</formula>
    </cfRule>
    <cfRule type="cellIs" dxfId="139" priority="4867" stopIfTrue="1" operator="between">
      <formula>7</formula>
      <formula>20</formula>
    </cfRule>
  </conditionalFormatting>
  <conditionalFormatting sqref="T198">
    <cfRule type="cellIs" dxfId="138" priority="4864" stopIfTrue="1" operator="between">
      <formula>1</formula>
      <formula>7</formula>
    </cfRule>
    <cfRule type="cellIs" dxfId="137" priority="4865" stopIfTrue="1" operator="between">
      <formula>8</formula>
      <formula>20</formula>
    </cfRule>
  </conditionalFormatting>
  <conditionalFormatting sqref="T157 T123">
    <cfRule type="cellIs" dxfId="136" priority="4862" stopIfTrue="1" operator="between">
      <formula>1</formula>
      <formula>1</formula>
    </cfRule>
    <cfRule type="cellIs" dxfId="135" priority="4863" stopIfTrue="1" operator="between">
      <formula>2</formula>
      <formula>20</formula>
    </cfRule>
  </conditionalFormatting>
  <conditionalFormatting sqref="T175 T185 T197 T177">
    <cfRule type="cellIs" dxfId="134" priority="4860" stopIfTrue="1" operator="between">
      <formula>1</formula>
      <formula>2</formula>
    </cfRule>
    <cfRule type="cellIs" dxfId="133" priority="4861" stopIfTrue="1" operator="between">
      <formula>3</formula>
      <formula>20</formula>
    </cfRule>
  </conditionalFormatting>
  <conditionalFormatting sqref="T196">
    <cfRule type="cellIs" dxfId="132" priority="4858" stopIfTrue="1" operator="between">
      <formula>1</formula>
      <formula>2</formula>
    </cfRule>
    <cfRule type="cellIs" dxfId="131" priority="4859" stopIfTrue="1" operator="between">
      <formula>3</formula>
      <formula>30</formula>
    </cfRule>
  </conditionalFormatting>
  <conditionalFormatting sqref="T2:T3">
    <cfRule type="cellIs" dxfId="130" priority="4855" stopIfTrue="1" operator="between">
      <formula>1</formula>
      <formula>3</formula>
    </cfRule>
    <cfRule type="cellIs" dxfId="129" priority="4856" stopIfTrue="1" operator="between">
      <formula>4</formula>
      <formula>20</formula>
    </cfRule>
  </conditionalFormatting>
  <conditionalFormatting sqref="T10:T13">
    <cfRule type="cellIs" dxfId="128" priority="4853" stopIfTrue="1" operator="between">
      <formula>1</formula>
      <formula>3</formula>
    </cfRule>
    <cfRule type="cellIs" dxfId="127" priority="4854" stopIfTrue="1" operator="between">
      <formula>4</formula>
      <formula>20</formula>
    </cfRule>
  </conditionalFormatting>
  <conditionalFormatting sqref="T20:T23">
    <cfRule type="cellIs" dxfId="126" priority="4851" stopIfTrue="1" operator="between">
      <formula>1</formula>
      <formula>3</formula>
    </cfRule>
    <cfRule type="cellIs" dxfId="125" priority="4852" stopIfTrue="1" operator="between">
      <formula>4</formula>
      <formula>20</formula>
    </cfRule>
  </conditionalFormatting>
  <conditionalFormatting sqref="T30:T33">
    <cfRule type="cellIs" dxfId="124" priority="4849" stopIfTrue="1" operator="between">
      <formula>1</formula>
      <formula>3</formula>
    </cfRule>
    <cfRule type="cellIs" dxfId="123" priority="4850" stopIfTrue="1" operator="between">
      <formula>4</formula>
      <formula>20</formula>
    </cfRule>
  </conditionalFormatting>
  <conditionalFormatting sqref="T40:T43">
    <cfRule type="cellIs" dxfId="122" priority="4847" stopIfTrue="1" operator="between">
      <formula>1</formula>
      <formula>3</formula>
    </cfRule>
    <cfRule type="cellIs" dxfId="121" priority="4848" stopIfTrue="1" operator="between">
      <formula>4</formula>
      <formula>20</formula>
    </cfRule>
  </conditionalFormatting>
  <conditionalFormatting sqref="T50:T53">
    <cfRule type="cellIs" dxfId="120" priority="4845" stopIfTrue="1" operator="between">
      <formula>1</formula>
      <formula>3</formula>
    </cfRule>
    <cfRule type="cellIs" dxfId="119" priority="4846" stopIfTrue="1" operator="between">
      <formula>4</formula>
      <formula>20</formula>
    </cfRule>
  </conditionalFormatting>
  <conditionalFormatting sqref="T60">
    <cfRule type="cellIs" dxfId="118" priority="4843" stopIfTrue="1" operator="between">
      <formula>1</formula>
      <formula>3</formula>
    </cfRule>
    <cfRule type="cellIs" dxfId="117" priority="4844" stopIfTrue="1" operator="between">
      <formula>4</formula>
      <formula>20</formula>
    </cfRule>
  </conditionalFormatting>
  <conditionalFormatting sqref="R64:R69 R74:R79 R84:R89 R94:R99 R104:R109 R114:R119">
    <cfRule type="expression" dxfId="116" priority="4841" stopIfTrue="1">
      <formula>AND(R64&lt;&gt;"",R64=$H64)</formula>
    </cfRule>
  </conditionalFormatting>
  <conditionalFormatting sqref="S64:S69 S74:S79 S84:S89 S94:S99 S104:S109 S114:S119">
    <cfRule type="expression" dxfId="115" priority="4842" stopIfTrue="1">
      <formula>AND(S64&lt;&gt;"",S64=$J64)</formula>
    </cfRule>
  </conditionalFormatting>
  <conditionalFormatting sqref="T64:T69 T114:T119 T104:T109 T94:T99 T74:T79 T82:T90">
    <cfRule type="cellIs" dxfId="114" priority="4839" stopIfTrue="1" operator="between">
      <formula>1</formula>
      <formula>3</formula>
    </cfRule>
    <cfRule type="cellIs" dxfId="113" priority="4840" stopIfTrue="1" operator="between">
      <formula>4</formula>
      <formula>20</formula>
    </cfRule>
  </conditionalFormatting>
  <conditionalFormatting sqref="T62:T70">
    <cfRule type="cellIs" dxfId="112" priority="4837" stopIfTrue="1" operator="between">
      <formula>1</formula>
      <formula>3</formula>
    </cfRule>
    <cfRule type="cellIs" dxfId="111" priority="4838" stopIfTrue="1" operator="between">
      <formula>4</formula>
      <formula>20</formula>
    </cfRule>
  </conditionalFormatting>
  <conditionalFormatting sqref="T70:T80">
    <cfRule type="cellIs" dxfId="110" priority="4835" stopIfTrue="1" operator="between">
      <formula>1</formula>
      <formula>3</formula>
    </cfRule>
    <cfRule type="cellIs" dxfId="109" priority="4836" stopIfTrue="1" operator="between">
      <formula>4</formula>
      <formula>20</formula>
    </cfRule>
  </conditionalFormatting>
  <conditionalFormatting sqref="T80:T83">
    <cfRule type="cellIs" dxfId="108" priority="4833" stopIfTrue="1" operator="between">
      <formula>1</formula>
      <formula>3</formula>
    </cfRule>
    <cfRule type="cellIs" dxfId="107" priority="4834" stopIfTrue="1" operator="between">
      <formula>4</formula>
      <formula>20</formula>
    </cfRule>
  </conditionalFormatting>
  <conditionalFormatting sqref="T90:T100">
    <cfRule type="cellIs" dxfId="106" priority="4831" stopIfTrue="1" operator="between">
      <formula>1</formula>
      <formula>3</formula>
    </cfRule>
    <cfRule type="cellIs" dxfId="105" priority="4832" stopIfTrue="1" operator="between">
      <formula>4</formula>
      <formula>20</formula>
    </cfRule>
  </conditionalFormatting>
  <conditionalFormatting sqref="T100:T110">
    <cfRule type="cellIs" dxfId="104" priority="4829" stopIfTrue="1" operator="between">
      <formula>1</formula>
      <formula>3</formula>
    </cfRule>
    <cfRule type="cellIs" dxfId="103" priority="4830" stopIfTrue="1" operator="between">
      <formula>4</formula>
      <formula>20</formula>
    </cfRule>
  </conditionalFormatting>
  <conditionalFormatting sqref="T110:T120">
    <cfRule type="cellIs" dxfId="102" priority="4827" stopIfTrue="1" operator="between">
      <formula>1</formula>
      <formula>3</formula>
    </cfRule>
    <cfRule type="cellIs" dxfId="101" priority="4828" stopIfTrue="1" operator="between">
      <formula>4</formula>
      <formula>20</formula>
    </cfRule>
  </conditionalFormatting>
  <conditionalFormatting sqref="T120">
    <cfRule type="cellIs" dxfId="100" priority="4825" stopIfTrue="1" operator="between">
      <formula>1</formula>
      <formula>3</formula>
    </cfRule>
    <cfRule type="cellIs" dxfId="99" priority="4826" stopIfTrue="1" operator="between">
      <formula>4</formula>
      <formula>20</formula>
    </cfRule>
  </conditionalFormatting>
  <conditionalFormatting sqref="R180">
    <cfRule type="expression" dxfId="98" priority="4822" stopIfTrue="1">
      <formula>AND(R180&lt;&gt;"",R180=$H180)</formula>
    </cfRule>
  </conditionalFormatting>
  <conditionalFormatting sqref="R179">
    <cfRule type="expression" dxfId="97" priority="4823" stopIfTrue="1">
      <formula>AND(R180&lt;&gt;"",$D180=R179)</formula>
    </cfRule>
    <cfRule type="expression" dxfId="96" priority="4824" stopIfTrue="1">
      <formula>AND(R180&lt;&gt;"",COUNTIF($D$176:$F$182,R179)&gt;0)</formula>
    </cfRule>
  </conditionalFormatting>
  <conditionalFormatting sqref="T182">
    <cfRule type="cellIs" dxfId="95" priority="4820" stopIfTrue="1" operator="between">
      <formula>1</formula>
      <formula>4</formula>
    </cfRule>
    <cfRule type="cellIs" dxfId="94" priority="4821" stopIfTrue="1" operator="between">
      <formula>5</formula>
      <formula>20</formula>
    </cfRule>
  </conditionalFormatting>
  <conditionalFormatting sqref="T179 T181">
    <cfRule type="cellIs" dxfId="93" priority="4818" stopIfTrue="1" operator="between">
      <formula>1</formula>
      <formula>2</formula>
    </cfRule>
    <cfRule type="cellIs" dxfId="92" priority="4819" stopIfTrue="1" operator="between">
      <formula>3</formula>
      <formula>20</formula>
    </cfRule>
  </conditionalFormatting>
  <conditionalFormatting sqref="R182">
    <cfRule type="expression" dxfId="91" priority="4814" stopIfTrue="1">
      <formula>AND(R182&lt;&gt;"",R182=$H182)</formula>
    </cfRule>
  </conditionalFormatting>
  <conditionalFormatting sqref="S182">
    <cfRule type="expression" dxfId="90" priority="4815" stopIfTrue="1">
      <formula>AND(S182&lt;&gt;"",S182=$J182)</formula>
    </cfRule>
  </conditionalFormatting>
  <conditionalFormatting sqref="R181">
    <cfRule type="expression" dxfId="89" priority="4816" stopIfTrue="1">
      <formula>AND(R182&lt;&gt;"",$D182=R181)</formula>
    </cfRule>
    <cfRule type="expression" dxfId="88" priority="4817" stopIfTrue="1">
      <formula>AND(R182&lt;&gt;"",COUNTIF($D$176:$F$182,R181)&gt;0)</formula>
    </cfRule>
  </conditionalFormatting>
  <conditionalFormatting sqref="T180">
    <cfRule type="cellIs" dxfId="87" priority="4812" stopIfTrue="1" operator="between">
      <formula>1</formula>
      <formula>4</formula>
    </cfRule>
    <cfRule type="cellIs" dxfId="86" priority="4813" stopIfTrue="1" operator="between">
      <formula>5</formula>
      <formula>20</formula>
    </cfRule>
  </conditionalFormatting>
  <conditionalFormatting sqref="S177">
    <cfRule type="expression" dxfId="85" priority="4810" stopIfTrue="1">
      <formula>AND(S178&lt;&gt;"",$F178=S177)</formula>
    </cfRule>
    <cfRule type="expression" dxfId="84" priority="4811" stopIfTrue="1">
      <formula>AND(S178&lt;&gt;"",COUNTIF($D$176:$F$182,S177)&gt;0)</formula>
    </cfRule>
  </conditionalFormatting>
  <conditionalFormatting sqref="S178">
    <cfRule type="expression" dxfId="83" priority="4809" stopIfTrue="1">
      <formula>AND(S178&lt;&gt;"",S178=$J178)</formula>
    </cfRule>
  </conditionalFormatting>
  <conditionalFormatting sqref="S180">
    <cfRule type="expression" dxfId="82" priority="4808" stopIfTrue="1">
      <formula>AND(S180&lt;&gt;"",S180=$J180)</formula>
    </cfRule>
  </conditionalFormatting>
  <conditionalFormatting sqref="T155">
    <cfRule type="cellIs" dxfId="81" priority="4806" stopIfTrue="1" operator="between">
      <formula>1</formula>
      <formula>3</formula>
    </cfRule>
    <cfRule type="cellIs" dxfId="80" priority="4807" stopIfTrue="1" operator="greaterThan">
      <formula>3</formula>
    </cfRule>
  </conditionalFormatting>
  <conditionalFormatting sqref="T155">
    <cfRule type="cellIs" dxfId="79" priority="4804" stopIfTrue="1" operator="between">
      <formula>1</formula>
      <formula>3</formula>
    </cfRule>
    <cfRule type="cellIs" dxfId="78" priority="4805" stopIfTrue="1" operator="between">
      <formula>4</formula>
      <formula>20</formula>
    </cfRule>
  </conditionalFormatting>
  <conditionalFormatting sqref="T155">
    <cfRule type="cellIs" dxfId="77" priority="4802" stopIfTrue="1" operator="between">
      <formula>1</formula>
      <formula>3</formula>
    </cfRule>
    <cfRule type="cellIs" dxfId="76" priority="4803" stopIfTrue="1" operator="between">
      <formula>4</formula>
      <formula>20</formula>
    </cfRule>
  </conditionalFormatting>
  <conditionalFormatting sqref="T121:T122">
    <cfRule type="cellIs" dxfId="75" priority="4800" stopIfTrue="1" operator="between">
      <formula>1</formula>
      <formula>3</formula>
    </cfRule>
    <cfRule type="cellIs" dxfId="74" priority="4801" stopIfTrue="1" operator="greaterThan">
      <formula>3</formula>
    </cfRule>
  </conditionalFormatting>
  <conditionalFormatting sqref="T121:T122">
    <cfRule type="cellIs" dxfId="73" priority="4798" stopIfTrue="1" operator="between">
      <formula>1</formula>
      <formula>3</formula>
    </cfRule>
    <cfRule type="cellIs" dxfId="72" priority="4799" stopIfTrue="1" operator="between">
      <formula>4</formula>
      <formula>20</formula>
    </cfRule>
  </conditionalFormatting>
  <conditionalFormatting sqref="T121:T122">
    <cfRule type="cellIs" dxfId="71" priority="4796" stopIfTrue="1" operator="between">
      <formula>1</formula>
      <formula>3</formula>
    </cfRule>
    <cfRule type="cellIs" dxfId="70" priority="4797" stopIfTrue="1" operator="between">
      <formula>4</formula>
      <formula>20</formula>
    </cfRule>
  </conditionalFormatting>
  <conditionalFormatting sqref="R188">
    <cfRule type="expression" dxfId="69" priority="4790" stopIfTrue="1">
      <formula>AND(R188&lt;&gt;"",R188=$H188)</formula>
    </cfRule>
  </conditionalFormatting>
  <conditionalFormatting sqref="S188">
    <cfRule type="expression" dxfId="68" priority="4791" stopIfTrue="1">
      <formula>AND(S188&lt;&gt;"",S188=$J188)</formula>
    </cfRule>
  </conditionalFormatting>
  <conditionalFormatting sqref="R187">
    <cfRule type="expression" dxfId="67" priority="4792" stopIfTrue="1">
      <formula>AND(R188&lt;&gt;"",$D188=R187)</formula>
    </cfRule>
    <cfRule type="expression" dxfId="66" priority="4793" stopIfTrue="1">
      <formula>AND(R188&lt;&gt;"",COUNTIF($D$186:$F$188,R187)&gt;0)</formula>
    </cfRule>
  </conditionalFormatting>
  <conditionalFormatting sqref="S187">
    <cfRule type="expression" dxfId="65" priority="4794" stopIfTrue="1">
      <formula>AND(S188&lt;&gt;"",$F188=S187)</formula>
    </cfRule>
    <cfRule type="expression" dxfId="64" priority="4795" stopIfTrue="1">
      <formula>AND(S188&lt;&gt;"",COUNTIF($D$186:$F$188,S187)&gt;0)</formula>
    </cfRule>
  </conditionalFormatting>
  <conditionalFormatting sqref="T193">
    <cfRule type="cellIs" dxfId="63" priority="4778" stopIfTrue="1" operator="between">
      <formula>1</formula>
      <formula>6</formula>
    </cfRule>
    <cfRule type="cellIs" dxfId="62" priority="4779" stopIfTrue="1" operator="between">
      <formula>7</formula>
      <formula>20</formula>
    </cfRule>
  </conditionalFormatting>
  <conditionalFormatting sqref="T187">
    <cfRule type="cellIs" dxfId="61" priority="4788" stopIfTrue="1" operator="between">
      <formula>1</formula>
      <formula>2</formula>
    </cfRule>
    <cfRule type="cellIs" dxfId="60" priority="4789" stopIfTrue="1" operator="between">
      <formula>3</formula>
      <formula>20</formula>
    </cfRule>
  </conditionalFormatting>
  <conditionalFormatting sqref="T188">
    <cfRule type="cellIs" dxfId="59" priority="4786" stopIfTrue="1" operator="between">
      <formula>1</formula>
      <formula>6</formula>
    </cfRule>
    <cfRule type="cellIs" dxfId="58" priority="4787" stopIfTrue="1" operator="between">
      <formula>7</formula>
      <formula>20</formula>
    </cfRule>
  </conditionalFormatting>
  <conditionalFormatting sqref="R193">
    <cfRule type="expression" dxfId="57" priority="4780" stopIfTrue="1">
      <formula>AND(R193&lt;&gt;"",R193=$H193)</formula>
    </cfRule>
  </conditionalFormatting>
  <conditionalFormatting sqref="S193">
    <cfRule type="expression" dxfId="56" priority="4781" stopIfTrue="1">
      <formula>AND(S193&lt;&gt;"",S193=$J193)</formula>
    </cfRule>
  </conditionalFormatting>
  <conditionalFormatting sqref="R192">
    <cfRule type="expression" dxfId="55" priority="4782" stopIfTrue="1">
      <formula>AND(R193&lt;&gt;"",$D193=R192)</formula>
    </cfRule>
    <cfRule type="expression" dxfId="54" priority="4783" stopIfTrue="1">
      <formula>AND(R193&lt;&gt;"",COUNTIF($D$186:$F$188,R192)&gt;0)</formula>
    </cfRule>
  </conditionalFormatting>
  <conditionalFormatting sqref="S192">
    <cfRule type="expression" dxfId="53" priority="4784" stopIfTrue="1">
      <formula>AND(S193&lt;&gt;"",$F193=S192)</formula>
    </cfRule>
    <cfRule type="expression" dxfId="52" priority="4785" stopIfTrue="1">
      <formula>AND(S193&lt;&gt;"",COUNTIF($D$186:$F$188,S192)&gt;0)</formula>
    </cfRule>
  </conditionalFormatting>
  <conditionalFormatting sqref="T192">
    <cfRule type="cellIs" dxfId="51" priority="4776" stopIfTrue="1" operator="between">
      <formula>1</formula>
      <formula>2</formula>
    </cfRule>
    <cfRule type="cellIs" dxfId="50" priority="4777" stopIfTrue="1" operator="between">
      <formula>3</formula>
      <formula>20</formula>
    </cfRule>
  </conditionalFormatting>
  <conditionalFormatting sqref="R158">
    <cfRule type="expression" dxfId="49" priority="4889" stopIfTrue="1">
      <formula>AND(R158&lt;&gt;"",R158=$H158)</formula>
    </cfRule>
  </conditionalFormatting>
  <conditionalFormatting sqref="S158">
    <cfRule type="expression" dxfId="48" priority="4890" stopIfTrue="1">
      <formula>AND(S158&lt;&gt;"",S158=$J158)</formula>
    </cfRule>
  </conditionalFormatting>
  <conditionalFormatting sqref="T160">
    <cfRule type="cellIs" dxfId="47" priority="4774" stopIfTrue="1" operator="between">
      <formula>1</formula>
      <formula>3</formula>
    </cfRule>
    <cfRule type="cellIs" dxfId="46" priority="4775" stopIfTrue="1" operator="between">
      <formula>4</formula>
      <formula>20</formula>
    </cfRule>
  </conditionalFormatting>
  <conditionalFormatting sqref="T159">
    <cfRule type="cellIs" dxfId="45" priority="4772" stopIfTrue="1" operator="between">
      <formula>1</formula>
      <formula>1</formula>
    </cfRule>
    <cfRule type="cellIs" dxfId="44" priority="4773" stopIfTrue="1" operator="between">
      <formula>2</formula>
      <formula>20</formula>
    </cfRule>
  </conditionalFormatting>
  <conditionalFormatting sqref="T162 T164 T166 T168 T170 T172">
    <cfRule type="cellIs" dxfId="43" priority="4770" stopIfTrue="1" operator="between">
      <formula>1</formula>
      <formula>3</formula>
    </cfRule>
    <cfRule type="cellIs" dxfId="42" priority="4771" stopIfTrue="1" operator="between">
      <formula>4</formula>
      <formula>20</formula>
    </cfRule>
  </conditionalFormatting>
  <conditionalFormatting sqref="T161 T163 T165 T167 T169 T171">
    <cfRule type="cellIs" dxfId="41" priority="4768" stopIfTrue="1" operator="between">
      <formula>1</formula>
      <formula>1</formula>
    </cfRule>
    <cfRule type="cellIs" dxfId="40" priority="4769" stopIfTrue="1" operator="between">
      <formula>2</formula>
      <formula>20</formula>
    </cfRule>
  </conditionalFormatting>
  <conditionalFormatting sqref="R159 R161 R163 R165 R167 R169 R171">
    <cfRule type="expression" dxfId="39" priority="4764" stopIfTrue="1">
      <formula>AND(R160&lt;&gt;"",$D160=R159)</formula>
    </cfRule>
  </conditionalFormatting>
  <conditionalFormatting sqref="S159 S161 S163 S165 S167 S169 S171">
    <cfRule type="expression" dxfId="38" priority="4765" stopIfTrue="1">
      <formula>AND(S160&lt;&gt;"",$F160=S159)</formula>
    </cfRule>
  </conditionalFormatting>
  <conditionalFormatting sqref="R160 R162 R164 R166 R168 R170 R172">
    <cfRule type="expression" dxfId="37" priority="4766" stopIfTrue="1">
      <formula>AND(R160&lt;&gt;"",R160=$H160)</formula>
    </cfRule>
  </conditionalFormatting>
  <conditionalFormatting sqref="S160 S162 S164 S166 S168 S170 S172">
    <cfRule type="expression" dxfId="36" priority="4767" stopIfTrue="1">
      <formula>AND(S160&lt;&gt;"",S160=$J160)</formula>
    </cfRule>
  </conditionalFormatting>
  <conditionalFormatting sqref="R124">
    <cfRule type="expression" dxfId="35" priority="4762" stopIfTrue="1">
      <formula>AND(R124&lt;&gt;"",R124=$H124)</formula>
    </cfRule>
  </conditionalFormatting>
  <conditionalFormatting sqref="S124">
    <cfRule type="expression" dxfId="34" priority="4763" stopIfTrue="1">
      <formula>AND(S124&lt;&gt;"",S124=$J124)</formula>
    </cfRule>
  </conditionalFormatting>
  <conditionalFormatting sqref="T125 T127 T129 T131 T133 T135 T137 T139 T141 T143 T145 T147 T149 T151 T153">
    <cfRule type="cellIs" dxfId="33" priority="4760" stopIfTrue="1" operator="between">
      <formula>1</formula>
      <formula>1</formula>
    </cfRule>
    <cfRule type="cellIs" dxfId="32" priority="4761" stopIfTrue="1" operator="between">
      <formula>2</formula>
      <formula>20</formula>
    </cfRule>
  </conditionalFormatting>
  <conditionalFormatting sqref="T136">
    <cfRule type="cellIs" dxfId="31" priority="4746" stopIfTrue="1" operator="between">
      <formula>1</formula>
      <formula>3</formula>
    </cfRule>
    <cfRule type="cellIs" dxfId="30" priority="4747" stopIfTrue="1" operator="between">
      <formula>4</formula>
      <formula>20</formula>
    </cfRule>
  </conditionalFormatting>
  <conditionalFormatting sqref="R126 R128 R130 R132 R134 R136 R138 R140 R142 R144 R146 R148 R150 R152 R154">
    <cfRule type="expression" dxfId="29" priority="4758" stopIfTrue="1">
      <formula>AND(R126&lt;&gt;"",R126=$H126)</formula>
    </cfRule>
  </conditionalFormatting>
  <conditionalFormatting sqref="S126 S128 S130 S132 S134 S136 S138 S140 S142 S144 S146 S148 S150 S152 S154">
    <cfRule type="expression" dxfId="28" priority="4759" stopIfTrue="1">
      <formula>AND(S126&lt;&gt;"",S126=$J126)</formula>
    </cfRule>
  </conditionalFormatting>
  <conditionalFormatting sqref="T126">
    <cfRule type="cellIs" dxfId="27" priority="4756" stopIfTrue="1" operator="between">
      <formula>1</formula>
      <formula>3</formula>
    </cfRule>
    <cfRule type="cellIs" dxfId="26" priority="4757" stopIfTrue="1" operator="between">
      <formula>4</formula>
      <formula>20</formula>
    </cfRule>
  </conditionalFormatting>
  <conditionalFormatting sqref="T128">
    <cfRule type="cellIs" dxfId="25" priority="4754" stopIfTrue="1" operator="between">
      <formula>1</formula>
      <formula>3</formula>
    </cfRule>
    <cfRule type="cellIs" dxfId="24" priority="4755" stopIfTrue="1" operator="between">
      <formula>4</formula>
      <formula>20</formula>
    </cfRule>
  </conditionalFormatting>
  <conditionalFormatting sqref="T130">
    <cfRule type="cellIs" dxfId="23" priority="4752" stopIfTrue="1" operator="between">
      <formula>1</formula>
      <formula>3</formula>
    </cfRule>
    <cfRule type="cellIs" dxfId="22" priority="4753" stopIfTrue="1" operator="between">
      <formula>4</formula>
      <formula>20</formula>
    </cfRule>
  </conditionalFormatting>
  <conditionalFormatting sqref="T132">
    <cfRule type="cellIs" dxfId="21" priority="4750" stopIfTrue="1" operator="between">
      <formula>1</formula>
      <formula>3</formula>
    </cfRule>
    <cfRule type="cellIs" dxfId="20" priority="4751" stopIfTrue="1" operator="between">
      <formula>4</formula>
      <formula>20</formula>
    </cfRule>
  </conditionalFormatting>
  <conditionalFormatting sqref="T134">
    <cfRule type="cellIs" dxfId="19" priority="4748" stopIfTrue="1" operator="between">
      <formula>1</formula>
      <formula>3</formula>
    </cfRule>
    <cfRule type="cellIs" dxfId="18" priority="4749" stopIfTrue="1" operator="between">
      <formula>4</formula>
      <formula>20</formula>
    </cfRule>
  </conditionalFormatting>
  <conditionalFormatting sqref="T138">
    <cfRule type="cellIs" dxfId="17" priority="4744" stopIfTrue="1" operator="between">
      <formula>1</formula>
      <formula>3</formula>
    </cfRule>
    <cfRule type="cellIs" dxfId="16" priority="4745" stopIfTrue="1" operator="between">
      <formula>4</formula>
      <formula>20</formula>
    </cfRule>
  </conditionalFormatting>
  <conditionalFormatting sqref="T140">
    <cfRule type="cellIs" dxfId="15" priority="4742" stopIfTrue="1" operator="between">
      <formula>1</formula>
      <formula>3</formula>
    </cfRule>
    <cfRule type="cellIs" dxfId="14" priority="4743" stopIfTrue="1" operator="between">
      <formula>4</formula>
      <formula>20</formula>
    </cfRule>
  </conditionalFormatting>
  <conditionalFormatting sqref="T142">
    <cfRule type="cellIs" dxfId="13" priority="4740" stopIfTrue="1" operator="between">
      <formula>1</formula>
      <formula>3</formula>
    </cfRule>
    <cfRule type="cellIs" dxfId="12" priority="4741" stopIfTrue="1" operator="between">
      <formula>4</formula>
      <formula>20</formula>
    </cfRule>
  </conditionalFormatting>
  <conditionalFormatting sqref="T144">
    <cfRule type="cellIs" dxfId="11" priority="4738" stopIfTrue="1" operator="between">
      <formula>1</formula>
      <formula>3</formula>
    </cfRule>
    <cfRule type="cellIs" dxfId="10" priority="4739" stopIfTrue="1" operator="between">
      <formula>4</formula>
      <formula>20</formula>
    </cfRule>
  </conditionalFormatting>
  <conditionalFormatting sqref="T146">
    <cfRule type="cellIs" dxfId="9" priority="4736" stopIfTrue="1" operator="between">
      <formula>1</formula>
      <formula>3</formula>
    </cfRule>
    <cfRule type="cellIs" dxfId="8" priority="4737" stopIfTrue="1" operator="between">
      <formula>4</formula>
      <formula>20</formula>
    </cfRule>
  </conditionalFormatting>
  <conditionalFormatting sqref="T148">
    <cfRule type="cellIs" dxfId="7" priority="4734" stopIfTrue="1" operator="between">
      <formula>1</formula>
      <formula>3</formula>
    </cfRule>
    <cfRule type="cellIs" dxfId="6" priority="4735" stopIfTrue="1" operator="between">
      <formula>4</formula>
      <formula>20</formula>
    </cfRule>
  </conditionalFormatting>
  <conditionalFormatting sqref="T150">
    <cfRule type="cellIs" dxfId="5" priority="4732" stopIfTrue="1" operator="between">
      <formula>1</formula>
      <formula>3</formula>
    </cfRule>
    <cfRule type="cellIs" dxfId="4" priority="4733" stopIfTrue="1" operator="between">
      <formula>4</formula>
      <formula>20</formula>
    </cfRule>
  </conditionalFormatting>
  <conditionalFormatting sqref="T152">
    <cfRule type="cellIs" dxfId="3" priority="4730" stopIfTrue="1" operator="between">
      <formula>1</formula>
      <formula>3</formula>
    </cfRule>
    <cfRule type="cellIs" dxfId="2" priority="4731" stopIfTrue="1" operator="between">
      <formula>4</formula>
      <formula>20</formula>
    </cfRule>
  </conditionalFormatting>
  <conditionalFormatting sqref="T154">
    <cfRule type="cellIs" dxfId="1" priority="4728" stopIfTrue="1" operator="between">
      <formula>1</formula>
      <formula>3</formula>
    </cfRule>
    <cfRule type="cellIs" dxfId="0" priority="4729" stopIfTrue="1" operator="between">
      <formula>4</formula>
      <formula>20</formula>
    </cfRule>
  </conditionalFormatting>
  <pageMargins left="0.78740157499999996" right="0.78740157499999996" top="0.984251969" bottom="0.984251969" header="0.4921259845" footer="0.4921259845"/>
  <pageSetup paperSize="9" orientation="portrait" horizontalDpi="4294967293" vertic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W208"/>
  <sheetViews>
    <sheetView topLeftCell="A82" workbookViewId="0">
      <selection activeCell="C107" sqref="C107"/>
    </sheetView>
  </sheetViews>
  <sheetFormatPr baseColWidth="10" defaultRowHeight="12.75"/>
  <cols>
    <col min="1" max="1" width="21.5703125" style="182" customWidth="1"/>
    <col min="2" max="23" width="10.5703125" customWidth="1"/>
  </cols>
  <sheetData>
    <row r="1" spans="1:23">
      <c r="A1" s="209" t="s">
        <v>98</v>
      </c>
      <c r="B1" s="183">
        <v>46182</v>
      </c>
      <c r="C1" s="183">
        <v>46184</v>
      </c>
      <c r="D1" s="183"/>
      <c r="E1" s="183"/>
      <c r="F1" s="183"/>
      <c r="G1" s="183"/>
      <c r="H1" s="183"/>
      <c r="I1" s="183"/>
      <c r="J1" s="183"/>
      <c r="K1" s="183"/>
      <c r="L1" s="183"/>
      <c r="M1" s="183"/>
      <c r="N1" s="183"/>
      <c r="O1" s="183"/>
      <c r="P1" s="183"/>
      <c r="Q1" s="183"/>
      <c r="R1" s="183"/>
      <c r="S1" s="183"/>
      <c r="T1" s="183"/>
      <c r="U1" s="183"/>
      <c r="V1" s="183"/>
      <c r="W1" s="183"/>
    </row>
    <row r="2" spans="1:23" ht="15">
      <c r="A2" s="182" t="str">
        <f>Tiprunde!W2</f>
        <v>Bernd Schubert</v>
      </c>
      <c r="B2" s="111" t="e">
        <f t="shared" ref="B2:C33" si="0">RANK(B37,B$37:B$68)</f>
        <v>#N/A</v>
      </c>
      <c r="C2" s="111" t="e">
        <f t="shared" si="0"/>
        <v>#N/A</v>
      </c>
      <c r="D2" s="111"/>
      <c r="E2" s="111"/>
      <c r="F2" s="111"/>
      <c r="G2" s="111"/>
      <c r="H2" s="111"/>
      <c r="I2" s="111"/>
      <c r="J2" s="111"/>
      <c r="K2" s="111"/>
      <c r="L2" s="111"/>
      <c r="M2" s="111"/>
      <c r="N2" s="111"/>
      <c r="O2" s="111"/>
      <c r="P2" s="111"/>
      <c r="Q2" s="111"/>
      <c r="R2" s="111"/>
      <c r="S2" s="111"/>
      <c r="T2" s="111"/>
      <c r="U2" s="111"/>
      <c r="V2" s="111"/>
      <c r="W2" s="111"/>
    </row>
    <row r="3" spans="1:23" ht="15">
      <c r="A3" s="182" t="str">
        <f>Tiprunde!W3</f>
        <v>Mitspieler 1</v>
      </c>
      <c r="B3" s="111" t="e">
        <f t="shared" si="0"/>
        <v>#N/A</v>
      </c>
      <c r="C3" s="111" t="e">
        <f t="shared" si="0"/>
        <v>#N/A</v>
      </c>
      <c r="D3" s="111"/>
      <c r="E3" s="111"/>
      <c r="F3" s="111"/>
      <c r="G3" s="111"/>
      <c r="H3" s="111"/>
      <c r="I3" s="111"/>
      <c r="J3" s="111"/>
      <c r="K3" s="111"/>
      <c r="L3" s="111"/>
      <c r="M3" s="111"/>
      <c r="N3" s="111"/>
      <c r="O3" s="111"/>
      <c r="P3" s="111"/>
      <c r="Q3" s="111"/>
      <c r="R3" s="111"/>
      <c r="S3" s="111"/>
      <c r="T3" s="111"/>
      <c r="U3" s="111"/>
      <c r="V3" s="111"/>
      <c r="W3" s="111"/>
    </row>
    <row r="4" spans="1:23" ht="15">
      <c r="A4" s="182" t="str">
        <f>Tiprunde!W4</f>
        <v>Mitspieler 2</v>
      </c>
      <c r="B4" s="111" t="e">
        <f t="shared" si="0"/>
        <v>#N/A</v>
      </c>
      <c r="C4" s="111" t="e">
        <f t="shared" si="0"/>
        <v>#N/A</v>
      </c>
      <c r="D4" s="111"/>
      <c r="E4" s="111"/>
      <c r="F4" s="111"/>
      <c r="G4" s="111"/>
      <c r="H4" s="111"/>
      <c r="I4" s="111"/>
      <c r="J4" s="111"/>
      <c r="K4" s="111"/>
      <c r="L4" s="111"/>
      <c r="M4" s="111"/>
      <c r="N4" s="111"/>
      <c r="O4" s="111"/>
      <c r="P4" s="111"/>
      <c r="Q4" s="111"/>
      <c r="R4" s="111"/>
      <c r="S4" s="111"/>
      <c r="T4" s="111"/>
      <c r="U4" s="111"/>
      <c r="V4" s="111"/>
      <c r="W4" s="111"/>
    </row>
    <row r="5" spans="1:23" ht="15">
      <c r="A5" s="182" t="str">
        <f>Tiprunde!W5</f>
        <v>Mitspieler 3</v>
      </c>
      <c r="B5" s="111" t="e">
        <f t="shared" si="0"/>
        <v>#N/A</v>
      </c>
      <c r="C5" s="111" t="e">
        <f t="shared" si="0"/>
        <v>#N/A</v>
      </c>
      <c r="D5" s="111"/>
      <c r="E5" s="111"/>
      <c r="F5" s="111"/>
      <c r="G5" s="111"/>
      <c r="H5" s="111"/>
      <c r="I5" s="111"/>
      <c r="J5" s="111"/>
      <c r="K5" s="111"/>
      <c r="L5" s="111"/>
      <c r="M5" s="111"/>
      <c r="N5" s="111"/>
      <c r="O5" s="111"/>
      <c r="P5" s="111"/>
      <c r="Q5" s="111"/>
      <c r="R5" s="111"/>
      <c r="S5" s="111"/>
      <c r="T5" s="111"/>
      <c r="U5" s="111"/>
      <c r="V5" s="111"/>
      <c r="W5" s="111"/>
    </row>
    <row r="6" spans="1:23" ht="15">
      <c r="A6" s="182" t="str">
        <f>Tiprunde!W6</f>
        <v>Mitspieler 4</v>
      </c>
      <c r="B6" s="111" t="e">
        <f t="shared" si="0"/>
        <v>#N/A</v>
      </c>
      <c r="C6" s="111" t="e">
        <f t="shared" si="0"/>
        <v>#N/A</v>
      </c>
      <c r="D6" s="111"/>
      <c r="E6" s="111"/>
      <c r="F6" s="111"/>
      <c r="G6" s="111"/>
      <c r="H6" s="111"/>
      <c r="I6" s="111"/>
      <c r="J6" s="111"/>
      <c r="K6" s="111"/>
      <c r="L6" s="111"/>
      <c r="M6" s="111"/>
      <c r="N6" s="111"/>
      <c r="O6" s="111"/>
      <c r="P6" s="111"/>
      <c r="Q6" s="111"/>
      <c r="R6" s="111"/>
      <c r="S6" s="111"/>
      <c r="T6" s="111"/>
      <c r="U6" s="111"/>
      <c r="V6" s="111"/>
      <c r="W6" s="111"/>
    </row>
    <row r="7" spans="1:23" ht="15">
      <c r="A7" s="182" t="str">
        <f>Tiprunde!W7</f>
        <v>Mitspieler 5</v>
      </c>
      <c r="B7" s="111" t="e">
        <f t="shared" si="0"/>
        <v>#N/A</v>
      </c>
      <c r="C7" s="111" t="e">
        <f t="shared" si="0"/>
        <v>#N/A</v>
      </c>
      <c r="D7" s="111"/>
      <c r="E7" s="111"/>
      <c r="F7" s="111"/>
      <c r="G7" s="111"/>
      <c r="H7" s="111"/>
      <c r="I7" s="111"/>
      <c r="J7" s="111"/>
      <c r="K7" s="111"/>
      <c r="L7" s="111"/>
      <c r="M7" s="111"/>
      <c r="N7" s="111"/>
      <c r="O7" s="111"/>
      <c r="P7" s="111"/>
      <c r="Q7" s="111"/>
      <c r="R7" s="111"/>
      <c r="S7" s="111"/>
      <c r="T7" s="111"/>
      <c r="U7" s="111"/>
      <c r="V7" s="111"/>
      <c r="W7" s="111"/>
    </row>
    <row r="8" spans="1:23" ht="15">
      <c r="A8" s="182" t="str">
        <f>Tiprunde!W8</f>
        <v>Mitspieler 6</v>
      </c>
      <c r="B8" s="111" t="e">
        <f t="shared" si="0"/>
        <v>#N/A</v>
      </c>
      <c r="C8" s="111" t="e">
        <f t="shared" si="0"/>
        <v>#N/A</v>
      </c>
      <c r="D8" s="111"/>
      <c r="E8" s="111"/>
      <c r="F8" s="111"/>
      <c r="G8" s="111"/>
      <c r="H8" s="111"/>
      <c r="I8" s="111"/>
      <c r="J8" s="111"/>
      <c r="K8" s="111"/>
      <c r="L8" s="111"/>
      <c r="M8" s="111"/>
      <c r="N8" s="111"/>
      <c r="O8" s="111"/>
      <c r="P8" s="111"/>
      <c r="Q8" s="111"/>
      <c r="R8" s="111"/>
      <c r="S8" s="111"/>
      <c r="T8" s="111"/>
      <c r="U8" s="111"/>
      <c r="V8" s="111"/>
      <c r="W8" s="111"/>
    </row>
    <row r="9" spans="1:23" ht="15">
      <c r="A9" s="182" t="str">
        <f>Tiprunde!W9</f>
        <v>Mitspieler 7</v>
      </c>
      <c r="B9" s="111" t="e">
        <f t="shared" si="0"/>
        <v>#N/A</v>
      </c>
      <c r="C9" s="111" t="e">
        <f t="shared" si="0"/>
        <v>#N/A</v>
      </c>
      <c r="D9" s="111"/>
      <c r="E9" s="111"/>
      <c r="F9" s="111"/>
      <c r="G9" s="111"/>
      <c r="H9" s="111"/>
      <c r="I9" s="111"/>
      <c r="J9" s="111"/>
      <c r="K9" s="111"/>
      <c r="L9" s="111"/>
      <c r="M9" s="111"/>
      <c r="N9" s="111"/>
      <c r="O9" s="111"/>
      <c r="P9" s="111"/>
      <c r="Q9" s="111"/>
      <c r="R9" s="111"/>
      <c r="S9" s="111"/>
      <c r="T9" s="111"/>
      <c r="U9" s="111"/>
      <c r="V9" s="111"/>
      <c r="W9" s="111"/>
    </row>
    <row r="10" spans="1:23" ht="15">
      <c r="A10" s="182" t="str">
        <f>Tiprunde!W10</f>
        <v>Mitspieler 8</v>
      </c>
      <c r="B10" s="111" t="e">
        <f t="shared" si="0"/>
        <v>#N/A</v>
      </c>
      <c r="C10" s="111" t="e">
        <f t="shared" si="0"/>
        <v>#N/A</v>
      </c>
      <c r="D10" s="111"/>
      <c r="E10" s="111"/>
      <c r="F10" s="111"/>
      <c r="G10" s="111"/>
      <c r="H10" s="111"/>
      <c r="I10" s="111"/>
      <c r="J10" s="111"/>
      <c r="K10" s="111"/>
      <c r="L10" s="111"/>
      <c r="M10" s="111"/>
      <c r="N10" s="111"/>
      <c r="O10" s="111"/>
      <c r="P10" s="111"/>
      <c r="Q10" s="111"/>
      <c r="R10" s="111"/>
      <c r="S10" s="111"/>
      <c r="T10" s="111"/>
      <c r="U10" s="111"/>
      <c r="V10" s="111"/>
      <c r="W10" s="111"/>
    </row>
    <row r="11" spans="1:23" ht="15">
      <c r="A11" s="182" t="str">
        <f>Tiprunde!W11</f>
        <v>Mitspieler 9</v>
      </c>
      <c r="B11" s="111" t="e">
        <f t="shared" si="0"/>
        <v>#N/A</v>
      </c>
      <c r="C11" s="111" t="e">
        <f t="shared" si="0"/>
        <v>#N/A</v>
      </c>
      <c r="D11" s="111"/>
      <c r="E11" s="111"/>
      <c r="F11" s="111"/>
      <c r="G11" s="111"/>
      <c r="H11" s="111"/>
      <c r="I11" s="111"/>
      <c r="J11" s="111"/>
      <c r="K11" s="111"/>
      <c r="L11" s="111"/>
      <c r="M11" s="111"/>
      <c r="N11" s="111"/>
      <c r="O11" s="111"/>
      <c r="P11" s="111"/>
      <c r="Q11" s="111"/>
      <c r="R11" s="111"/>
      <c r="S11" s="111"/>
      <c r="T11" s="111"/>
      <c r="U11" s="111"/>
      <c r="V11" s="111"/>
      <c r="W11" s="111"/>
    </row>
    <row r="12" spans="1:23" ht="15">
      <c r="A12" s="182" t="str">
        <f>Tiprunde!W12</f>
        <v>Mitspieler 10</v>
      </c>
      <c r="B12" s="111" t="e">
        <f t="shared" si="0"/>
        <v>#N/A</v>
      </c>
      <c r="C12" s="111" t="e">
        <f t="shared" si="0"/>
        <v>#N/A</v>
      </c>
      <c r="D12" s="111"/>
      <c r="E12" s="111"/>
      <c r="F12" s="111"/>
      <c r="G12" s="111"/>
      <c r="H12" s="111"/>
      <c r="I12" s="111"/>
      <c r="J12" s="111"/>
      <c r="K12" s="111"/>
      <c r="L12" s="111"/>
      <c r="M12" s="111"/>
      <c r="N12" s="111"/>
      <c r="O12" s="111"/>
      <c r="P12" s="111"/>
      <c r="Q12" s="111"/>
      <c r="R12" s="111"/>
      <c r="S12" s="111"/>
      <c r="T12" s="111"/>
      <c r="U12" s="111"/>
      <c r="V12" s="111"/>
      <c r="W12" s="111"/>
    </row>
    <row r="13" spans="1:23" ht="15">
      <c r="A13" s="182" t="str">
        <f>Tiprunde!W13</f>
        <v>Mitspieler 11</v>
      </c>
      <c r="B13" s="111" t="e">
        <f t="shared" si="0"/>
        <v>#N/A</v>
      </c>
      <c r="C13" s="111" t="e">
        <f t="shared" si="0"/>
        <v>#N/A</v>
      </c>
      <c r="D13" s="111"/>
      <c r="E13" s="111"/>
      <c r="F13" s="111"/>
      <c r="G13" s="111"/>
      <c r="H13" s="111"/>
      <c r="I13" s="111"/>
      <c r="J13" s="111"/>
      <c r="K13" s="111"/>
      <c r="L13" s="111"/>
      <c r="M13" s="111"/>
      <c r="N13" s="111"/>
      <c r="O13" s="111"/>
      <c r="P13" s="111"/>
      <c r="Q13" s="111"/>
      <c r="R13" s="111"/>
      <c r="S13" s="111"/>
      <c r="T13" s="111"/>
      <c r="U13" s="111"/>
      <c r="V13" s="111"/>
      <c r="W13" s="111"/>
    </row>
    <row r="14" spans="1:23" ht="15">
      <c r="A14" s="182" t="str">
        <f>Tiprunde!W14</f>
        <v>Mitspieler 12</v>
      </c>
      <c r="B14" s="111" t="e">
        <f t="shared" si="0"/>
        <v>#N/A</v>
      </c>
      <c r="C14" s="111" t="e">
        <f t="shared" si="0"/>
        <v>#N/A</v>
      </c>
      <c r="D14" s="111"/>
      <c r="E14" s="111"/>
      <c r="F14" s="111"/>
      <c r="G14" s="111"/>
      <c r="H14" s="111"/>
      <c r="I14" s="111"/>
      <c r="J14" s="111"/>
      <c r="K14" s="111"/>
      <c r="L14" s="111"/>
      <c r="M14" s="111"/>
      <c r="N14" s="111"/>
      <c r="O14" s="111"/>
      <c r="P14" s="111"/>
      <c r="Q14" s="111"/>
      <c r="R14" s="111"/>
      <c r="S14" s="111"/>
      <c r="T14" s="111"/>
      <c r="U14" s="111"/>
      <c r="V14" s="111"/>
      <c r="W14" s="111"/>
    </row>
    <row r="15" spans="1:23" ht="15">
      <c r="A15" s="182" t="str">
        <f>Tiprunde!W15</f>
        <v>Mitspieler 13</v>
      </c>
      <c r="B15" s="111" t="e">
        <f t="shared" si="0"/>
        <v>#N/A</v>
      </c>
      <c r="C15" s="111" t="e">
        <f t="shared" si="0"/>
        <v>#N/A</v>
      </c>
      <c r="D15" s="111"/>
      <c r="E15" s="111"/>
      <c r="F15" s="111"/>
      <c r="G15" s="111"/>
      <c r="H15" s="111"/>
      <c r="I15" s="111"/>
      <c r="J15" s="111"/>
      <c r="K15" s="111"/>
      <c r="L15" s="111"/>
      <c r="M15" s="111"/>
      <c r="N15" s="111"/>
      <c r="O15" s="111"/>
      <c r="P15" s="111"/>
      <c r="Q15" s="111"/>
      <c r="R15" s="111"/>
      <c r="S15" s="111"/>
      <c r="T15" s="111"/>
      <c r="U15" s="111"/>
      <c r="V15" s="111"/>
      <c r="W15" s="111"/>
    </row>
    <row r="16" spans="1:23" ht="15">
      <c r="A16" s="182" t="str">
        <f>Tiprunde!W16</f>
        <v>Mitspieler 14</v>
      </c>
      <c r="B16" s="111" t="e">
        <f t="shared" si="0"/>
        <v>#N/A</v>
      </c>
      <c r="C16" s="111" t="e">
        <f t="shared" si="0"/>
        <v>#N/A</v>
      </c>
      <c r="D16" s="111"/>
      <c r="E16" s="111"/>
      <c r="F16" s="111"/>
      <c r="G16" s="111"/>
      <c r="H16" s="111"/>
      <c r="I16" s="111"/>
      <c r="J16" s="111"/>
      <c r="K16" s="111"/>
      <c r="L16" s="111"/>
      <c r="M16" s="111"/>
      <c r="N16" s="111"/>
      <c r="O16" s="111"/>
      <c r="P16" s="111"/>
      <c r="Q16" s="111"/>
      <c r="R16" s="111"/>
      <c r="S16" s="111"/>
      <c r="T16" s="111"/>
      <c r="U16" s="111"/>
      <c r="V16" s="111"/>
      <c r="W16" s="111"/>
    </row>
    <row r="17" spans="1:23" ht="15">
      <c r="A17" s="182" t="str">
        <f>Tiprunde!W17</f>
        <v>Mitspieler 15</v>
      </c>
      <c r="B17" s="111" t="e">
        <f t="shared" si="0"/>
        <v>#N/A</v>
      </c>
      <c r="C17" s="111" t="e">
        <f t="shared" si="0"/>
        <v>#N/A</v>
      </c>
      <c r="D17" s="111"/>
      <c r="E17" s="111"/>
      <c r="F17" s="111"/>
      <c r="G17" s="111"/>
      <c r="H17" s="111"/>
      <c r="I17" s="111"/>
      <c r="J17" s="111"/>
      <c r="K17" s="111"/>
      <c r="L17" s="111"/>
      <c r="M17" s="111"/>
      <c r="N17" s="111"/>
      <c r="O17" s="111"/>
      <c r="P17" s="111"/>
      <c r="Q17" s="111"/>
      <c r="R17" s="111"/>
      <c r="S17" s="111"/>
      <c r="T17" s="111"/>
      <c r="U17" s="111"/>
      <c r="V17" s="111"/>
      <c r="W17" s="111"/>
    </row>
    <row r="18" spans="1:23" ht="15">
      <c r="A18" s="182" t="str">
        <f>Tiprunde!W18</f>
        <v>Mitspieler 16</v>
      </c>
      <c r="B18" s="111" t="e">
        <f t="shared" si="0"/>
        <v>#N/A</v>
      </c>
      <c r="C18" s="111" t="e">
        <f t="shared" si="0"/>
        <v>#N/A</v>
      </c>
      <c r="D18" s="111"/>
      <c r="E18" s="111"/>
      <c r="F18" s="111"/>
      <c r="G18" s="111"/>
      <c r="H18" s="111"/>
      <c r="I18" s="111"/>
      <c r="J18" s="111"/>
      <c r="K18" s="111"/>
      <c r="L18" s="111"/>
      <c r="M18" s="111"/>
      <c r="N18" s="111"/>
      <c r="O18" s="111"/>
      <c r="P18" s="111"/>
      <c r="Q18" s="111"/>
      <c r="R18" s="111"/>
      <c r="S18" s="111"/>
      <c r="T18" s="111"/>
      <c r="U18" s="111"/>
      <c r="V18" s="111"/>
      <c r="W18" s="111"/>
    </row>
    <row r="19" spans="1:23" ht="15">
      <c r="A19" s="182" t="str">
        <f>Tiprunde!W19</f>
        <v>Mitspieler 17</v>
      </c>
      <c r="B19" s="111" t="e">
        <f t="shared" si="0"/>
        <v>#N/A</v>
      </c>
      <c r="C19" s="111" t="e">
        <f t="shared" si="0"/>
        <v>#N/A</v>
      </c>
      <c r="D19" s="111"/>
      <c r="E19" s="111"/>
      <c r="F19" s="111"/>
      <c r="G19" s="111"/>
      <c r="H19" s="111"/>
      <c r="I19" s="111"/>
      <c r="J19" s="111"/>
      <c r="K19" s="111"/>
      <c r="L19" s="111"/>
      <c r="M19" s="111"/>
      <c r="N19" s="111"/>
      <c r="O19" s="111"/>
      <c r="P19" s="111"/>
      <c r="Q19" s="111"/>
      <c r="R19" s="111"/>
      <c r="S19" s="111"/>
      <c r="T19" s="111"/>
      <c r="U19" s="111"/>
      <c r="V19" s="111"/>
      <c r="W19" s="111"/>
    </row>
    <row r="20" spans="1:23" ht="15">
      <c r="A20" s="182" t="str">
        <f>Tiprunde!W20</f>
        <v>Mitspieler 18</v>
      </c>
      <c r="B20" s="111" t="e">
        <f t="shared" si="0"/>
        <v>#N/A</v>
      </c>
      <c r="C20" s="111" t="e">
        <f t="shared" si="0"/>
        <v>#N/A</v>
      </c>
      <c r="D20" s="111"/>
      <c r="E20" s="111"/>
      <c r="F20" s="111"/>
      <c r="G20" s="111"/>
      <c r="H20" s="111"/>
      <c r="I20" s="111"/>
      <c r="J20" s="111"/>
      <c r="K20" s="111"/>
      <c r="L20" s="111"/>
      <c r="M20" s="111"/>
      <c r="N20" s="111"/>
      <c r="O20" s="111"/>
      <c r="P20" s="111"/>
      <c r="Q20" s="111"/>
      <c r="R20" s="111"/>
      <c r="S20" s="111"/>
      <c r="T20" s="111"/>
      <c r="U20" s="111"/>
      <c r="V20" s="111"/>
      <c r="W20" s="111"/>
    </row>
    <row r="21" spans="1:23" ht="15">
      <c r="A21" s="182" t="str">
        <f>Tiprunde!W21</f>
        <v>Mitspieler 19</v>
      </c>
      <c r="B21" s="111" t="e">
        <f t="shared" si="0"/>
        <v>#N/A</v>
      </c>
      <c r="C21" s="111" t="e">
        <f t="shared" si="0"/>
        <v>#N/A</v>
      </c>
      <c r="D21" s="111"/>
      <c r="E21" s="111"/>
      <c r="F21" s="111"/>
      <c r="G21" s="111"/>
      <c r="H21" s="111"/>
      <c r="I21" s="111"/>
      <c r="J21" s="111"/>
      <c r="K21" s="111"/>
      <c r="L21" s="111"/>
      <c r="M21" s="111"/>
      <c r="N21" s="111"/>
      <c r="O21" s="111"/>
      <c r="P21" s="111"/>
      <c r="Q21" s="111"/>
      <c r="R21" s="111"/>
      <c r="S21" s="111"/>
      <c r="T21" s="111"/>
      <c r="U21" s="111"/>
      <c r="V21" s="111"/>
      <c r="W21" s="111"/>
    </row>
    <row r="22" spans="1:23" ht="15">
      <c r="A22" s="182" t="str">
        <f>Tiprunde!W22</f>
        <v>Mitspieler 20</v>
      </c>
      <c r="B22" s="111" t="e">
        <f t="shared" si="0"/>
        <v>#N/A</v>
      </c>
      <c r="C22" s="111" t="e">
        <f t="shared" si="0"/>
        <v>#N/A</v>
      </c>
      <c r="D22" s="111"/>
      <c r="E22" s="111"/>
      <c r="F22" s="111"/>
      <c r="G22" s="111"/>
      <c r="H22" s="111"/>
      <c r="I22" s="111"/>
      <c r="J22" s="111"/>
      <c r="K22" s="111"/>
      <c r="L22" s="111"/>
      <c r="M22" s="111"/>
      <c r="N22" s="111"/>
      <c r="O22" s="111"/>
      <c r="P22" s="111"/>
      <c r="Q22" s="111"/>
      <c r="R22" s="111"/>
      <c r="S22" s="111"/>
      <c r="T22" s="111"/>
      <c r="U22" s="111"/>
      <c r="V22" s="111"/>
      <c r="W22" s="111"/>
    </row>
    <row r="23" spans="1:23" ht="15">
      <c r="A23" s="182" t="str">
        <f>Tiprunde!W23</f>
        <v>Mitspieler 22</v>
      </c>
      <c r="B23" s="111" t="e">
        <f t="shared" si="0"/>
        <v>#N/A</v>
      </c>
      <c r="C23" s="111" t="e">
        <f t="shared" si="0"/>
        <v>#N/A</v>
      </c>
      <c r="D23" s="111"/>
      <c r="E23" s="111"/>
      <c r="F23" s="111"/>
      <c r="G23" s="111"/>
      <c r="H23" s="111"/>
      <c r="I23" s="111"/>
      <c r="J23" s="111"/>
      <c r="K23" s="111"/>
      <c r="L23" s="111"/>
      <c r="M23" s="111"/>
      <c r="N23" s="111"/>
      <c r="O23" s="111"/>
      <c r="P23" s="111"/>
      <c r="Q23" s="111"/>
      <c r="R23" s="111"/>
      <c r="S23" s="111"/>
      <c r="T23" s="111"/>
      <c r="U23" s="111"/>
      <c r="V23" s="111"/>
      <c r="W23" s="111"/>
    </row>
    <row r="24" spans="1:23" ht="15">
      <c r="A24" s="182" t="str">
        <f>Tiprunde!W24</f>
        <v>Mitspieler 22</v>
      </c>
      <c r="B24" s="111" t="e">
        <f t="shared" si="0"/>
        <v>#N/A</v>
      </c>
      <c r="C24" s="111" t="e">
        <f t="shared" si="0"/>
        <v>#N/A</v>
      </c>
      <c r="D24" s="111"/>
      <c r="E24" s="111"/>
      <c r="F24" s="111"/>
      <c r="G24" s="111"/>
      <c r="H24" s="111"/>
      <c r="I24" s="111"/>
      <c r="J24" s="111"/>
      <c r="K24" s="111"/>
      <c r="L24" s="111"/>
      <c r="M24" s="111"/>
      <c r="N24" s="111"/>
      <c r="O24" s="111"/>
      <c r="P24" s="111"/>
      <c r="Q24" s="111"/>
      <c r="R24" s="111"/>
      <c r="S24" s="111"/>
      <c r="T24" s="111"/>
      <c r="U24" s="111"/>
      <c r="V24" s="111"/>
      <c r="W24" s="111"/>
    </row>
    <row r="25" spans="1:23" ht="15">
      <c r="A25" s="182" t="str">
        <f>Tiprunde!W25</f>
        <v>Mitspieler 23</v>
      </c>
      <c r="B25" s="111" t="e">
        <f t="shared" si="0"/>
        <v>#N/A</v>
      </c>
      <c r="C25" s="111" t="e">
        <f t="shared" si="0"/>
        <v>#N/A</v>
      </c>
      <c r="D25" s="111"/>
      <c r="E25" s="111"/>
      <c r="F25" s="111"/>
      <c r="G25" s="111"/>
      <c r="H25" s="111"/>
      <c r="I25" s="111"/>
      <c r="J25" s="111"/>
      <c r="K25" s="111"/>
      <c r="L25" s="111"/>
      <c r="M25" s="111"/>
      <c r="N25" s="111"/>
      <c r="O25" s="111"/>
      <c r="P25" s="111"/>
      <c r="Q25" s="111"/>
      <c r="R25" s="111"/>
      <c r="S25" s="111"/>
      <c r="T25" s="111"/>
      <c r="U25" s="111"/>
      <c r="V25" s="111"/>
      <c r="W25" s="111"/>
    </row>
    <row r="26" spans="1:23" ht="15">
      <c r="A26" s="182" t="str">
        <f>Tiprunde!W26</f>
        <v>Mitspieler 24</v>
      </c>
      <c r="B26" s="111" t="e">
        <f t="shared" si="0"/>
        <v>#N/A</v>
      </c>
      <c r="C26" s="111" t="e">
        <f t="shared" si="0"/>
        <v>#N/A</v>
      </c>
      <c r="D26" s="111"/>
      <c r="E26" s="111"/>
      <c r="F26" s="111"/>
      <c r="G26" s="111"/>
      <c r="H26" s="111"/>
      <c r="I26" s="111"/>
      <c r="J26" s="111"/>
      <c r="K26" s="111"/>
      <c r="L26" s="111"/>
      <c r="M26" s="111"/>
      <c r="N26" s="111"/>
      <c r="O26" s="111"/>
      <c r="P26" s="111"/>
      <c r="Q26" s="111"/>
      <c r="R26" s="111"/>
      <c r="S26" s="111"/>
      <c r="T26" s="111"/>
      <c r="U26" s="111"/>
      <c r="V26" s="111"/>
      <c r="W26" s="111"/>
    </row>
    <row r="27" spans="1:23" ht="15">
      <c r="A27" s="182" t="str">
        <f>Tiprunde!W27</f>
        <v>Mitspieler 25</v>
      </c>
      <c r="B27" s="111" t="e">
        <f t="shared" si="0"/>
        <v>#N/A</v>
      </c>
      <c r="C27" s="111" t="e">
        <f t="shared" si="0"/>
        <v>#N/A</v>
      </c>
      <c r="D27" s="111"/>
      <c r="E27" s="111"/>
      <c r="F27" s="111"/>
      <c r="G27" s="111"/>
      <c r="H27" s="111"/>
      <c r="I27" s="111"/>
      <c r="J27" s="111"/>
      <c r="K27" s="111"/>
      <c r="L27" s="111"/>
      <c r="M27" s="111"/>
      <c r="N27" s="111"/>
      <c r="O27" s="111"/>
      <c r="P27" s="111"/>
      <c r="Q27" s="111"/>
      <c r="R27" s="111"/>
      <c r="S27" s="111"/>
      <c r="T27" s="111"/>
      <c r="U27" s="111"/>
      <c r="V27" s="111"/>
      <c r="W27" s="111"/>
    </row>
    <row r="28" spans="1:23" ht="15">
      <c r="A28" s="182" t="str">
        <f>Tiprunde!W28</f>
        <v>Mitspieler 26</v>
      </c>
      <c r="B28" s="111" t="e">
        <f t="shared" si="0"/>
        <v>#N/A</v>
      </c>
      <c r="C28" s="111" t="e">
        <f t="shared" si="0"/>
        <v>#N/A</v>
      </c>
      <c r="D28" s="111"/>
      <c r="E28" s="111"/>
      <c r="F28" s="111"/>
      <c r="G28" s="111"/>
      <c r="H28" s="111"/>
      <c r="I28" s="111"/>
      <c r="J28" s="111"/>
      <c r="K28" s="111"/>
      <c r="L28" s="111"/>
      <c r="M28" s="111"/>
      <c r="N28" s="111"/>
      <c r="O28" s="111"/>
      <c r="P28" s="111"/>
      <c r="Q28" s="111"/>
      <c r="R28" s="111"/>
      <c r="S28" s="111"/>
      <c r="T28" s="111"/>
      <c r="U28" s="111"/>
      <c r="V28" s="111"/>
      <c r="W28" s="111"/>
    </row>
    <row r="29" spans="1:23" ht="15">
      <c r="A29" s="182" t="str">
        <f>Tiprunde!W29</f>
        <v>Mitspieler 27</v>
      </c>
      <c r="B29" s="111" t="e">
        <f t="shared" si="0"/>
        <v>#N/A</v>
      </c>
      <c r="C29" s="111" t="e">
        <f t="shared" si="0"/>
        <v>#N/A</v>
      </c>
      <c r="D29" s="111"/>
      <c r="E29" s="111"/>
      <c r="F29" s="111"/>
      <c r="G29" s="111"/>
      <c r="H29" s="111"/>
      <c r="I29" s="111"/>
      <c r="J29" s="111"/>
      <c r="K29" s="111"/>
      <c r="L29" s="111"/>
      <c r="M29" s="111"/>
      <c r="N29" s="111"/>
      <c r="O29" s="111"/>
      <c r="P29" s="111"/>
      <c r="Q29" s="111"/>
      <c r="R29" s="111"/>
      <c r="S29" s="111"/>
      <c r="T29" s="111"/>
      <c r="U29" s="111"/>
      <c r="V29" s="111"/>
      <c r="W29" s="111"/>
    </row>
    <row r="30" spans="1:23" ht="15">
      <c r="A30" s="182" t="str">
        <f>Tiprunde!W30</f>
        <v>Mitspieler 28</v>
      </c>
      <c r="B30" s="111" t="e">
        <f t="shared" si="0"/>
        <v>#N/A</v>
      </c>
      <c r="C30" s="111" t="e">
        <f t="shared" si="0"/>
        <v>#N/A</v>
      </c>
      <c r="D30" s="111"/>
      <c r="E30" s="111"/>
      <c r="F30" s="111"/>
      <c r="G30" s="111"/>
      <c r="H30" s="111"/>
      <c r="I30" s="111"/>
      <c r="J30" s="111"/>
      <c r="K30" s="111"/>
      <c r="L30" s="111"/>
      <c r="M30" s="111"/>
      <c r="N30" s="111"/>
      <c r="O30" s="111"/>
      <c r="P30" s="111"/>
      <c r="Q30" s="111"/>
      <c r="R30" s="111"/>
      <c r="S30" s="111"/>
      <c r="T30" s="111"/>
      <c r="U30" s="111"/>
      <c r="V30" s="111"/>
      <c r="W30" s="111"/>
    </row>
    <row r="31" spans="1:23" ht="15">
      <c r="A31" s="182" t="str">
        <f>Tiprunde!W31</f>
        <v>Rangliste</v>
      </c>
      <c r="B31" s="111" t="e">
        <f t="shared" si="0"/>
        <v>#N/A</v>
      </c>
      <c r="C31" s="111" t="e">
        <f t="shared" si="0"/>
        <v>#N/A</v>
      </c>
      <c r="D31" s="111"/>
      <c r="E31" s="111"/>
      <c r="F31" s="111"/>
      <c r="G31" s="111"/>
      <c r="H31" s="111"/>
      <c r="I31" s="111"/>
      <c r="J31" s="111"/>
      <c r="K31" s="111"/>
      <c r="L31" s="111"/>
      <c r="M31" s="111"/>
      <c r="N31" s="111"/>
      <c r="O31" s="111"/>
      <c r="P31" s="111"/>
      <c r="Q31" s="111"/>
      <c r="R31" s="111"/>
      <c r="S31" s="111"/>
      <c r="T31" s="111"/>
      <c r="U31" s="111"/>
      <c r="V31" s="111"/>
      <c r="W31" s="111"/>
    </row>
    <row r="32" spans="1:23" ht="15">
      <c r="A32" s="182" t="str">
        <f>Tiprunde!W32</f>
        <v>Fest</v>
      </c>
      <c r="B32" s="111" t="e">
        <f t="shared" si="0"/>
        <v>#N/A</v>
      </c>
      <c r="C32" s="111" t="e">
        <f t="shared" si="0"/>
        <v>#N/A</v>
      </c>
      <c r="D32" s="111"/>
      <c r="E32" s="111"/>
      <c r="F32" s="111"/>
      <c r="G32" s="111"/>
      <c r="H32" s="111"/>
      <c r="I32" s="111"/>
      <c r="J32" s="111"/>
      <c r="K32" s="111"/>
      <c r="L32" s="111"/>
      <c r="M32" s="111"/>
      <c r="N32" s="111"/>
      <c r="O32" s="111"/>
      <c r="P32" s="111"/>
      <c r="Q32" s="111"/>
      <c r="R32" s="111"/>
      <c r="S32" s="111"/>
      <c r="T32" s="111"/>
      <c r="U32" s="111"/>
      <c r="V32" s="111"/>
      <c r="W32" s="111"/>
    </row>
    <row r="33" spans="1:23" ht="15">
      <c r="A33" s="182" t="str">
        <f>Tiprunde!W33</f>
        <v>Random</v>
      </c>
      <c r="B33" s="111" t="e">
        <f t="shared" si="0"/>
        <v>#N/A</v>
      </c>
      <c r="C33" s="111" t="e">
        <f t="shared" si="0"/>
        <v>#N/A</v>
      </c>
      <c r="D33" s="111"/>
      <c r="E33" s="111"/>
      <c r="F33" s="111"/>
      <c r="G33" s="111"/>
      <c r="H33" s="111"/>
      <c r="I33" s="111"/>
      <c r="J33" s="111"/>
      <c r="K33" s="111"/>
      <c r="L33" s="111"/>
      <c r="M33" s="111"/>
      <c r="N33" s="111"/>
      <c r="O33" s="111"/>
      <c r="P33" s="111"/>
      <c r="Q33" s="111"/>
      <c r="R33" s="111"/>
      <c r="S33" s="111"/>
      <c r="T33" s="111"/>
      <c r="U33" s="111"/>
      <c r="V33" s="111"/>
      <c r="W33" s="111"/>
    </row>
    <row r="34" spans="1:23" ht="15">
      <c r="B34" s="111"/>
      <c r="C34" s="111"/>
      <c r="D34" s="111"/>
      <c r="E34" s="111"/>
      <c r="F34" s="111"/>
      <c r="G34" s="111"/>
      <c r="H34" s="111"/>
      <c r="I34" s="111"/>
      <c r="J34" s="111"/>
      <c r="K34" s="111"/>
      <c r="L34" s="111"/>
      <c r="M34" s="111"/>
      <c r="N34" s="111"/>
      <c r="O34" s="111"/>
      <c r="P34" s="111"/>
      <c r="Q34" s="111"/>
      <c r="R34" s="111"/>
      <c r="S34" s="111"/>
      <c r="T34" s="111"/>
      <c r="U34" s="111"/>
      <c r="V34" s="111"/>
      <c r="W34" s="111"/>
    </row>
    <row r="36" spans="1:23">
      <c r="A36" s="209" t="s">
        <v>194</v>
      </c>
      <c r="B36" s="184" t="s">
        <v>19</v>
      </c>
      <c r="C36" s="184" t="s">
        <v>19</v>
      </c>
      <c r="D36" s="184"/>
      <c r="E36" s="184"/>
      <c r="F36" s="184"/>
      <c r="G36" s="184"/>
      <c r="H36" s="184"/>
      <c r="I36" s="184"/>
      <c r="J36" s="184"/>
      <c r="K36" s="184"/>
      <c r="L36" s="184"/>
      <c r="M36" s="184"/>
      <c r="N36" s="184"/>
      <c r="O36" s="184"/>
      <c r="P36" s="184"/>
      <c r="Q36" s="184"/>
      <c r="R36" s="184"/>
      <c r="S36" s="184"/>
      <c r="T36" s="184"/>
      <c r="U36" s="184"/>
      <c r="V36" s="184"/>
      <c r="W36" s="184"/>
    </row>
    <row r="37" spans="1:23" ht="15">
      <c r="A37" s="182" t="str">
        <f t="shared" ref="A37:A68" si="1">A2</f>
        <v>Bernd Schubert</v>
      </c>
      <c r="B37" s="185">
        <v>254</v>
      </c>
      <c r="C37" s="185">
        <v>254</v>
      </c>
      <c r="D37" s="185"/>
      <c r="E37" s="185"/>
      <c r="F37" s="185"/>
      <c r="G37" s="185"/>
      <c r="H37" s="185"/>
      <c r="I37" s="185"/>
      <c r="J37" s="185"/>
      <c r="K37" s="185"/>
      <c r="L37" s="185"/>
      <c r="M37" s="185"/>
      <c r="N37" s="185"/>
      <c r="O37" s="185"/>
      <c r="P37" s="185"/>
      <c r="Q37" s="185"/>
      <c r="R37" s="185"/>
      <c r="S37" s="185"/>
      <c r="T37" s="185"/>
      <c r="U37" s="185"/>
      <c r="V37" s="185"/>
      <c r="W37" s="185"/>
    </row>
    <row r="38" spans="1:23" ht="15">
      <c r="A38" s="182" t="str">
        <f t="shared" si="1"/>
        <v>Mitspieler 1</v>
      </c>
      <c r="B38" s="185">
        <v>280</v>
      </c>
      <c r="C38" s="185">
        <v>280</v>
      </c>
      <c r="D38" s="185"/>
      <c r="E38" s="185"/>
      <c r="F38" s="185"/>
      <c r="G38" s="185"/>
      <c r="H38" s="185"/>
      <c r="I38" s="185"/>
      <c r="J38" s="185"/>
      <c r="K38" s="185"/>
      <c r="L38" s="185"/>
      <c r="M38" s="185"/>
      <c r="N38" s="185"/>
      <c r="O38" s="185"/>
      <c r="P38" s="185"/>
      <c r="Q38" s="185"/>
      <c r="R38" s="185"/>
      <c r="S38" s="185"/>
      <c r="T38" s="185"/>
      <c r="U38" s="185"/>
      <c r="V38" s="185"/>
      <c r="W38" s="185"/>
    </row>
    <row r="39" spans="1:23" ht="15">
      <c r="A39" s="182" t="str">
        <f t="shared" si="1"/>
        <v>Mitspieler 2</v>
      </c>
      <c r="B39" s="185">
        <v>280</v>
      </c>
      <c r="C39" s="185">
        <v>280</v>
      </c>
      <c r="D39" s="185"/>
      <c r="E39" s="185"/>
      <c r="F39" s="185"/>
      <c r="G39" s="185"/>
      <c r="H39" s="185"/>
      <c r="I39" s="185"/>
      <c r="J39" s="185"/>
      <c r="K39" s="185"/>
      <c r="L39" s="185"/>
      <c r="M39" s="185"/>
      <c r="N39" s="185"/>
      <c r="O39" s="185"/>
      <c r="P39" s="185"/>
      <c r="Q39" s="185"/>
      <c r="R39" s="185"/>
      <c r="S39" s="185"/>
      <c r="T39" s="185"/>
      <c r="U39" s="185"/>
      <c r="V39" s="185"/>
      <c r="W39" s="185"/>
    </row>
    <row r="40" spans="1:23" ht="15">
      <c r="A40" s="182" t="str">
        <f t="shared" si="1"/>
        <v>Mitspieler 3</v>
      </c>
      <c r="B40" s="185">
        <v>280</v>
      </c>
      <c r="C40" s="185">
        <v>280</v>
      </c>
      <c r="D40" s="185"/>
      <c r="E40" s="185"/>
      <c r="F40" s="185"/>
      <c r="G40" s="185"/>
      <c r="H40" s="185"/>
      <c r="I40" s="185"/>
      <c r="J40" s="185"/>
      <c r="K40" s="185"/>
      <c r="L40" s="185"/>
      <c r="M40" s="185"/>
      <c r="N40" s="185"/>
      <c r="O40" s="185"/>
      <c r="P40" s="185"/>
      <c r="Q40" s="185"/>
      <c r="R40" s="185"/>
      <c r="S40" s="185"/>
      <c r="T40" s="185"/>
      <c r="U40" s="185"/>
      <c r="V40" s="185"/>
      <c r="W40" s="185"/>
    </row>
    <row r="41" spans="1:23" ht="15">
      <c r="A41" s="182" t="str">
        <f t="shared" si="1"/>
        <v>Mitspieler 4</v>
      </c>
      <c r="B41" s="185">
        <v>280</v>
      </c>
      <c r="C41" s="185">
        <v>280</v>
      </c>
      <c r="D41" s="185"/>
      <c r="E41" s="185"/>
      <c r="F41" s="185"/>
      <c r="G41" s="185"/>
      <c r="H41" s="185"/>
      <c r="I41" s="185"/>
      <c r="J41" s="185"/>
      <c r="K41" s="185"/>
      <c r="L41" s="185"/>
      <c r="M41" s="185"/>
      <c r="N41" s="185"/>
      <c r="O41" s="185"/>
      <c r="P41" s="185"/>
      <c r="Q41" s="185"/>
      <c r="R41" s="185"/>
      <c r="S41" s="185"/>
      <c r="T41" s="185"/>
      <c r="U41" s="185"/>
      <c r="V41" s="185"/>
      <c r="W41" s="185"/>
    </row>
    <row r="42" spans="1:23" ht="15">
      <c r="A42" s="182" t="str">
        <f t="shared" si="1"/>
        <v>Mitspieler 5</v>
      </c>
      <c r="B42" s="185">
        <v>280</v>
      </c>
      <c r="C42" s="185">
        <v>280</v>
      </c>
      <c r="D42" s="185"/>
      <c r="E42" s="185"/>
      <c r="F42" s="185"/>
      <c r="G42" s="185"/>
      <c r="H42" s="185"/>
      <c r="I42" s="185"/>
      <c r="J42" s="185"/>
      <c r="K42" s="185"/>
      <c r="L42" s="185"/>
      <c r="M42" s="185"/>
      <c r="N42" s="185"/>
      <c r="O42" s="185"/>
      <c r="P42" s="185"/>
      <c r="Q42" s="185"/>
      <c r="R42" s="185"/>
      <c r="S42" s="185"/>
      <c r="T42" s="185"/>
      <c r="U42" s="185"/>
      <c r="V42" s="185"/>
      <c r="W42" s="185"/>
    </row>
    <row r="43" spans="1:23" ht="15">
      <c r="A43" s="182" t="str">
        <f t="shared" si="1"/>
        <v>Mitspieler 6</v>
      </c>
      <c r="B43" s="185">
        <v>280</v>
      </c>
      <c r="C43" s="185">
        <v>280</v>
      </c>
      <c r="D43" s="185"/>
      <c r="E43" s="185"/>
      <c r="F43" s="185"/>
      <c r="G43" s="185"/>
      <c r="H43" s="185"/>
      <c r="I43" s="185"/>
      <c r="J43" s="185"/>
      <c r="K43" s="185"/>
      <c r="L43" s="185"/>
      <c r="M43" s="185"/>
      <c r="N43" s="185"/>
      <c r="O43" s="185"/>
      <c r="P43" s="185"/>
      <c r="Q43" s="185"/>
      <c r="R43" s="185"/>
      <c r="S43" s="185"/>
      <c r="T43" s="185"/>
      <c r="U43" s="185"/>
      <c r="V43" s="185"/>
      <c r="W43" s="185"/>
    </row>
    <row r="44" spans="1:23" ht="15">
      <c r="A44" s="182" t="str">
        <f t="shared" si="1"/>
        <v>Mitspieler 7</v>
      </c>
      <c r="B44" s="185">
        <v>280</v>
      </c>
      <c r="C44" s="185">
        <v>280</v>
      </c>
      <c r="D44" s="185"/>
      <c r="E44" s="185"/>
      <c r="F44" s="185"/>
      <c r="G44" s="185"/>
      <c r="H44" s="185"/>
      <c r="I44" s="185"/>
      <c r="J44" s="185"/>
      <c r="K44" s="185"/>
      <c r="L44" s="185"/>
      <c r="M44" s="185"/>
      <c r="N44" s="185"/>
      <c r="O44" s="185"/>
      <c r="P44" s="185"/>
      <c r="Q44" s="185"/>
      <c r="R44" s="185"/>
      <c r="S44" s="185"/>
      <c r="T44" s="185"/>
      <c r="U44" s="185"/>
      <c r="V44" s="185"/>
      <c r="W44" s="185"/>
    </row>
    <row r="45" spans="1:23" ht="15">
      <c r="A45" s="182" t="str">
        <f t="shared" si="1"/>
        <v>Mitspieler 8</v>
      </c>
      <c r="B45" s="185">
        <v>280</v>
      </c>
      <c r="C45" s="185">
        <v>280</v>
      </c>
      <c r="D45" s="185"/>
      <c r="E45" s="185"/>
      <c r="F45" s="185"/>
      <c r="G45" s="185"/>
      <c r="H45" s="185"/>
      <c r="I45" s="185"/>
      <c r="J45" s="185"/>
      <c r="K45" s="185"/>
      <c r="L45" s="185"/>
      <c r="M45" s="185"/>
      <c r="N45" s="185"/>
      <c r="O45" s="185"/>
      <c r="P45" s="185"/>
      <c r="Q45" s="185"/>
      <c r="R45" s="185"/>
      <c r="S45" s="185"/>
      <c r="T45" s="185"/>
      <c r="U45" s="185"/>
      <c r="V45" s="185"/>
      <c r="W45" s="185"/>
    </row>
    <row r="46" spans="1:23" ht="15">
      <c r="A46" s="182" t="str">
        <f t="shared" si="1"/>
        <v>Mitspieler 9</v>
      </c>
      <c r="B46" s="185" t="e">
        <v>#N/A</v>
      </c>
      <c r="C46" s="185" t="e">
        <v>#N/A</v>
      </c>
      <c r="D46" s="185"/>
      <c r="E46" s="185"/>
      <c r="F46" s="185"/>
      <c r="G46" s="185"/>
      <c r="H46" s="185"/>
      <c r="I46" s="185"/>
      <c r="J46" s="185"/>
      <c r="K46" s="185"/>
      <c r="L46" s="185"/>
      <c r="M46" s="185"/>
      <c r="N46" s="185"/>
      <c r="O46" s="185"/>
      <c r="P46" s="185"/>
      <c r="Q46" s="185"/>
      <c r="R46" s="185"/>
      <c r="S46" s="185"/>
      <c r="T46" s="185"/>
      <c r="U46" s="185"/>
      <c r="V46" s="185"/>
      <c r="W46" s="185"/>
    </row>
    <row r="47" spans="1:23" ht="15">
      <c r="A47" s="182" t="str">
        <f t="shared" si="1"/>
        <v>Mitspieler 10</v>
      </c>
      <c r="B47" s="185">
        <v>280</v>
      </c>
      <c r="C47" s="185">
        <v>280</v>
      </c>
      <c r="D47" s="185"/>
      <c r="E47" s="185"/>
      <c r="F47" s="185"/>
      <c r="G47" s="185"/>
      <c r="H47" s="185"/>
      <c r="I47" s="185"/>
      <c r="J47" s="185"/>
      <c r="K47" s="185"/>
      <c r="L47" s="185"/>
      <c r="M47" s="185"/>
      <c r="N47" s="185"/>
      <c r="O47" s="185"/>
      <c r="P47" s="185"/>
      <c r="Q47" s="185"/>
      <c r="R47" s="185"/>
      <c r="S47" s="185"/>
      <c r="T47" s="185"/>
      <c r="U47" s="185"/>
      <c r="V47" s="185"/>
      <c r="W47" s="185"/>
    </row>
    <row r="48" spans="1:23" ht="15">
      <c r="A48" s="182" t="str">
        <f t="shared" si="1"/>
        <v>Mitspieler 11</v>
      </c>
      <c r="B48" s="185">
        <v>280</v>
      </c>
      <c r="C48" s="185">
        <v>280</v>
      </c>
      <c r="D48" s="185"/>
      <c r="E48" s="185"/>
      <c r="F48" s="185"/>
      <c r="G48" s="185"/>
      <c r="H48" s="185"/>
      <c r="I48" s="185"/>
      <c r="J48" s="185"/>
      <c r="K48" s="185"/>
      <c r="L48" s="185"/>
      <c r="M48" s="185"/>
      <c r="N48" s="185"/>
      <c r="O48" s="185"/>
      <c r="P48" s="185"/>
      <c r="Q48" s="185"/>
      <c r="R48" s="185"/>
      <c r="S48" s="185"/>
      <c r="T48" s="185"/>
      <c r="U48" s="185"/>
      <c r="V48" s="185"/>
      <c r="W48" s="185"/>
    </row>
    <row r="49" spans="1:23" ht="15">
      <c r="A49" s="182" t="str">
        <f t="shared" si="1"/>
        <v>Mitspieler 12</v>
      </c>
      <c r="B49" s="185">
        <v>280</v>
      </c>
      <c r="C49" s="185">
        <v>280</v>
      </c>
      <c r="D49" s="185"/>
      <c r="E49" s="185"/>
      <c r="F49" s="185"/>
      <c r="G49" s="185"/>
      <c r="H49" s="185"/>
      <c r="I49" s="185"/>
      <c r="J49" s="185"/>
      <c r="K49" s="185"/>
      <c r="L49" s="185"/>
      <c r="M49" s="185"/>
      <c r="N49" s="185"/>
      <c r="O49" s="185"/>
      <c r="P49" s="185"/>
      <c r="Q49" s="185"/>
      <c r="R49" s="185"/>
      <c r="S49" s="185"/>
      <c r="T49" s="185"/>
      <c r="U49" s="185"/>
      <c r="V49" s="185"/>
      <c r="W49" s="185"/>
    </row>
    <row r="50" spans="1:23" ht="15">
      <c r="A50" s="182" t="str">
        <f t="shared" si="1"/>
        <v>Mitspieler 13</v>
      </c>
      <c r="B50" s="185">
        <v>280</v>
      </c>
      <c r="C50" s="185">
        <v>280</v>
      </c>
      <c r="D50" s="185"/>
      <c r="E50" s="185"/>
      <c r="F50" s="185"/>
      <c r="G50" s="185"/>
      <c r="H50" s="185"/>
      <c r="I50" s="185"/>
      <c r="J50" s="185"/>
      <c r="K50" s="185"/>
      <c r="L50" s="185"/>
      <c r="M50" s="185"/>
      <c r="N50" s="185"/>
      <c r="O50" s="185"/>
      <c r="P50" s="185"/>
      <c r="Q50" s="185"/>
      <c r="R50" s="185"/>
      <c r="S50" s="185"/>
      <c r="T50" s="185"/>
      <c r="U50" s="185"/>
      <c r="V50" s="185"/>
      <c r="W50" s="185"/>
    </row>
    <row r="51" spans="1:23" ht="15">
      <c r="A51" s="182" t="str">
        <f t="shared" si="1"/>
        <v>Mitspieler 14</v>
      </c>
      <c r="B51" s="185">
        <v>280</v>
      </c>
      <c r="C51" s="185">
        <v>280</v>
      </c>
      <c r="D51" s="185"/>
      <c r="E51" s="185"/>
      <c r="F51" s="185"/>
      <c r="G51" s="185"/>
      <c r="H51" s="185"/>
      <c r="I51" s="185"/>
      <c r="J51" s="185"/>
      <c r="K51" s="185"/>
      <c r="L51" s="185"/>
      <c r="M51" s="185"/>
      <c r="N51" s="185"/>
      <c r="O51" s="185"/>
      <c r="P51" s="185"/>
      <c r="Q51" s="185"/>
      <c r="R51" s="185"/>
      <c r="S51" s="185"/>
      <c r="T51" s="185"/>
      <c r="U51" s="185"/>
      <c r="V51" s="185"/>
      <c r="W51" s="185"/>
    </row>
    <row r="52" spans="1:23" ht="15">
      <c r="A52" s="182" t="str">
        <f t="shared" si="1"/>
        <v>Mitspieler 15</v>
      </c>
      <c r="B52" s="185">
        <v>280</v>
      </c>
      <c r="C52" s="185">
        <v>280</v>
      </c>
      <c r="D52" s="185"/>
      <c r="E52" s="185"/>
      <c r="F52" s="185"/>
      <c r="G52" s="185"/>
      <c r="H52" s="185"/>
      <c r="I52" s="185"/>
      <c r="J52" s="185"/>
      <c r="K52" s="185"/>
      <c r="L52" s="185"/>
      <c r="M52" s="185"/>
      <c r="N52" s="185"/>
      <c r="O52" s="185"/>
      <c r="P52" s="185"/>
      <c r="Q52" s="185"/>
      <c r="R52" s="185"/>
      <c r="S52" s="185"/>
      <c r="T52" s="185"/>
      <c r="U52" s="185"/>
      <c r="V52" s="185"/>
      <c r="W52" s="185"/>
    </row>
    <row r="53" spans="1:23" ht="15">
      <c r="A53" s="182" t="str">
        <f t="shared" si="1"/>
        <v>Mitspieler 16</v>
      </c>
      <c r="B53" s="185">
        <v>280</v>
      </c>
      <c r="C53" s="185">
        <v>280</v>
      </c>
      <c r="D53" s="185"/>
      <c r="E53" s="185"/>
      <c r="F53" s="185"/>
      <c r="G53" s="185"/>
      <c r="H53" s="185"/>
      <c r="I53" s="185"/>
      <c r="J53" s="185"/>
      <c r="K53" s="185"/>
      <c r="L53" s="185"/>
      <c r="M53" s="185"/>
      <c r="N53" s="185"/>
      <c r="O53" s="185"/>
      <c r="P53" s="185"/>
      <c r="Q53" s="185"/>
      <c r="R53" s="185"/>
      <c r="S53" s="185"/>
      <c r="T53" s="185"/>
      <c r="U53" s="185"/>
      <c r="V53" s="185"/>
      <c r="W53" s="185"/>
    </row>
    <row r="54" spans="1:23" ht="15">
      <c r="A54" s="182" t="str">
        <f t="shared" si="1"/>
        <v>Mitspieler 17</v>
      </c>
      <c r="B54" s="185">
        <v>280</v>
      </c>
      <c r="C54" s="185">
        <v>280</v>
      </c>
      <c r="D54" s="185"/>
      <c r="E54" s="185"/>
      <c r="F54" s="185"/>
      <c r="G54" s="185"/>
      <c r="H54" s="185"/>
      <c r="I54" s="185"/>
      <c r="J54" s="185"/>
      <c r="K54" s="185"/>
      <c r="L54" s="185"/>
      <c r="M54" s="185"/>
      <c r="N54" s="185"/>
      <c r="O54" s="185"/>
      <c r="P54" s="185"/>
      <c r="Q54" s="185"/>
      <c r="R54" s="185"/>
      <c r="S54" s="185"/>
      <c r="T54" s="185"/>
      <c r="U54" s="185"/>
      <c r="V54" s="185"/>
      <c r="W54" s="185"/>
    </row>
    <row r="55" spans="1:23" ht="15">
      <c r="A55" s="182" t="str">
        <f t="shared" si="1"/>
        <v>Mitspieler 18</v>
      </c>
      <c r="B55" s="185">
        <v>280</v>
      </c>
      <c r="C55" s="185">
        <v>280</v>
      </c>
      <c r="D55" s="185"/>
      <c r="E55" s="185"/>
      <c r="F55" s="185"/>
      <c r="G55" s="185"/>
      <c r="H55" s="185"/>
      <c r="I55" s="185"/>
      <c r="J55" s="185"/>
      <c r="K55" s="185"/>
      <c r="L55" s="185"/>
      <c r="M55" s="185"/>
      <c r="N55" s="185"/>
      <c r="O55" s="185"/>
      <c r="P55" s="185"/>
      <c r="Q55" s="185"/>
      <c r="R55" s="185"/>
      <c r="S55" s="185"/>
      <c r="T55" s="185"/>
      <c r="U55" s="185"/>
      <c r="V55" s="185"/>
      <c r="W55" s="185"/>
    </row>
    <row r="56" spans="1:23" ht="15">
      <c r="A56" s="182" t="str">
        <f t="shared" si="1"/>
        <v>Mitspieler 19</v>
      </c>
      <c r="B56" s="185">
        <v>280</v>
      </c>
      <c r="C56" s="185">
        <v>280</v>
      </c>
      <c r="D56" s="185"/>
      <c r="E56" s="185"/>
      <c r="F56" s="185"/>
      <c r="G56" s="185"/>
      <c r="H56" s="185"/>
      <c r="I56" s="185"/>
      <c r="J56" s="185"/>
      <c r="K56" s="185"/>
      <c r="L56" s="185"/>
      <c r="M56" s="185"/>
      <c r="N56" s="185"/>
      <c r="O56" s="185"/>
      <c r="P56" s="185"/>
      <c r="Q56" s="185"/>
      <c r="R56" s="185"/>
      <c r="S56" s="185"/>
      <c r="T56" s="185"/>
      <c r="U56" s="185"/>
      <c r="V56" s="185"/>
      <c r="W56" s="185"/>
    </row>
    <row r="57" spans="1:23" ht="15">
      <c r="A57" s="182" t="str">
        <f t="shared" si="1"/>
        <v>Mitspieler 20</v>
      </c>
      <c r="B57" s="185">
        <v>280</v>
      </c>
      <c r="C57" s="185">
        <v>280</v>
      </c>
      <c r="D57" s="185"/>
      <c r="E57" s="185"/>
      <c r="F57" s="185"/>
      <c r="G57" s="185"/>
      <c r="H57" s="185"/>
      <c r="I57" s="185"/>
      <c r="J57" s="185"/>
      <c r="K57" s="185"/>
      <c r="L57" s="185"/>
      <c r="M57" s="185"/>
      <c r="N57" s="185"/>
      <c r="O57" s="185"/>
      <c r="P57" s="185"/>
      <c r="Q57" s="185"/>
      <c r="R57" s="185"/>
      <c r="S57" s="185"/>
      <c r="T57" s="185"/>
      <c r="U57" s="185"/>
      <c r="V57" s="185"/>
      <c r="W57" s="185"/>
    </row>
    <row r="58" spans="1:23" ht="15">
      <c r="A58" s="182" t="str">
        <f t="shared" si="1"/>
        <v>Mitspieler 22</v>
      </c>
      <c r="B58" s="185">
        <v>280</v>
      </c>
      <c r="C58" s="185">
        <v>280</v>
      </c>
      <c r="D58" s="185"/>
      <c r="E58" s="185"/>
      <c r="F58" s="185"/>
      <c r="G58" s="185"/>
      <c r="H58" s="185"/>
      <c r="I58" s="185"/>
      <c r="J58" s="185"/>
      <c r="K58" s="185"/>
      <c r="L58" s="185"/>
      <c r="M58" s="185"/>
      <c r="N58" s="185"/>
      <c r="O58" s="185"/>
      <c r="P58" s="185"/>
      <c r="Q58" s="185"/>
      <c r="R58" s="185"/>
      <c r="S58" s="185"/>
      <c r="T58" s="185"/>
      <c r="U58" s="185"/>
      <c r="V58" s="185"/>
      <c r="W58" s="185"/>
    </row>
    <row r="59" spans="1:23" ht="15">
      <c r="A59" s="182" t="str">
        <f t="shared" si="1"/>
        <v>Mitspieler 22</v>
      </c>
      <c r="B59" s="185">
        <v>280</v>
      </c>
      <c r="C59" s="185">
        <v>280</v>
      </c>
      <c r="D59" s="185"/>
      <c r="E59" s="185"/>
      <c r="F59" s="185"/>
      <c r="G59" s="185"/>
      <c r="H59" s="185"/>
      <c r="I59" s="185"/>
      <c r="J59" s="185"/>
      <c r="K59" s="185"/>
      <c r="L59" s="185"/>
      <c r="M59" s="185"/>
      <c r="N59" s="185"/>
      <c r="O59" s="185"/>
      <c r="P59" s="185"/>
      <c r="Q59" s="185"/>
      <c r="R59" s="185"/>
      <c r="S59" s="185"/>
      <c r="T59" s="185"/>
      <c r="U59" s="185"/>
      <c r="V59" s="185"/>
      <c r="W59" s="185"/>
    </row>
    <row r="60" spans="1:23" ht="15">
      <c r="A60" s="182" t="str">
        <f t="shared" si="1"/>
        <v>Mitspieler 23</v>
      </c>
      <c r="B60" s="185">
        <v>280</v>
      </c>
      <c r="C60" s="185">
        <v>280</v>
      </c>
      <c r="D60" s="185"/>
      <c r="E60" s="185"/>
      <c r="F60" s="185"/>
      <c r="G60" s="185"/>
      <c r="H60" s="185"/>
      <c r="I60" s="185"/>
      <c r="J60" s="185"/>
      <c r="K60" s="185"/>
      <c r="L60" s="185"/>
      <c r="M60" s="185"/>
      <c r="N60" s="185"/>
      <c r="O60" s="185"/>
      <c r="P60" s="185"/>
      <c r="Q60" s="185"/>
      <c r="R60" s="185"/>
      <c r="S60" s="185"/>
      <c r="T60" s="185"/>
      <c r="U60" s="185"/>
      <c r="V60" s="185"/>
      <c r="W60" s="185"/>
    </row>
    <row r="61" spans="1:23" ht="15">
      <c r="A61" s="182" t="str">
        <f t="shared" si="1"/>
        <v>Mitspieler 24</v>
      </c>
      <c r="B61" s="185">
        <v>280</v>
      </c>
      <c r="C61" s="185">
        <v>280</v>
      </c>
      <c r="D61" s="185"/>
      <c r="E61" s="185"/>
      <c r="F61" s="185"/>
      <c r="G61" s="185"/>
      <c r="H61" s="185"/>
      <c r="I61" s="185"/>
      <c r="J61" s="185"/>
      <c r="K61" s="185"/>
      <c r="L61" s="185"/>
      <c r="M61" s="185"/>
      <c r="N61" s="185"/>
      <c r="O61" s="185"/>
      <c r="P61" s="185"/>
      <c r="Q61" s="185"/>
      <c r="R61" s="185"/>
      <c r="S61" s="185"/>
      <c r="T61" s="185"/>
      <c r="U61" s="185"/>
      <c r="V61" s="185"/>
      <c r="W61" s="185"/>
    </row>
    <row r="62" spans="1:23" ht="15">
      <c r="A62" s="182" t="str">
        <f t="shared" si="1"/>
        <v>Mitspieler 25</v>
      </c>
      <c r="B62" s="185">
        <v>280</v>
      </c>
      <c r="C62" s="185">
        <v>280</v>
      </c>
      <c r="D62" s="185"/>
      <c r="E62" s="185"/>
      <c r="F62" s="185"/>
      <c r="G62" s="185"/>
      <c r="H62" s="185"/>
      <c r="I62" s="185"/>
      <c r="J62" s="185"/>
      <c r="K62" s="185"/>
      <c r="L62" s="185"/>
      <c r="M62" s="185"/>
      <c r="N62" s="185"/>
      <c r="O62" s="185"/>
      <c r="P62" s="185"/>
      <c r="Q62" s="185"/>
      <c r="R62" s="185"/>
      <c r="S62" s="185"/>
      <c r="T62" s="185"/>
      <c r="U62" s="185"/>
      <c r="V62" s="185"/>
      <c r="W62" s="185"/>
    </row>
    <row r="63" spans="1:23" ht="15">
      <c r="A63" s="182" t="str">
        <f t="shared" si="1"/>
        <v>Mitspieler 26</v>
      </c>
      <c r="B63" s="185">
        <v>280</v>
      </c>
      <c r="C63" s="185">
        <v>280</v>
      </c>
      <c r="D63" s="185"/>
      <c r="E63" s="185"/>
      <c r="F63" s="185"/>
      <c r="G63" s="185"/>
      <c r="H63" s="185"/>
      <c r="I63" s="185"/>
      <c r="J63" s="185"/>
      <c r="K63" s="185"/>
      <c r="L63" s="185"/>
      <c r="M63" s="185"/>
      <c r="N63" s="185"/>
      <c r="O63" s="185"/>
      <c r="P63" s="185"/>
      <c r="Q63" s="185"/>
      <c r="R63" s="185"/>
      <c r="S63" s="185"/>
      <c r="T63" s="185"/>
      <c r="U63" s="185"/>
      <c r="V63" s="185"/>
      <c r="W63" s="185"/>
    </row>
    <row r="64" spans="1:23" ht="15">
      <c r="A64" s="182" t="str">
        <f t="shared" si="1"/>
        <v>Mitspieler 27</v>
      </c>
      <c r="B64" s="185">
        <v>280</v>
      </c>
      <c r="C64" s="185">
        <v>280</v>
      </c>
      <c r="D64" s="185"/>
      <c r="E64" s="185"/>
      <c r="F64" s="185"/>
      <c r="G64" s="185"/>
      <c r="H64" s="185"/>
      <c r="I64" s="185"/>
      <c r="J64" s="185"/>
      <c r="K64" s="185"/>
      <c r="L64" s="185"/>
      <c r="M64" s="185"/>
      <c r="N64" s="185"/>
      <c r="O64" s="185"/>
      <c r="P64" s="185"/>
      <c r="Q64" s="185"/>
      <c r="R64" s="185"/>
      <c r="S64" s="185"/>
      <c r="T64" s="185"/>
      <c r="U64" s="185"/>
      <c r="V64" s="185"/>
      <c r="W64" s="185"/>
    </row>
    <row r="65" spans="1:23" ht="15">
      <c r="A65" s="182" t="str">
        <f t="shared" si="1"/>
        <v>Mitspieler 28</v>
      </c>
      <c r="B65" s="185">
        <v>280</v>
      </c>
      <c r="C65" s="185">
        <v>280</v>
      </c>
      <c r="D65" s="185"/>
      <c r="E65" s="185"/>
      <c r="F65" s="185"/>
      <c r="G65" s="185"/>
      <c r="H65" s="185"/>
      <c r="I65" s="185"/>
      <c r="J65" s="185"/>
      <c r="K65" s="185"/>
      <c r="L65" s="185"/>
      <c r="M65" s="185"/>
      <c r="N65" s="185"/>
      <c r="O65" s="185"/>
      <c r="P65" s="185"/>
      <c r="Q65" s="185"/>
      <c r="R65" s="185"/>
      <c r="S65" s="185"/>
      <c r="T65" s="185"/>
      <c r="U65" s="185"/>
      <c r="V65" s="185"/>
      <c r="W65" s="185"/>
    </row>
    <row r="66" spans="1:23" ht="15">
      <c r="A66" s="182" t="str">
        <f t="shared" si="1"/>
        <v>Rangliste</v>
      </c>
      <c r="B66" s="185">
        <v>268</v>
      </c>
      <c r="C66" s="185">
        <v>268</v>
      </c>
      <c r="D66" s="185"/>
      <c r="E66" s="185"/>
      <c r="F66" s="185"/>
      <c r="G66" s="185"/>
      <c r="H66" s="185"/>
      <c r="I66" s="185"/>
      <c r="J66" s="185"/>
      <c r="K66" s="185"/>
      <c r="L66" s="185"/>
      <c r="M66" s="185"/>
      <c r="N66" s="185"/>
      <c r="O66" s="185"/>
      <c r="P66" s="185"/>
      <c r="Q66" s="185"/>
      <c r="R66" s="185"/>
      <c r="S66" s="185"/>
      <c r="T66" s="185"/>
      <c r="U66" s="185"/>
      <c r="V66" s="185"/>
      <c r="W66" s="185"/>
    </row>
    <row r="67" spans="1:23" ht="15">
      <c r="A67" s="182" t="str">
        <f t="shared" si="1"/>
        <v>Fest</v>
      </c>
      <c r="B67" s="185">
        <v>285</v>
      </c>
      <c r="C67" s="185">
        <v>285</v>
      </c>
      <c r="D67" s="185"/>
      <c r="E67" s="185"/>
      <c r="F67" s="185"/>
      <c r="G67" s="185"/>
      <c r="H67" s="185"/>
      <c r="I67" s="185"/>
      <c r="J67" s="185"/>
      <c r="K67" s="185"/>
      <c r="L67" s="185"/>
      <c r="M67" s="185"/>
      <c r="N67" s="185"/>
      <c r="O67" s="185"/>
      <c r="P67" s="185"/>
      <c r="Q67" s="185"/>
      <c r="R67" s="185"/>
      <c r="S67" s="185"/>
      <c r="T67" s="185"/>
      <c r="U67" s="185"/>
      <c r="V67" s="185"/>
      <c r="W67" s="185"/>
    </row>
    <row r="68" spans="1:23" ht="15">
      <c r="A68" s="182" t="str">
        <f t="shared" si="1"/>
        <v>Random</v>
      </c>
      <c r="B68" s="185">
        <v>265</v>
      </c>
      <c r="C68" s="185">
        <v>265</v>
      </c>
      <c r="D68" s="185"/>
      <c r="E68" s="185"/>
      <c r="F68" s="185"/>
      <c r="G68" s="185"/>
      <c r="H68" s="185"/>
      <c r="I68" s="185"/>
      <c r="J68" s="185"/>
      <c r="K68" s="185"/>
      <c r="L68" s="185"/>
      <c r="M68" s="185"/>
      <c r="N68" s="185"/>
      <c r="O68" s="185"/>
      <c r="P68" s="185"/>
      <c r="Q68" s="185"/>
      <c r="R68" s="185"/>
      <c r="S68" s="185"/>
      <c r="T68" s="185"/>
      <c r="U68" s="185"/>
      <c r="V68" s="185"/>
      <c r="W68" s="185"/>
    </row>
    <row r="71" spans="1:23">
      <c r="A71" s="209" t="s">
        <v>195</v>
      </c>
      <c r="B71" s="184" t="s">
        <v>86</v>
      </c>
      <c r="C71" s="184" t="s">
        <v>196</v>
      </c>
      <c r="D71" s="184"/>
      <c r="E71" s="184"/>
      <c r="F71" s="184"/>
      <c r="G71" s="184"/>
      <c r="H71" s="184"/>
      <c r="I71" s="184"/>
      <c r="J71" s="184"/>
      <c r="K71" s="184"/>
      <c r="L71" s="184"/>
      <c r="M71" s="184"/>
      <c r="N71" s="184"/>
      <c r="O71" s="184"/>
      <c r="P71" s="184"/>
      <c r="Q71" s="184"/>
      <c r="R71" s="184"/>
      <c r="S71" s="184"/>
      <c r="T71" s="184"/>
      <c r="U71" s="184"/>
      <c r="V71" s="184"/>
      <c r="W71" s="184"/>
    </row>
    <row r="72" spans="1:23" ht="15">
      <c r="A72" s="182" t="str">
        <f t="shared" ref="A72:A103" si="2">A37</f>
        <v>Bernd Schubert</v>
      </c>
      <c r="B72" s="210">
        <f>SUM(C72:X72)</f>
        <v>0</v>
      </c>
      <c r="C72" s="210">
        <f>C37-B37</f>
        <v>0</v>
      </c>
      <c r="D72" s="185"/>
      <c r="E72" s="185"/>
      <c r="F72" s="185"/>
      <c r="G72" s="185"/>
      <c r="H72" s="185"/>
      <c r="I72" s="185"/>
      <c r="J72" s="185"/>
      <c r="K72" s="185"/>
      <c r="L72" s="185"/>
      <c r="M72" s="185"/>
      <c r="N72" s="185"/>
      <c r="O72" s="185"/>
      <c r="P72" s="185"/>
      <c r="Q72" s="185"/>
      <c r="R72" s="185"/>
      <c r="S72" s="185"/>
      <c r="T72" s="185"/>
      <c r="U72" s="185"/>
      <c r="V72" s="185"/>
      <c r="W72" s="185"/>
    </row>
    <row r="73" spans="1:23" ht="15">
      <c r="A73" s="182" t="str">
        <f t="shared" si="2"/>
        <v>Mitspieler 1</v>
      </c>
      <c r="B73" s="210">
        <f t="shared" ref="B73:B103" si="3">SUM(C73:X73)</f>
        <v>0</v>
      </c>
      <c r="C73" s="210">
        <f t="shared" ref="C73:C103" si="4">C38-B38</f>
        <v>0</v>
      </c>
      <c r="D73" s="185"/>
      <c r="E73" s="185"/>
      <c r="F73" s="185"/>
      <c r="G73" s="185"/>
      <c r="H73" s="185"/>
      <c r="I73" s="185"/>
      <c r="J73" s="185"/>
      <c r="K73" s="185"/>
      <c r="L73" s="185"/>
      <c r="M73" s="185"/>
      <c r="N73" s="185"/>
      <c r="O73" s="185"/>
      <c r="P73" s="185"/>
      <c r="Q73" s="185"/>
      <c r="R73" s="185"/>
      <c r="S73" s="185"/>
      <c r="T73" s="185"/>
      <c r="U73" s="185"/>
      <c r="V73" s="185"/>
      <c r="W73" s="185"/>
    </row>
    <row r="74" spans="1:23" ht="15">
      <c r="A74" s="182" t="str">
        <f t="shared" si="2"/>
        <v>Mitspieler 2</v>
      </c>
      <c r="B74" s="210">
        <f t="shared" si="3"/>
        <v>0</v>
      </c>
      <c r="C74" s="210">
        <f t="shared" si="4"/>
        <v>0</v>
      </c>
      <c r="D74" s="185"/>
      <c r="E74" s="185"/>
      <c r="F74" s="185"/>
      <c r="G74" s="185"/>
      <c r="H74" s="185"/>
      <c r="I74" s="185"/>
      <c r="J74" s="185"/>
      <c r="K74" s="185"/>
      <c r="L74" s="185"/>
      <c r="M74" s="185"/>
      <c r="N74" s="185"/>
      <c r="O74" s="185"/>
      <c r="P74" s="185"/>
      <c r="Q74" s="185"/>
      <c r="R74" s="185"/>
      <c r="S74" s="185"/>
      <c r="T74" s="185"/>
      <c r="U74" s="185"/>
      <c r="V74" s="185"/>
      <c r="W74" s="185"/>
    </row>
    <row r="75" spans="1:23" ht="15">
      <c r="A75" s="182" t="str">
        <f t="shared" si="2"/>
        <v>Mitspieler 3</v>
      </c>
      <c r="B75" s="210">
        <f t="shared" si="3"/>
        <v>0</v>
      </c>
      <c r="C75" s="210">
        <f t="shared" si="4"/>
        <v>0</v>
      </c>
      <c r="D75" s="185"/>
      <c r="E75" s="185"/>
      <c r="F75" s="185"/>
      <c r="G75" s="185"/>
      <c r="H75" s="185"/>
      <c r="I75" s="185"/>
      <c r="J75" s="185"/>
      <c r="K75" s="185"/>
      <c r="L75" s="185"/>
      <c r="M75" s="185"/>
      <c r="N75" s="185"/>
      <c r="O75" s="185"/>
      <c r="P75" s="185"/>
      <c r="Q75" s="185"/>
      <c r="R75" s="185"/>
      <c r="S75" s="185"/>
      <c r="T75" s="185"/>
      <c r="U75" s="185"/>
      <c r="V75" s="185"/>
      <c r="W75" s="185"/>
    </row>
    <row r="76" spans="1:23" ht="15">
      <c r="A76" s="182" t="str">
        <f t="shared" si="2"/>
        <v>Mitspieler 4</v>
      </c>
      <c r="B76" s="210">
        <f t="shared" si="3"/>
        <v>0</v>
      </c>
      <c r="C76" s="210">
        <f t="shared" si="4"/>
        <v>0</v>
      </c>
      <c r="D76" s="185"/>
      <c r="E76" s="185"/>
      <c r="F76" s="185"/>
      <c r="G76" s="185"/>
      <c r="H76" s="185"/>
      <c r="I76" s="185"/>
      <c r="J76" s="185"/>
      <c r="K76" s="185"/>
      <c r="L76" s="185"/>
      <c r="M76" s="185"/>
      <c r="N76" s="185"/>
      <c r="O76" s="185"/>
      <c r="P76" s="185"/>
      <c r="Q76" s="185"/>
      <c r="R76" s="185"/>
      <c r="S76" s="185"/>
      <c r="T76" s="185"/>
      <c r="U76" s="185"/>
      <c r="V76" s="185"/>
      <c r="W76" s="185"/>
    </row>
    <row r="77" spans="1:23" ht="15">
      <c r="A77" s="182" t="str">
        <f t="shared" si="2"/>
        <v>Mitspieler 5</v>
      </c>
      <c r="B77" s="210">
        <f t="shared" si="3"/>
        <v>0</v>
      </c>
      <c r="C77" s="210">
        <f t="shared" si="4"/>
        <v>0</v>
      </c>
      <c r="D77" s="185"/>
      <c r="E77" s="185"/>
      <c r="F77" s="185"/>
      <c r="G77" s="185"/>
      <c r="H77" s="185"/>
      <c r="I77" s="185"/>
      <c r="J77" s="185"/>
      <c r="K77" s="185"/>
      <c r="L77" s="185"/>
      <c r="M77" s="185"/>
      <c r="N77" s="185"/>
      <c r="O77" s="185"/>
      <c r="P77" s="185"/>
      <c r="Q77" s="185"/>
      <c r="R77" s="185"/>
      <c r="S77" s="185"/>
      <c r="T77" s="185"/>
      <c r="U77" s="185"/>
      <c r="V77" s="185"/>
      <c r="W77" s="185"/>
    </row>
    <row r="78" spans="1:23" ht="15">
      <c r="A78" s="182" t="str">
        <f t="shared" si="2"/>
        <v>Mitspieler 6</v>
      </c>
      <c r="B78" s="210">
        <f t="shared" si="3"/>
        <v>0</v>
      </c>
      <c r="C78" s="210">
        <f t="shared" si="4"/>
        <v>0</v>
      </c>
      <c r="D78" s="185"/>
      <c r="E78" s="185"/>
      <c r="F78" s="185"/>
      <c r="G78" s="185"/>
      <c r="H78" s="185"/>
      <c r="I78" s="185"/>
      <c r="J78" s="185"/>
      <c r="K78" s="185"/>
      <c r="L78" s="185"/>
      <c r="M78" s="185"/>
      <c r="N78" s="185"/>
      <c r="O78" s="185"/>
      <c r="P78" s="185"/>
      <c r="Q78" s="185"/>
      <c r="R78" s="185"/>
      <c r="S78" s="185"/>
      <c r="T78" s="185"/>
      <c r="U78" s="185"/>
      <c r="V78" s="185"/>
      <c r="W78" s="185"/>
    </row>
    <row r="79" spans="1:23" ht="15">
      <c r="A79" s="182" t="str">
        <f t="shared" si="2"/>
        <v>Mitspieler 7</v>
      </c>
      <c r="B79" s="210">
        <f t="shared" si="3"/>
        <v>0</v>
      </c>
      <c r="C79" s="210">
        <f t="shared" si="4"/>
        <v>0</v>
      </c>
      <c r="D79" s="185"/>
      <c r="E79" s="185"/>
      <c r="F79" s="185"/>
      <c r="G79" s="185"/>
      <c r="H79" s="185"/>
      <c r="I79" s="185"/>
      <c r="J79" s="185"/>
      <c r="K79" s="185"/>
      <c r="L79" s="185"/>
      <c r="M79" s="185"/>
      <c r="N79" s="185"/>
      <c r="O79" s="185"/>
      <c r="P79" s="185"/>
      <c r="Q79" s="185"/>
      <c r="R79" s="185"/>
      <c r="S79" s="185"/>
      <c r="T79" s="185"/>
      <c r="U79" s="185"/>
      <c r="V79" s="185"/>
      <c r="W79" s="185"/>
    </row>
    <row r="80" spans="1:23" ht="15">
      <c r="A80" s="182" t="str">
        <f t="shared" si="2"/>
        <v>Mitspieler 8</v>
      </c>
      <c r="B80" s="210">
        <f t="shared" si="3"/>
        <v>0</v>
      </c>
      <c r="C80" s="210">
        <f t="shared" si="4"/>
        <v>0</v>
      </c>
      <c r="D80" s="185"/>
      <c r="E80" s="185"/>
      <c r="F80" s="185"/>
      <c r="G80" s="185"/>
      <c r="H80" s="185"/>
      <c r="I80" s="185"/>
      <c r="J80" s="185"/>
      <c r="K80" s="185"/>
      <c r="L80" s="185"/>
      <c r="M80" s="185"/>
      <c r="N80" s="185"/>
      <c r="O80" s="185"/>
      <c r="P80" s="185"/>
      <c r="Q80" s="185"/>
      <c r="R80" s="185"/>
      <c r="S80" s="185"/>
      <c r="T80" s="185"/>
      <c r="U80" s="185"/>
      <c r="V80" s="185"/>
      <c r="W80" s="185"/>
    </row>
    <row r="81" spans="1:23" ht="15">
      <c r="A81" s="182" t="str">
        <f t="shared" si="2"/>
        <v>Mitspieler 9</v>
      </c>
      <c r="B81" s="210" t="e">
        <f t="shared" si="3"/>
        <v>#N/A</v>
      </c>
      <c r="C81" s="210" t="e">
        <f t="shared" si="4"/>
        <v>#N/A</v>
      </c>
      <c r="D81" s="185"/>
      <c r="E81" s="185"/>
      <c r="F81" s="185"/>
      <c r="G81" s="185"/>
      <c r="H81" s="185"/>
      <c r="I81" s="185"/>
      <c r="J81" s="185"/>
      <c r="K81" s="185"/>
      <c r="L81" s="185"/>
      <c r="M81" s="185"/>
      <c r="N81" s="185"/>
      <c r="O81" s="185"/>
      <c r="P81" s="185"/>
      <c r="Q81" s="185"/>
      <c r="R81" s="185"/>
      <c r="S81" s="185"/>
      <c r="T81" s="185"/>
      <c r="U81" s="185"/>
      <c r="V81" s="185"/>
      <c r="W81" s="185"/>
    </row>
    <row r="82" spans="1:23" ht="15">
      <c r="A82" s="182" t="str">
        <f t="shared" si="2"/>
        <v>Mitspieler 10</v>
      </c>
      <c r="B82" s="210">
        <f t="shared" si="3"/>
        <v>0</v>
      </c>
      <c r="C82" s="210">
        <f t="shared" si="4"/>
        <v>0</v>
      </c>
      <c r="D82" s="185"/>
      <c r="E82" s="185"/>
      <c r="F82" s="185"/>
      <c r="G82" s="185"/>
      <c r="H82" s="185"/>
      <c r="I82" s="185"/>
      <c r="J82" s="185"/>
      <c r="K82" s="185"/>
      <c r="L82" s="185"/>
      <c r="M82" s="185"/>
      <c r="N82" s="185"/>
      <c r="O82" s="185"/>
      <c r="P82" s="185"/>
      <c r="Q82" s="185"/>
      <c r="R82" s="185"/>
      <c r="S82" s="185"/>
      <c r="T82" s="185"/>
      <c r="U82" s="185"/>
      <c r="V82" s="185"/>
      <c r="W82" s="185"/>
    </row>
    <row r="83" spans="1:23" ht="15">
      <c r="A83" s="182" t="str">
        <f t="shared" si="2"/>
        <v>Mitspieler 11</v>
      </c>
      <c r="B83" s="210">
        <f t="shared" si="3"/>
        <v>0</v>
      </c>
      <c r="C83" s="210">
        <f t="shared" si="4"/>
        <v>0</v>
      </c>
      <c r="D83" s="185"/>
      <c r="E83" s="185"/>
      <c r="F83" s="185"/>
      <c r="G83" s="185"/>
      <c r="H83" s="185"/>
      <c r="I83" s="185"/>
      <c r="J83" s="185"/>
      <c r="K83" s="185"/>
      <c r="L83" s="185"/>
      <c r="M83" s="185"/>
      <c r="N83" s="185"/>
      <c r="O83" s="185"/>
      <c r="P83" s="185"/>
      <c r="Q83" s="185"/>
      <c r="R83" s="185"/>
      <c r="S83" s="185"/>
      <c r="T83" s="185"/>
      <c r="U83" s="185"/>
      <c r="V83" s="185"/>
      <c r="W83" s="185"/>
    </row>
    <row r="84" spans="1:23" ht="15">
      <c r="A84" s="182" t="str">
        <f t="shared" si="2"/>
        <v>Mitspieler 12</v>
      </c>
      <c r="B84" s="210">
        <f t="shared" si="3"/>
        <v>0</v>
      </c>
      <c r="C84" s="210">
        <f t="shared" si="4"/>
        <v>0</v>
      </c>
      <c r="D84" s="185"/>
      <c r="E84" s="185"/>
      <c r="F84" s="185"/>
      <c r="G84" s="185"/>
      <c r="H84" s="185"/>
      <c r="I84" s="185"/>
      <c r="J84" s="185"/>
      <c r="K84" s="185"/>
      <c r="L84" s="185"/>
      <c r="M84" s="185"/>
      <c r="N84" s="185"/>
      <c r="O84" s="185"/>
      <c r="P84" s="185"/>
      <c r="Q84" s="185"/>
      <c r="R84" s="185"/>
      <c r="S84" s="185"/>
      <c r="T84" s="185"/>
      <c r="U84" s="185"/>
      <c r="V84" s="185"/>
      <c r="W84" s="185"/>
    </row>
    <row r="85" spans="1:23" ht="15">
      <c r="A85" s="182" t="str">
        <f t="shared" si="2"/>
        <v>Mitspieler 13</v>
      </c>
      <c r="B85" s="210">
        <f t="shared" si="3"/>
        <v>0</v>
      </c>
      <c r="C85" s="210">
        <f t="shared" si="4"/>
        <v>0</v>
      </c>
      <c r="D85" s="185"/>
      <c r="E85" s="185"/>
      <c r="F85" s="185"/>
      <c r="G85" s="185"/>
      <c r="H85" s="185"/>
      <c r="I85" s="185"/>
      <c r="J85" s="185"/>
      <c r="K85" s="185"/>
      <c r="L85" s="185"/>
      <c r="M85" s="185"/>
      <c r="N85" s="185"/>
      <c r="O85" s="185"/>
      <c r="P85" s="185"/>
      <c r="Q85" s="185"/>
      <c r="R85" s="185"/>
      <c r="S85" s="185"/>
      <c r="T85" s="185"/>
      <c r="U85" s="185"/>
      <c r="V85" s="185"/>
      <c r="W85" s="185"/>
    </row>
    <row r="86" spans="1:23" ht="15">
      <c r="A86" s="182" t="str">
        <f t="shared" si="2"/>
        <v>Mitspieler 14</v>
      </c>
      <c r="B86" s="210">
        <f t="shared" si="3"/>
        <v>0</v>
      </c>
      <c r="C86" s="210">
        <f t="shared" si="4"/>
        <v>0</v>
      </c>
      <c r="D86" s="185"/>
      <c r="E86" s="185"/>
      <c r="F86" s="185"/>
      <c r="G86" s="185"/>
      <c r="H86" s="185"/>
      <c r="I86" s="185"/>
      <c r="J86" s="185"/>
      <c r="K86" s="185"/>
      <c r="L86" s="185"/>
      <c r="M86" s="185"/>
      <c r="N86" s="185"/>
      <c r="O86" s="185"/>
      <c r="P86" s="185"/>
      <c r="Q86" s="185"/>
      <c r="R86" s="185"/>
      <c r="S86" s="185"/>
      <c r="T86" s="185"/>
      <c r="U86" s="185"/>
      <c r="V86" s="185"/>
      <c r="W86" s="185"/>
    </row>
    <row r="87" spans="1:23" ht="15">
      <c r="A87" s="182" t="str">
        <f t="shared" si="2"/>
        <v>Mitspieler 15</v>
      </c>
      <c r="B87" s="210">
        <f t="shared" si="3"/>
        <v>0</v>
      </c>
      <c r="C87" s="210">
        <f t="shared" si="4"/>
        <v>0</v>
      </c>
      <c r="D87" s="185"/>
      <c r="E87" s="185"/>
      <c r="F87" s="185"/>
      <c r="G87" s="185"/>
      <c r="H87" s="185"/>
      <c r="I87" s="185"/>
      <c r="J87" s="185"/>
      <c r="K87" s="185"/>
      <c r="L87" s="185"/>
      <c r="M87" s="185"/>
      <c r="N87" s="185"/>
      <c r="O87" s="185"/>
      <c r="P87" s="185"/>
      <c r="Q87" s="185"/>
      <c r="R87" s="185"/>
      <c r="S87" s="185"/>
      <c r="T87" s="185"/>
      <c r="U87" s="185"/>
      <c r="V87" s="185"/>
      <c r="W87" s="185"/>
    </row>
    <row r="88" spans="1:23" ht="15">
      <c r="A88" s="182" t="str">
        <f t="shared" si="2"/>
        <v>Mitspieler 16</v>
      </c>
      <c r="B88" s="210">
        <f t="shared" si="3"/>
        <v>0</v>
      </c>
      <c r="C88" s="210">
        <f t="shared" si="4"/>
        <v>0</v>
      </c>
      <c r="D88" s="185"/>
      <c r="E88" s="185"/>
      <c r="F88" s="185"/>
      <c r="G88" s="185"/>
      <c r="H88" s="185"/>
      <c r="I88" s="185"/>
      <c r="J88" s="185"/>
      <c r="K88" s="185"/>
      <c r="L88" s="185"/>
      <c r="M88" s="185"/>
      <c r="N88" s="185"/>
      <c r="O88" s="185"/>
      <c r="P88" s="185"/>
      <c r="Q88" s="185"/>
      <c r="R88" s="185"/>
      <c r="S88" s="185"/>
      <c r="T88" s="185"/>
      <c r="U88" s="185"/>
      <c r="V88" s="185"/>
      <c r="W88" s="185"/>
    </row>
    <row r="89" spans="1:23" ht="15">
      <c r="A89" s="182" t="str">
        <f t="shared" si="2"/>
        <v>Mitspieler 17</v>
      </c>
      <c r="B89" s="210">
        <f t="shared" si="3"/>
        <v>0</v>
      </c>
      <c r="C89" s="210">
        <f t="shared" si="4"/>
        <v>0</v>
      </c>
      <c r="D89" s="185"/>
      <c r="E89" s="185"/>
      <c r="F89" s="185"/>
      <c r="G89" s="185"/>
      <c r="H89" s="185"/>
      <c r="I89" s="185"/>
      <c r="J89" s="185"/>
      <c r="K89" s="185"/>
      <c r="L89" s="185"/>
      <c r="M89" s="185"/>
      <c r="N89" s="185"/>
      <c r="O89" s="185"/>
      <c r="P89" s="185"/>
      <c r="Q89" s="185"/>
      <c r="R89" s="185"/>
      <c r="S89" s="185"/>
      <c r="T89" s="185"/>
      <c r="U89" s="185"/>
      <c r="V89" s="185"/>
      <c r="W89" s="185"/>
    </row>
    <row r="90" spans="1:23" ht="15">
      <c r="A90" s="182" t="str">
        <f t="shared" si="2"/>
        <v>Mitspieler 18</v>
      </c>
      <c r="B90" s="210">
        <f t="shared" si="3"/>
        <v>0</v>
      </c>
      <c r="C90" s="210">
        <f t="shared" si="4"/>
        <v>0</v>
      </c>
      <c r="D90" s="185"/>
      <c r="E90" s="185"/>
      <c r="F90" s="185"/>
      <c r="G90" s="185"/>
      <c r="H90" s="185"/>
      <c r="I90" s="185"/>
      <c r="J90" s="185"/>
      <c r="K90" s="185"/>
      <c r="L90" s="185"/>
      <c r="M90" s="185"/>
      <c r="N90" s="185"/>
      <c r="O90" s="185"/>
      <c r="P90" s="185"/>
      <c r="Q90" s="185"/>
      <c r="R90" s="185"/>
      <c r="S90" s="185"/>
      <c r="T90" s="185"/>
      <c r="U90" s="185"/>
      <c r="V90" s="185"/>
      <c r="W90" s="185"/>
    </row>
    <row r="91" spans="1:23" ht="15">
      <c r="A91" s="182" t="str">
        <f t="shared" si="2"/>
        <v>Mitspieler 19</v>
      </c>
      <c r="B91" s="210">
        <f t="shared" si="3"/>
        <v>0</v>
      </c>
      <c r="C91" s="210">
        <f t="shared" si="4"/>
        <v>0</v>
      </c>
      <c r="D91" s="185"/>
      <c r="E91" s="185"/>
      <c r="F91" s="185"/>
      <c r="G91" s="185"/>
      <c r="H91" s="185"/>
      <c r="I91" s="185"/>
      <c r="J91" s="185"/>
      <c r="K91" s="185"/>
      <c r="L91" s="185"/>
      <c r="M91" s="185"/>
      <c r="N91" s="185"/>
      <c r="O91" s="185"/>
      <c r="P91" s="185"/>
      <c r="Q91" s="185"/>
      <c r="R91" s="185"/>
      <c r="S91" s="185"/>
      <c r="T91" s="185"/>
      <c r="U91" s="185"/>
      <c r="V91" s="185"/>
      <c r="W91" s="185"/>
    </row>
    <row r="92" spans="1:23" ht="15">
      <c r="A92" s="182" t="str">
        <f t="shared" si="2"/>
        <v>Mitspieler 20</v>
      </c>
      <c r="B92" s="210">
        <f t="shared" si="3"/>
        <v>0</v>
      </c>
      <c r="C92" s="210">
        <f t="shared" si="4"/>
        <v>0</v>
      </c>
      <c r="D92" s="185"/>
      <c r="E92" s="185"/>
      <c r="F92" s="185"/>
      <c r="G92" s="185"/>
      <c r="H92" s="185"/>
      <c r="I92" s="185"/>
      <c r="J92" s="185"/>
      <c r="K92" s="185"/>
      <c r="L92" s="185"/>
      <c r="M92" s="185"/>
      <c r="N92" s="185"/>
      <c r="O92" s="185"/>
      <c r="P92" s="185"/>
      <c r="Q92" s="185"/>
      <c r="R92" s="185"/>
      <c r="S92" s="185"/>
      <c r="T92" s="185"/>
      <c r="U92" s="185"/>
      <c r="V92" s="185"/>
      <c r="W92" s="185"/>
    </row>
    <row r="93" spans="1:23" ht="15">
      <c r="A93" s="182" t="str">
        <f t="shared" si="2"/>
        <v>Mitspieler 22</v>
      </c>
      <c r="B93" s="210">
        <f t="shared" si="3"/>
        <v>0</v>
      </c>
      <c r="C93" s="210">
        <f t="shared" si="4"/>
        <v>0</v>
      </c>
      <c r="D93" s="185"/>
      <c r="E93" s="185"/>
      <c r="F93" s="185"/>
      <c r="G93" s="185"/>
      <c r="H93" s="185"/>
      <c r="I93" s="185"/>
      <c r="J93" s="185"/>
      <c r="K93" s="185"/>
      <c r="L93" s="185"/>
      <c r="M93" s="185"/>
      <c r="N93" s="185"/>
      <c r="O93" s="185"/>
      <c r="P93" s="185"/>
      <c r="Q93" s="185"/>
      <c r="R93" s="185"/>
      <c r="S93" s="185"/>
      <c r="T93" s="185"/>
      <c r="U93" s="185"/>
      <c r="V93" s="185"/>
      <c r="W93" s="185"/>
    </row>
    <row r="94" spans="1:23" ht="15">
      <c r="A94" s="182" t="str">
        <f t="shared" si="2"/>
        <v>Mitspieler 22</v>
      </c>
      <c r="B94" s="210">
        <f t="shared" si="3"/>
        <v>0</v>
      </c>
      <c r="C94" s="210">
        <f t="shared" si="4"/>
        <v>0</v>
      </c>
      <c r="D94" s="185"/>
      <c r="E94" s="185"/>
      <c r="F94" s="185"/>
      <c r="G94" s="185"/>
      <c r="H94" s="185"/>
      <c r="I94" s="185"/>
      <c r="J94" s="185"/>
      <c r="K94" s="185"/>
      <c r="L94" s="185"/>
      <c r="M94" s="185"/>
      <c r="N94" s="185"/>
      <c r="O94" s="185"/>
      <c r="P94" s="185"/>
      <c r="Q94" s="185"/>
      <c r="R94" s="185"/>
      <c r="S94" s="185"/>
      <c r="T94" s="185"/>
      <c r="U94" s="185"/>
      <c r="V94" s="185"/>
      <c r="W94" s="185"/>
    </row>
    <row r="95" spans="1:23" ht="15">
      <c r="A95" s="182" t="str">
        <f t="shared" si="2"/>
        <v>Mitspieler 23</v>
      </c>
      <c r="B95" s="210">
        <f t="shared" si="3"/>
        <v>0</v>
      </c>
      <c r="C95" s="210">
        <f t="shared" si="4"/>
        <v>0</v>
      </c>
      <c r="D95" s="185"/>
      <c r="E95" s="185"/>
      <c r="F95" s="185"/>
      <c r="G95" s="185"/>
      <c r="H95" s="185"/>
      <c r="I95" s="185"/>
      <c r="J95" s="185"/>
      <c r="K95" s="185"/>
      <c r="L95" s="185"/>
      <c r="M95" s="185"/>
      <c r="N95" s="185"/>
      <c r="O95" s="185"/>
      <c r="P95" s="185"/>
      <c r="Q95" s="185"/>
      <c r="R95" s="185"/>
      <c r="S95" s="185"/>
      <c r="T95" s="185"/>
      <c r="U95" s="185"/>
      <c r="V95" s="185"/>
      <c r="W95" s="185"/>
    </row>
    <row r="96" spans="1:23" ht="15">
      <c r="A96" s="182" t="str">
        <f t="shared" si="2"/>
        <v>Mitspieler 24</v>
      </c>
      <c r="B96" s="210">
        <f t="shared" si="3"/>
        <v>0</v>
      </c>
      <c r="C96" s="210">
        <f t="shared" si="4"/>
        <v>0</v>
      </c>
      <c r="D96" s="185"/>
      <c r="E96" s="185"/>
      <c r="F96" s="185"/>
      <c r="G96" s="185"/>
      <c r="H96" s="185"/>
      <c r="I96" s="185"/>
      <c r="J96" s="185"/>
      <c r="K96" s="185"/>
      <c r="L96" s="185"/>
      <c r="M96" s="185"/>
      <c r="N96" s="185"/>
      <c r="O96" s="185"/>
      <c r="P96" s="185"/>
      <c r="Q96" s="185"/>
      <c r="R96" s="185"/>
      <c r="S96" s="185"/>
      <c r="T96" s="185"/>
      <c r="U96" s="185"/>
      <c r="V96" s="185"/>
      <c r="W96" s="185"/>
    </row>
    <row r="97" spans="1:23" ht="15">
      <c r="A97" s="182" t="str">
        <f t="shared" si="2"/>
        <v>Mitspieler 25</v>
      </c>
      <c r="B97" s="210">
        <f t="shared" si="3"/>
        <v>0</v>
      </c>
      <c r="C97" s="210">
        <f t="shared" si="4"/>
        <v>0</v>
      </c>
      <c r="D97" s="185"/>
      <c r="E97" s="185"/>
      <c r="F97" s="185"/>
      <c r="G97" s="185"/>
      <c r="H97" s="185"/>
      <c r="I97" s="185"/>
      <c r="J97" s="185"/>
      <c r="K97" s="185"/>
      <c r="L97" s="185"/>
      <c r="M97" s="185"/>
      <c r="N97" s="185"/>
      <c r="O97" s="185"/>
      <c r="P97" s="185"/>
      <c r="Q97" s="185"/>
      <c r="R97" s="185"/>
      <c r="S97" s="185"/>
      <c r="T97" s="185"/>
      <c r="U97" s="185"/>
      <c r="V97" s="185"/>
      <c r="W97" s="185"/>
    </row>
    <row r="98" spans="1:23" ht="15">
      <c r="A98" s="182" t="str">
        <f t="shared" si="2"/>
        <v>Mitspieler 26</v>
      </c>
      <c r="B98" s="210">
        <f t="shared" si="3"/>
        <v>0</v>
      </c>
      <c r="C98" s="210">
        <f t="shared" si="4"/>
        <v>0</v>
      </c>
      <c r="D98" s="185"/>
      <c r="E98" s="185"/>
      <c r="F98" s="185"/>
      <c r="G98" s="185"/>
      <c r="H98" s="185"/>
      <c r="I98" s="185"/>
      <c r="J98" s="185"/>
      <c r="K98" s="185"/>
      <c r="L98" s="185"/>
      <c r="M98" s="185"/>
      <c r="N98" s="185"/>
      <c r="O98" s="185"/>
      <c r="P98" s="185"/>
      <c r="Q98" s="185"/>
      <c r="R98" s="185"/>
      <c r="S98" s="185"/>
      <c r="T98" s="185"/>
      <c r="U98" s="185"/>
      <c r="V98" s="185"/>
      <c r="W98" s="185"/>
    </row>
    <row r="99" spans="1:23" ht="15">
      <c r="A99" s="182" t="str">
        <f t="shared" si="2"/>
        <v>Mitspieler 27</v>
      </c>
      <c r="B99" s="210">
        <f t="shared" si="3"/>
        <v>0</v>
      </c>
      <c r="C99" s="210">
        <f t="shared" si="4"/>
        <v>0</v>
      </c>
      <c r="D99" s="185"/>
      <c r="E99" s="185"/>
      <c r="F99" s="185"/>
      <c r="G99" s="185"/>
      <c r="H99" s="185"/>
      <c r="I99" s="185"/>
      <c r="J99" s="185"/>
      <c r="K99" s="185"/>
      <c r="L99" s="185"/>
      <c r="M99" s="185"/>
      <c r="N99" s="185"/>
      <c r="O99" s="185"/>
      <c r="P99" s="185"/>
      <c r="Q99" s="185"/>
      <c r="R99" s="185"/>
      <c r="S99" s="185"/>
      <c r="T99" s="185"/>
      <c r="U99" s="185"/>
      <c r="V99" s="185"/>
      <c r="W99" s="185"/>
    </row>
    <row r="100" spans="1:23" ht="15">
      <c r="A100" s="182" t="str">
        <f t="shared" si="2"/>
        <v>Mitspieler 28</v>
      </c>
      <c r="B100" s="210">
        <f t="shared" si="3"/>
        <v>0</v>
      </c>
      <c r="C100" s="210">
        <f t="shared" si="4"/>
        <v>0</v>
      </c>
      <c r="D100" s="185"/>
      <c r="E100" s="185"/>
      <c r="F100" s="185"/>
      <c r="G100" s="185"/>
      <c r="H100" s="185"/>
      <c r="I100" s="185"/>
      <c r="J100" s="185"/>
      <c r="K100" s="185"/>
      <c r="L100" s="185"/>
      <c r="M100" s="185"/>
      <c r="N100" s="185"/>
      <c r="O100" s="185"/>
      <c r="P100" s="185"/>
      <c r="Q100" s="185"/>
      <c r="R100" s="185"/>
      <c r="S100" s="185"/>
      <c r="T100" s="185"/>
      <c r="U100" s="185"/>
      <c r="V100" s="185"/>
      <c r="W100" s="185"/>
    </row>
    <row r="101" spans="1:23" ht="15">
      <c r="A101" s="182" t="str">
        <f t="shared" si="2"/>
        <v>Rangliste</v>
      </c>
      <c r="B101" s="210">
        <f t="shared" si="3"/>
        <v>0</v>
      </c>
      <c r="C101" s="210">
        <f t="shared" si="4"/>
        <v>0</v>
      </c>
      <c r="D101" s="185"/>
      <c r="E101" s="185"/>
      <c r="F101" s="185"/>
      <c r="G101" s="185"/>
      <c r="H101" s="185"/>
      <c r="I101" s="185"/>
      <c r="J101" s="185"/>
      <c r="K101" s="185"/>
      <c r="L101" s="185"/>
      <c r="M101" s="185"/>
      <c r="N101" s="185"/>
      <c r="O101" s="185"/>
      <c r="P101" s="185"/>
      <c r="Q101" s="185"/>
      <c r="R101" s="185"/>
      <c r="S101" s="185"/>
      <c r="T101" s="185"/>
      <c r="U101" s="185"/>
      <c r="V101" s="185"/>
      <c r="W101" s="185"/>
    </row>
    <row r="102" spans="1:23" ht="15">
      <c r="A102" s="182" t="str">
        <f t="shared" si="2"/>
        <v>Fest</v>
      </c>
      <c r="B102" s="210">
        <f t="shared" si="3"/>
        <v>0</v>
      </c>
      <c r="C102" s="210">
        <f t="shared" si="4"/>
        <v>0</v>
      </c>
      <c r="D102" s="185"/>
      <c r="E102" s="185"/>
      <c r="F102" s="185"/>
      <c r="G102" s="185"/>
      <c r="H102" s="185"/>
      <c r="I102" s="185"/>
      <c r="J102" s="185"/>
      <c r="K102" s="185"/>
      <c r="L102" s="185"/>
      <c r="M102" s="185"/>
      <c r="N102" s="185"/>
      <c r="O102" s="185"/>
      <c r="P102" s="185"/>
      <c r="Q102" s="185"/>
      <c r="R102" s="185"/>
      <c r="S102" s="185"/>
      <c r="T102" s="185"/>
      <c r="U102" s="185"/>
      <c r="V102" s="185"/>
      <c r="W102" s="185"/>
    </row>
    <row r="103" spans="1:23" ht="15">
      <c r="A103" s="182" t="str">
        <f t="shared" si="2"/>
        <v>Random</v>
      </c>
      <c r="B103" s="210">
        <f t="shared" si="3"/>
        <v>0</v>
      </c>
      <c r="C103" s="210">
        <f t="shared" si="4"/>
        <v>0</v>
      </c>
      <c r="D103" s="185"/>
      <c r="E103" s="185"/>
      <c r="F103" s="185"/>
      <c r="G103" s="185"/>
      <c r="H103" s="185"/>
      <c r="I103" s="185"/>
      <c r="J103" s="185"/>
      <c r="K103" s="185"/>
      <c r="L103" s="185"/>
      <c r="M103" s="185"/>
      <c r="N103" s="185"/>
      <c r="O103" s="185"/>
      <c r="P103" s="185"/>
      <c r="Q103" s="185"/>
      <c r="R103" s="185"/>
      <c r="S103" s="185"/>
      <c r="T103" s="185"/>
      <c r="U103" s="185"/>
      <c r="V103" s="185"/>
      <c r="W103" s="185"/>
    </row>
    <row r="106" spans="1:23">
      <c r="A106" s="211" t="s">
        <v>197</v>
      </c>
      <c r="B106" s="184" t="s">
        <v>86</v>
      </c>
      <c r="C106" s="184" t="s">
        <v>196</v>
      </c>
      <c r="D106" s="184"/>
      <c r="E106" s="184"/>
      <c r="F106" s="184"/>
      <c r="G106" s="184"/>
      <c r="H106" s="184"/>
      <c r="I106" s="184"/>
      <c r="J106" s="184"/>
      <c r="K106" s="184"/>
      <c r="L106" s="184"/>
      <c r="M106" s="184"/>
      <c r="N106" s="184"/>
      <c r="O106" s="184"/>
      <c r="P106" s="184"/>
      <c r="Q106" s="184"/>
      <c r="R106" s="184"/>
      <c r="S106" s="184"/>
      <c r="T106" s="184"/>
      <c r="U106" s="184"/>
      <c r="V106" s="184"/>
      <c r="W106" s="184"/>
    </row>
    <row r="107" spans="1:23" ht="15">
      <c r="A107" s="182" t="str">
        <f t="shared" ref="A107:A138" si="5">A72</f>
        <v>Bernd Schubert</v>
      </c>
      <c r="B107" s="212">
        <f>SUM(C107:X107)</f>
        <v>0</v>
      </c>
      <c r="C107" s="212">
        <f>IF(C72&gt;0,RANK(C72,C$72:C$103),0)</f>
        <v>0</v>
      </c>
      <c r="D107" s="185"/>
      <c r="E107" s="185"/>
      <c r="F107" s="185"/>
      <c r="G107" s="185"/>
      <c r="H107" s="185"/>
      <c r="I107" s="185"/>
      <c r="J107" s="185"/>
      <c r="K107" s="185"/>
      <c r="L107" s="185"/>
      <c r="M107" s="185"/>
      <c r="N107" s="185"/>
      <c r="O107" s="185"/>
      <c r="P107" s="185"/>
      <c r="Q107" s="185"/>
      <c r="R107" s="185"/>
      <c r="S107" s="185"/>
      <c r="T107" s="185"/>
      <c r="U107" s="185"/>
      <c r="V107" s="185"/>
      <c r="W107" s="185"/>
    </row>
    <row r="108" spans="1:23" ht="15">
      <c r="A108" s="182" t="str">
        <f t="shared" si="5"/>
        <v>Mitspieler 1</v>
      </c>
      <c r="B108" s="212">
        <f t="shared" ref="B108:B138" si="6">SUM(C108:X108)</f>
        <v>0</v>
      </c>
      <c r="C108" s="212">
        <f t="shared" ref="C108:C138" si="7">IF(C73&gt;0,RANK(C73,C$72:C$103),0)</f>
        <v>0</v>
      </c>
      <c r="D108" s="185"/>
      <c r="E108" s="185"/>
      <c r="F108" s="185"/>
      <c r="G108" s="185"/>
      <c r="H108" s="185"/>
      <c r="I108" s="185"/>
      <c r="J108" s="185"/>
      <c r="K108" s="185"/>
      <c r="L108" s="185"/>
      <c r="M108" s="185"/>
      <c r="N108" s="185"/>
      <c r="O108" s="185"/>
      <c r="P108" s="185"/>
      <c r="Q108" s="185"/>
      <c r="R108" s="185"/>
      <c r="S108" s="185"/>
      <c r="T108" s="185"/>
      <c r="U108" s="185"/>
      <c r="V108" s="185"/>
      <c r="W108" s="185"/>
    </row>
    <row r="109" spans="1:23" ht="15">
      <c r="A109" s="182" t="str">
        <f t="shared" si="5"/>
        <v>Mitspieler 2</v>
      </c>
      <c r="B109" s="212">
        <f t="shared" si="6"/>
        <v>0</v>
      </c>
      <c r="C109" s="212">
        <f t="shared" si="7"/>
        <v>0</v>
      </c>
      <c r="D109" s="185"/>
      <c r="E109" s="185"/>
      <c r="F109" s="185"/>
      <c r="G109" s="185"/>
      <c r="H109" s="185"/>
      <c r="I109" s="185"/>
      <c r="J109" s="185"/>
      <c r="K109" s="185"/>
      <c r="L109" s="185"/>
      <c r="M109" s="185"/>
      <c r="N109" s="185"/>
      <c r="O109" s="185"/>
      <c r="P109" s="185"/>
      <c r="Q109" s="185"/>
      <c r="R109" s="185"/>
      <c r="S109" s="185"/>
      <c r="T109" s="185"/>
      <c r="U109" s="185"/>
      <c r="V109" s="185"/>
      <c r="W109" s="185"/>
    </row>
    <row r="110" spans="1:23" ht="15">
      <c r="A110" s="182" t="str">
        <f t="shared" si="5"/>
        <v>Mitspieler 3</v>
      </c>
      <c r="B110" s="212">
        <f t="shared" si="6"/>
        <v>0</v>
      </c>
      <c r="C110" s="212">
        <f t="shared" si="7"/>
        <v>0</v>
      </c>
      <c r="D110" s="185"/>
      <c r="E110" s="185"/>
      <c r="F110" s="185"/>
      <c r="G110" s="185"/>
      <c r="H110" s="185"/>
      <c r="I110" s="185"/>
      <c r="J110" s="185"/>
      <c r="K110" s="185"/>
      <c r="L110" s="185"/>
      <c r="M110" s="185"/>
      <c r="N110" s="185"/>
      <c r="O110" s="185"/>
      <c r="P110" s="185"/>
      <c r="Q110" s="185"/>
      <c r="R110" s="185"/>
      <c r="S110" s="185"/>
      <c r="T110" s="185"/>
      <c r="U110" s="185"/>
      <c r="V110" s="185"/>
      <c r="W110" s="185"/>
    </row>
    <row r="111" spans="1:23" ht="15">
      <c r="A111" s="182" t="str">
        <f t="shared" si="5"/>
        <v>Mitspieler 4</v>
      </c>
      <c r="B111" s="212">
        <f t="shared" si="6"/>
        <v>0</v>
      </c>
      <c r="C111" s="212">
        <f t="shared" si="7"/>
        <v>0</v>
      </c>
      <c r="D111" s="185"/>
      <c r="E111" s="185"/>
      <c r="F111" s="185"/>
      <c r="G111" s="185"/>
      <c r="H111" s="185"/>
      <c r="I111" s="185"/>
      <c r="J111" s="185"/>
      <c r="K111" s="185"/>
      <c r="L111" s="185"/>
      <c r="M111" s="185"/>
      <c r="N111" s="185"/>
      <c r="O111" s="185"/>
      <c r="P111" s="185"/>
      <c r="Q111" s="185"/>
      <c r="R111" s="185"/>
      <c r="S111" s="185"/>
      <c r="T111" s="185"/>
      <c r="U111" s="185"/>
      <c r="V111" s="185"/>
      <c r="W111" s="185"/>
    </row>
    <row r="112" spans="1:23" ht="15">
      <c r="A112" s="182" t="str">
        <f t="shared" si="5"/>
        <v>Mitspieler 5</v>
      </c>
      <c r="B112" s="212">
        <f t="shared" si="6"/>
        <v>0</v>
      </c>
      <c r="C112" s="212">
        <f t="shared" si="7"/>
        <v>0</v>
      </c>
      <c r="D112" s="185"/>
      <c r="E112" s="185"/>
      <c r="F112" s="185"/>
      <c r="G112" s="185"/>
      <c r="H112" s="185"/>
      <c r="I112" s="185"/>
      <c r="J112" s="185"/>
      <c r="K112" s="185"/>
      <c r="L112" s="185"/>
      <c r="M112" s="185"/>
      <c r="N112" s="185"/>
      <c r="O112" s="185"/>
      <c r="P112" s="185"/>
      <c r="Q112" s="185"/>
      <c r="R112" s="185"/>
      <c r="S112" s="185"/>
      <c r="T112" s="185"/>
      <c r="U112" s="185"/>
      <c r="V112" s="185"/>
      <c r="W112" s="185"/>
    </row>
    <row r="113" spans="1:23" ht="15">
      <c r="A113" s="182" t="str">
        <f t="shared" si="5"/>
        <v>Mitspieler 6</v>
      </c>
      <c r="B113" s="212">
        <f t="shared" si="6"/>
        <v>0</v>
      </c>
      <c r="C113" s="212">
        <f t="shared" si="7"/>
        <v>0</v>
      </c>
      <c r="D113" s="185"/>
      <c r="E113" s="185"/>
      <c r="F113" s="185"/>
      <c r="G113" s="185"/>
      <c r="H113" s="185"/>
      <c r="I113" s="185"/>
      <c r="J113" s="185"/>
      <c r="K113" s="185"/>
      <c r="L113" s="185"/>
      <c r="M113" s="185"/>
      <c r="N113" s="185"/>
      <c r="O113" s="185"/>
      <c r="P113" s="185"/>
      <c r="Q113" s="185"/>
      <c r="R113" s="185"/>
      <c r="S113" s="185"/>
      <c r="T113" s="185"/>
      <c r="U113" s="185"/>
      <c r="V113" s="185"/>
      <c r="W113" s="185"/>
    </row>
    <row r="114" spans="1:23" ht="15">
      <c r="A114" s="182" t="str">
        <f t="shared" si="5"/>
        <v>Mitspieler 7</v>
      </c>
      <c r="B114" s="212">
        <f t="shared" si="6"/>
        <v>0</v>
      </c>
      <c r="C114" s="212">
        <f t="shared" si="7"/>
        <v>0</v>
      </c>
      <c r="D114" s="185"/>
      <c r="E114" s="185"/>
      <c r="F114" s="185"/>
      <c r="G114" s="185"/>
      <c r="H114" s="185"/>
      <c r="I114" s="185"/>
      <c r="J114" s="185"/>
      <c r="K114" s="185"/>
      <c r="L114" s="185"/>
      <c r="M114" s="185"/>
      <c r="N114" s="185"/>
      <c r="O114" s="185"/>
      <c r="P114" s="185"/>
      <c r="Q114" s="185"/>
      <c r="R114" s="185"/>
      <c r="S114" s="185"/>
      <c r="T114" s="185"/>
      <c r="U114" s="185"/>
      <c r="V114" s="185"/>
      <c r="W114" s="185"/>
    </row>
    <row r="115" spans="1:23" ht="15">
      <c r="A115" s="182" t="str">
        <f t="shared" si="5"/>
        <v>Mitspieler 8</v>
      </c>
      <c r="B115" s="212">
        <f t="shared" si="6"/>
        <v>0</v>
      </c>
      <c r="C115" s="212">
        <f t="shared" si="7"/>
        <v>0</v>
      </c>
      <c r="D115" s="185"/>
      <c r="E115" s="185"/>
      <c r="F115" s="185"/>
      <c r="G115" s="185"/>
      <c r="H115" s="185"/>
      <c r="I115" s="185"/>
      <c r="J115" s="185"/>
      <c r="K115" s="185"/>
      <c r="L115" s="185"/>
      <c r="M115" s="185"/>
      <c r="N115" s="185"/>
      <c r="O115" s="185"/>
      <c r="P115" s="185"/>
      <c r="Q115" s="185"/>
      <c r="R115" s="185"/>
      <c r="S115" s="185"/>
      <c r="T115" s="185"/>
      <c r="U115" s="185"/>
      <c r="V115" s="185"/>
      <c r="W115" s="185"/>
    </row>
    <row r="116" spans="1:23" ht="15">
      <c r="A116" s="182" t="str">
        <f t="shared" si="5"/>
        <v>Mitspieler 9</v>
      </c>
      <c r="B116" s="212" t="e">
        <f t="shared" si="6"/>
        <v>#N/A</v>
      </c>
      <c r="C116" s="212" t="e">
        <f t="shared" si="7"/>
        <v>#N/A</v>
      </c>
      <c r="D116" s="185"/>
      <c r="E116" s="185"/>
      <c r="F116" s="185"/>
      <c r="G116" s="185"/>
      <c r="H116" s="185"/>
      <c r="I116" s="185"/>
      <c r="J116" s="185"/>
      <c r="K116" s="185"/>
      <c r="L116" s="185"/>
      <c r="M116" s="185"/>
      <c r="N116" s="185"/>
      <c r="O116" s="185"/>
      <c r="P116" s="185"/>
      <c r="Q116" s="185"/>
      <c r="R116" s="185"/>
      <c r="S116" s="185"/>
      <c r="T116" s="185"/>
      <c r="U116" s="185"/>
      <c r="V116" s="185"/>
      <c r="W116" s="185"/>
    </row>
    <row r="117" spans="1:23" ht="15">
      <c r="A117" s="182" t="str">
        <f t="shared" si="5"/>
        <v>Mitspieler 10</v>
      </c>
      <c r="B117" s="212">
        <f t="shared" si="6"/>
        <v>0</v>
      </c>
      <c r="C117" s="212">
        <f t="shared" si="7"/>
        <v>0</v>
      </c>
      <c r="D117" s="185"/>
      <c r="E117" s="185"/>
      <c r="F117" s="185"/>
      <c r="G117" s="185"/>
      <c r="H117" s="185"/>
      <c r="I117" s="185"/>
      <c r="J117" s="185"/>
      <c r="K117" s="185"/>
      <c r="L117" s="185"/>
      <c r="M117" s="185"/>
      <c r="N117" s="185"/>
      <c r="O117" s="185"/>
      <c r="P117" s="185"/>
      <c r="Q117" s="185"/>
      <c r="R117" s="185"/>
      <c r="S117" s="185"/>
      <c r="T117" s="185"/>
      <c r="U117" s="185"/>
      <c r="V117" s="185"/>
      <c r="W117" s="185"/>
    </row>
    <row r="118" spans="1:23" ht="15">
      <c r="A118" s="182" t="str">
        <f t="shared" si="5"/>
        <v>Mitspieler 11</v>
      </c>
      <c r="B118" s="212">
        <f t="shared" si="6"/>
        <v>0</v>
      </c>
      <c r="C118" s="212">
        <f t="shared" si="7"/>
        <v>0</v>
      </c>
      <c r="D118" s="185"/>
      <c r="E118" s="185"/>
      <c r="F118" s="185"/>
      <c r="G118" s="185"/>
      <c r="H118" s="185"/>
      <c r="I118" s="185"/>
      <c r="J118" s="185"/>
      <c r="K118" s="185"/>
      <c r="L118" s="185"/>
      <c r="M118" s="185"/>
      <c r="N118" s="185"/>
      <c r="O118" s="185"/>
      <c r="P118" s="185"/>
      <c r="Q118" s="185"/>
      <c r="R118" s="185"/>
      <c r="S118" s="185"/>
      <c r="T118" s="185"/>
      <c r="U118" s="185"/>
      <c r="V118" s="185"/>
      <c r="W118" s="185"/>
    </row>
    <row r="119" spans="1:23" ht="15">
      <c r="A119" s="182" t="str">
        <f t="shared" si="5"/>
        <v>Mitspieler 12</v>
      </c>
      <c r="B119" s="212">
        <f t="shared" si="6"/>
        <v>0</v>
      </c>
      <c r="C119" s="212">
        <f t="shared" si="7"/>
        <v>0</v>
      </c>
      <c r="D119" s="185"/>
      <c r="E119" s="185"/>
      <c r="F119" s="185"/>
      <c r="G119" s="185"/>
      <c r="H119" s="185"/>
      <c r="I119" s="185"/>
      <c r="J119" s="185"/>
      <c r="K119" s="185"/>
      <c r="L119" s="185"/>
      <c r="M119" s="185"/>
      <c r="N119" s="185"/>
      <c r="O119" s="185"/>
      <c r="P119" s="185"/>
      <c r="Q119" s="185"/>
      <c r="R119" s="185"/>
      <c r="S119" s="185"/>
      <c r="T119" s="185"/>
      <c r="U119" s="185"/>
      <c r="V119" s="185"/>
      <c r="W119" s="185"/>
    </row>
    <row r="120" spans="1:23" ht="15">
      <c r="A120" s="182" t="str">
        <f t="shared" si="5"/>
        <v>Mitspieler 13</v>
      </c>
      <c r="B120" s="212">
        <f t="shared" si="6"/>
        <v>0</v>
      </c>
      <c r="C120" s="212">
        <f t="shared" si="7"/>
        <v>0</v>
      </c>
      <c r="D120" s="185"/>
      <c r="E120" s="185"/>
      <c r="F120" s="185"/>
      <c r="G120" s="185"/>
      <c r="H120" s="185"/>
      <c r="I120" s="185"/>
      <c r="J120" s="185"/>
      <c r="K120" s="185"/>
      <c r="L120" s="185"/>
      <c r="M120" s="185"/>
      <c r="N120" s="185"/>
      <c r="O120" s="185"/>
      <c r="P120" s="185"/>
      <c r="Q120" s="185"/>
      <c r="R120" s="185"/>
      <c r="S120" s="185"/>
      <c r="T120" s="185"/>
      <c r="U120" s="185"/>
      <c r="V120" s="185"/>
      <c r="W120" s="185"/>
    </row>
    <row r="121" spans="1:23" ht="15">
      <c r="A121" s="182" t="str">
        <f t="shared" si="5"/>
        <v>Mitspieler 14</v>
      </c>
      <c r="B121" s="212">
        <f t="shared" si="6"/>
        <v>0</v>
      </c>
      <c r="C121" s="212">
        <f t="shared" si="7"/>
        <v>0</v>
      </c>
      <c r="D121" s="185"/>
      <c r="E121" s="185"/>
      <c r="F121" s="185"/>
      <c r="G121" s="185"/>
      <c r="H121" s="185"/>
      <c r="I121" s="185"/>
      <c r="J121" s="185"/>
      <c r="K121" s="185"/>
      <c r="L121" s="185"/>
      <c r="M121" s="185"/>
      <c r="N121" s="185"/>
      <c r="O121" s="185"/>
      <c r="P121" s="185"/>
      <c r="Q121" s="185"/>
      <c r="R121" s="185"/>
      <c r="S121" s="185"/>
      <c r="T121" s="185"/>
      <c r="U121" s="185"/>
      <c r="V121" s="185"/>
      <c r="W121" s="185"/>
    </row>
    <row r="122" spans="1:23" ht="15">
      <c r="A122" s="182" t="str">
        <f t="shared" si="5"/>
        <v>Mitspieler 15</v>
      </c>
      <c r="B122" s="212">
        <f t="shared" si="6"/>
        <v>0</v>
      </c>
      <c r="C122" s="212">
        <f t="shared" si="7"/>
        <v>0</v>
      </c>
      <c r="D122" s="185"/>
      <c r="E122" s="185"/>
      <c r="F122" s="185"/>
      <c r="G122" s="185"/>
      <c r="H122" s="185"/>
      <c r="I122" s="185"/>
      <c r="J122" s="185"/>
      <c r="K122" s="185"/>
      <c r="L122" s="185"/>
      <c r="M122" s="185"/>
      <c r="N122" s="185"/>
      <c r="O122" s="185"/>
      <c r="P122" s="185"/>
      <c r="Q122" s="185"/>
      <c r="R122" s="185"/>
      <c r="S122" s="185"/>
      <c r="T122" s="185"/>
      <c r="U122" s="185"/>
      <c r="V122" s="185"/>
      <c r="W122" s="185"/>
    </row>
    <row r="123" spans="1:23" ht="15">
      <c r="A123" s="182" t="str">
        <f t="shared" si="5"/>
        <v>Mitspieler 16</v>
      </c>
      <c r="B123" s="212">
        <f t="shared" si="6"/>
        <v>0</v>
      </c>
      <c r="C123" s="212">
        <f t="shared" si="7"/>
        <v>0</v>
      </c>
      <c r="D123" s="185"/>
      <c r="E123" s="185"/>
      <c r="F123" s="185"/>
      <c r="G123" s="185"/>
      <c r="H123" s="185"/>
      <c r="I123" s="185"/>
      <c r="J123" s="185"/>
      <c r="K123" s="185"/>
      <c r="L123" s="185"/>
      <c r="M123" s="185"/>
      <c r="N123" s="185"/>
      <c r="O123" s="185"/>
      <c r="P123" s="185"/>
      <c r="Q123" s="185"/>
      <c r="R123" s="185"/>
      <c r="S123" s="185"/>
      <c r="T123" s="185"/>
      <c r="U123" s="185"/>
      <c r="V123" s="185"/>
      <c r="W123" s="185"/>
    </row>
    <row r="124" spans="1:23" ht="15">
      <c r="A124" s="182" t="str">
        <f t="shared" si="5"/>
        <v>Mitspieler 17</v>
      </c>
      <c r="B124" s="212">
        <f t="shared" si="6"/>
        <v>0</v>
      </c>
      <c r="C124" s="212">
        <f t="shared" si="7"/>
        <v>0</v>
      </c>
      <c r="D124" s="185"/>
      <c r="E124" s="185"/>
      <c r="F124" s="185"/>
      <c r="G124" s="185"/>
      <c r="H124" s="185"/>
      <c r="I124" s="185"/>
      <c r="J124" s="185"/>
      <c r="K124" s="185"/>
      <c r="L124" s="185"/>
      <c r="M124" s="185"/>
      <c r="N124" s="185"/>
      <c r="O124" s="185"/>
      <c r="P124" s="185"/>
      <c r="Q124" s="185"/>
      <c r="R124" s="185"/>
      <c r="S124" s="185"/>
      <c r="T124" s="185"/>
      <c r="U124" s="185"/>
      <c r="V124" s="185"/>
      <c r="W124" s="185"/>
    </row>
    <row r="125" spans="1:23" ht="15">
      <c r="A125" s="182" t="str">
        <f t="shared" si="5"/>
        <v>Mitspieler 18</v>
      </c>
      <c r="B125" s="212">
        <f t="shared" si="6"/>
        <v>0</v>
      </c>
      <c r="C125" s="212">
        <f t="shared" si="7"/>
        <v>0</v>
      </c>
      <c r="D125" s="185"/>
      <c r="E125" s="185"/>
      <c r="F125" s="185"/>
      <c r="G125" s="185"/>
      <c r="H125" s="185"/>
      <c r="I125" s="185"/>
      <c r="J125" s="185"/>
      <c r="K125" s="185"/>
      <c r="L125" s="185"/>
      <c r="M125" s="185"/>
      <c r="N125" s="185"/>
      <c r="O125" s="185"/>
      <c r="P125" s="185"/>
      <c r="Q125" s="185"/>
      <c r="R125" s="185"/>
      <c r="S125" s="185"/>
      <c r="T125" s="185"/>
      <c r="U125" s="185"/>
      <c r="V125" s="185"/>
      <c r="W125" s="185"/>
    </row>
    <row r="126" spans="1:23" ht="15">
      <c r="A126" s="182" t="str">
        <f t="shared" si="5"/>
        <v>Mitspieler 19</v>
      </c>
      <c r="B126" s="212">
        <f t="shared" si="6"/>
        <v>0</v>
      </c>
      <c r="C126" s="212">
        <f t="shared" si="7"/>
        <v>0</v>
      </c>
      <c r="D126" s="185"/>
      <c r="E126" s="185"/>
      <c r="F126" s="185"/>
      <c r="G126" s="185"/>
      <c r="H126" s="185"/>
      <c r="I126" s="185"/>
      <c r="J126" s="185"/>
      <c r="K126" s="185"/>
      <c r="L126" s="185"/>
      <c r="M126" s="185"/>
      <c r="N126" s="185"/>
      <c r="O126" s="185"/>
      <c r="P126" s="185"/>
      <c r="Q126" s="185"/>
      <c r="R126" s="185"/>
      <c r="S126" s="185"/>
      <c r="T126" s="185"/>
      <c r="U126" s="185"/>
      <c r="V126" s="185"/>
      <c r="W126" s="185"/>
    </row>
    <row r="127" spans="1:23" ht="15">
      <c r="A127" s="182" t="str">
        <f t="shared" si="5"/>
        <v>Mitspieler 20</v>
      </c>
      <c r="B127" s="212">
        <f t="shared" si="6"/>
        <v>0</v>
      </c>
      <c r="C127" s="212">
        <f t="shared" si="7"/>
        <v>0</v>
      </c>
      <c r="D127" s="185"/>
      <c r="E127" s="185"/>
      <c r="F127" s="185"/>
      <c r="G127" s="185"/>
      <c r="H127" s="185"/>
      <c r="I127" s="185"/>
      <c r="J127" s="185"/>
      <c r="K127" s="185"/>
      <c r="L127" s="185"/>
      <c r="M127" s="185"/>
      <c r="N127" s="185"/>
      <c r="O127" s="185"/>
      <c r="P127" s="185"/>
      <c r="Q127" s="185"/>
      <c r="R127" s="185"/>
      <c r="S127" s="185"/>
      <c r="T127" s="185"/>
      <c r="U127" s="185"/>
      <c r="V127" s="185"/>
      <c r="W127" s="185"/>
    </row>
    <row r="128" spans="1:23" ht="15">
      <c r="A128" s="182" t="str">
        <f t="shared" si="5"/>
        <v>Mitspieler 22</v>
      </c>
      <c r="B128" s="212">
        <f t="shared" si="6"/>
        <v>0</v>
      </c>
      <c r="C128" s="212">
        <f t="shared" si="7"/>
        <v>0</v>
      </c>
      <c r="D128" s="185"/>
      <c r="E128" s="185"/>
      <c r="F128" s="185"/>
      <c r="G128" s="185"/>
      <c r="H128" s="185"/>
      <c r="I128" s="185"/>
      <c r="J128" s="185"/>
      <c r="K128" s="185"/>
      <c r="L128" s="185"/>
      <c r="M128" s="185"/>
      <c r="N128" s="185"/>
      <c r="O128" s="185"/>
      <c r="P128" s="185"/>
      <c r="Q128" s="185"/>
      <c r="R128" s="185"/>
      <c r="S128" s="185"/>
      <c r="T128" s="185"/>
      <c r="U128" s="185"/>
      <c r="V128" s="185"/>
      <c r="W128" s="185"/>
    </row>
    <row r="129" spans="1:23" ht="15">
      <c r="A129" s="182" t="str">
        <f t="shared" si="5"/>
        <v>Mitspieler 22</v>
      </c>
      <c r="B129" s="212">
        <f t="shared" si="6"/>
        <v>0</v>
      </c>
      <c r="C129" s="212">
        <f t="shared" si="7"/>
        <v>0</v>
      </c>
      <c r="D129" s="185"/>
      <c r="E129" s="185"/>
      <c r="F129" s="185"/>
      <c r="G129" s="185"/>
      <c r="H129" s="185"/>
      <c r="I129" s="185"/>
      <c r="J129" s="185"/>
      <c r="K129" s="185"/>
      <c r="L129" s="185"/>
      <c r="M129" s="185"/>
      <c r="N129" s="185"/>
      <c r="O129" s="185"/>
      <c r="P129" s="185"/>
      <c r="Q129" s="185"/>
      <c r="R129" s="185"/>
      <c r="S129" s="185"/>
      <c r="T129" s="185"/>
      <c r="U129" s="185"/>
      <c r="V129" s="185"/>
      <c r="W129" s="185"/>
    </row>
    <row r="130" spans="1:23" ht="15">
      <c r="A130" s="182" t="str">
        <f t="shared" si="5"/>
        <v>Mitspieler 23</v>
      </c>
      <c r="B130" s="212">
        <f t="shared" si="6"/>
        <v>0</v>
      </c>
      <c r="C130" s="212">
        <f t="shared" si="7"/>
        <v>0</v>
      </c>
      <c r="D130" s="185"/>
      <c r="E130" s="185"/>
      <c r="F130" s="185"/>
      <c r="G130" s="185"/>
      <c r="H130" s="185"/>
      <c r="I130" s="185"/>
      <c r="J130" s="185"/>
      <c r="K130" s="185"/>
      <c r="L130" s="185"/>
      <c r="M130" s="185"/>
      <c r="N130" s="185"/>
      <c r="O130" s="185"/>
      <c r="P130" s="185"/>
      <c r="Q130" s="185"/>
      <c r="R130" s="185"/>
      <c r="S130" s="185"/>
      <c r="T130" s="185"/>
      <c r="U130" s="185"/>
      <c r="V130" s="185"/>
      <c r="W130" s="185"/>
    </row>
    <row r="131" spans="1:23" ht="15">
      <c r="A131" s="182" t="str">
        <f t="shared" si="5"/>
        <v>Mitspieler 24</v>
      </c>
      <c r="B131" s="212">
        <f t="shared" si="6"/>
        <v>0</v>
      </c>
      <c r="C131" s="212">
        <f t="shared" si="7"/>
        <v>0</v>
      </c>
      <c r="D131" s="185"/>
      <c r="E131" s="185"/>
      <c r="F131" s="185"/>
      <c r="G131" s="185"/>
      <c r="H131" s="185"/>
      <c r="I131" s="185"/>
      <c r="J131" s="185"/>
      <c r="K131" s="185"/>
      <c r="L131" s="185"/>
      <c r="M131" s="185"/>
      <c r="N131" s="185"/>
      <c r="O131" s="185"/>
      <c r="P131" s="185"/>
      <c r="Q131" s="185"/>
      <c r="R131" s="185"/>
      <c r="S131" s="185"/>
      <c r="T131" s="185"/>
      <c r="U131" s="185"/>
      <c r="V131" s="185"/>
      <c r="W131" s="185"/>
    </row>
    <row r="132" spans="1:23" ht="15">
      <c r="A132" s="182" t="str">
        <f t="shared" si="5"/>
        <v>Mitspieler 25</v>
      </c>
      <c r="B132" s="212">
        <f t="shared" si="6"/>
        <v>0</v>
      </c>
      <c r="C132" s="212">
        <f t="shared" si="7"/>
        <v>0</v>
      </c>
      <c r="D132" s="185"/>
      <c r="E132" s="185"/>
      <c r="F132" s="185"/>
      <c r="G132" s="185"/>
      <c r="H132" s="185"/>
      <c r="I132" s="185"/>
      <c r="J132" s="185"/>
      <c r="K132" s="185"/>
      <c r="L132" s="185"/>
      <c r="M132" s="185"/>
      <c r="N132" s="185"/>
      <c r="O132" s="185"/>
      <c r="P132" s="185"/>
      <c r="Q132" s="185"/>
      <c r="R132" s="185"/>
      <c r="S132" s="185"/>
      <c r="T132" s="185"/>
      <c r="U132" s="185"/>
      <c r="V132" s="185"/>
      <c r="W132" s="185"/>
    </row>
    <row r="133" spans="1:23" ht="15">
      <c r="A133" s="182" t="str">
        <f t="shared" si="5"/>
        <v>Mitspieler 26</v>
      </c>
      <c r="B133" s="212">
        <f t="shared" si="6"/>
        <v>0</v>
      </c>
      <c r="C133" s="212">
        <f t="shared" si="7"/>
        <v>0</v>
      </c>
      <c r="D133" s="185"/>
      <c r="E133" s="185"/>
      <c r="F133" s="185"/>
      <c r="G133" s="185"/>
      <c r="H133" s="185"/>
      <c r="I133" s="185"/>
      <c r="J133" s="185"/>
      <c r="K133" s="185"/>
      <c r="L133" s="185"/>
      <c r="M133" s="185"/>
      <c r="N133" s="185"/>
      <c r="O133" s="185"/>
      <c r="P133" s="185"/>
      <c r="Q133" s="185"/>
      <c r="R133" s="185"/>
      <c r="S133" s="185"/>
      <c r="T133" s="185"/>
      <c r="U133" s="185"/>
      <c r="V133" s="185"/>
      <c r="W133" s="185"/>
    </row>
    <row r="134" spans="1:23" ht="15">
      <c r="A134" s="182" t="str">
        <f t="shared" si="5"/>
        <v>Mitspieler 27</v>
      </c>
      <c r="B134" s="212">
        <f t="shared" si="6"/>
        <v>0</v>
      </c>
      <c r="C134" s="212">
        <f t="shared" si="7"/>
        <v>0</v>
      </c>
      <c r="D134" s="185"/>
      <c r="E134" s="185"/>
      <c r="F134" s="185"/>
      <c r="G134" s="185"/>
      <c r="H134" s="185"/>
      <c r="I134" s="185"/>
      <c r="J134" s="185"/>
      <c r="K134" s="185"/>
      <c r="L134" s="185"/>
      <c r="M134" s="185"/>
      <c r="N134" s="185"/>
      <c r="O134" s="185"/>
      <c r="P134" s="185"/>
      <c r="Q134" s="185"/>
      <c r="R134" s="185"/>
      <c r="S134" s="185"/>
      <c r="T134" s="185"/>
      <c r="U134" s="185"/>
      <c r="V134" s="185"/>
      <c r="W134" s="185"/>
    </row>
    <row r="135" spans="1:23" ht="15">
      <c r="A135" s="182" t="str">
        <f t="shared" si="5"/>
        <v>Mitspieler 28</v>
      </c>
      <c r="B135" s="212">
        <f t="shared" si="6"/>
        <v>0</v>
      </c>
      <c r="C135" s="212">
        <f t="shared" si="7"/>
        <v>0</v>
      </c>
      <c r="D135" s="185"/>
      <c r="E135" s="185"/>
      <c r="F135" s="185"/>
      <c r="G135" s="185"/>
      <c r="H135" s="185"/>
      <c r="I135" s="185"/>
      <c r="J135" s="185"/>
      <c r="K135" s="185"/>
      <c r="L135" s="185"/>
      <c r="M135" s="185"/>
      <c r="N135" s="185"/>
      <c r="O135" s="185"/>
      <c r="P135" s="185"/>
      <c r="Q135" s="185"/>
      <c r="R135" s="185"/>
      <c r="S135" s="185"/>
      <c r="T135" s="185"/>
      <c r="U135" s="185"/>
      <c r="V135" s="185"/>
      <c r="W135" s="185"/>
    </row>
    <row r="136" spans="1:23" ht="15">
      <c r="A136" s="182" t="str">
        <f t="shared" si="5"/>
        <v>Rangliste</v>
      </c>
      <c r="B136" s="212">
        <f t="shared" si="6"/>
        <v>0</v>
      </c>
      <c r="C136" s="212">
        <f t="shared" si="7"/>
        <v>0</v>
      </c>
      <c r="D136" s="185"/>
      <c r="E136" s="185"/>
      <c r="F136" s="185"/>
      <c r="G136" s="185"/>
      <c r="H136" s="185"/>
      <c r="I136" s="185"/>
      <c r="J136" s="185"/>
      <c r="K136" s="185"/>
      <c r="L136" s="185"/>
      <c r="M136" s="185"/>
      <c r="N136" s="185"/>
      <c r="O136" s="185"/>
      <c r="P136" s="185"/>
      <c r="Q136" s="185"/>
      <c r="R136" s="185"/>
      <c r="S136" s="185"/>
      <c r="T136" s="185"/>
      <c r="U136" s="185"/>
      <c r="V136" s="185"/>
      <c r="W136" s="185"/>
    </row>
    <row r="137" spans="1:23" ht="15">
      <c r="A137" s="182" t="str">
        <f t="shared" si="5"/>
        <v>Fest</v>
      </c>
      <c r="B137" s="212">
        <f t="shared" si="6"/>
        <v>0</v>
      </c>
      <c r="C137" s="212">
        <f t="shared" si="7"/>
        <v>0</v>
      </c>
      <c r="D137" s="185"/>
      <c r="E137" s="185"/>
      <c r="F137" s="185"/>
      <c r="G137" s="185"/>
      <c r="H137" s="185"/>
      <c r="I137" s="185"/>
      <c r="J137" s="185"/>
      <c r="K137" s="185"/>
      <c r="L137" s="185"/>
      <c r="M137" s="185"/>
      <c r="N137" s="185"/>
      <c r="O137" s="185"/>
      <c r="P137" s="185"/>
      <c r="Q137" s="185"/>
      <c r="R137" s="185"/>
      <c r="S137" s="185"/>
      <c r="T137" s="185"/>
      <c r="U137" s="185"/>
      <c r="V137" s="185"/>
      <c r="W137" s="185"/>
    </row>
    <row r="138" spans="1:23" ht="15">
      <c r="A138" s="182" t="str">
        <f t="shared" si="5"/>
        <v>Random</v>
      </c>
      <c r="B138" s="212">
        <f t="shared" si="6"/>
        <v>0</v>
      </c>
      <c r="C138" s="212">
        <f t="shared" si="7"/>
        <v>0</v>
      </c>
      <c r="D138" s="185"/>
      <c r="E138" s="185"/>
      <c r="F138" s="185"/>
      <c r="G138" s="185"/>
      <c r="H138" s="185"/>
      <c r="I138" s="185"/>
      <c r="J138" s="185"/>
      <c r="K138" s="185"/>
      <c r="L138" s="185"/>
      <c r="M138" s="185"/>
      <c r="N138" s="185"/>
      <c r="O138" s="185"/>
      <c r="P138" s="185"/>
      <c r="Q138" s="185"/>
      <c r="R138" s="185"/>
      <c r="S138" s="185"/>
      <c r="T138" s="185"/>
      <c r="U138" s="185"/>
      <c r="V138" s="185"/>
      <c r="W138" s="185"/>
    </row>
    <row r="141" spans="1:23">
      <c r="A141" s="211" t="s">
        <v>198</v>
      </c>
      <c r="B141" s="184" t="s">
        <v>86</v>
      </c>
      <c r="C141" s="184" t="s">
        <v>196</v>
      </c>
      <c r="D141" s="184"/>
      <c r="E141" s="184"/>
      <c r="F141" s="184"/>
      <c r="G141" s="184"/>
      <c r="H141" s="184"/>
      <c r="I141" s="184"/>
      <c r="J141" s="184"/>
      <c r="K141" s="184"/>
      <c r="L141" s="184"/>
      <c r="M141" s="184"/>
      <c r="N141" s="184"/>
      <c r="O141" s="184"/>
      <c r="P141" s="184"/>
      <c r="Q141" s="184"/>
      <c r="R141" s="184"/>
      <c r="S141" s="184"/>
      <c r="T141" s="184"/>
      <c r="U141" s="184"/>
      <c r="V141" s="184"/>
      <c r="W141" s="184"/>
    </row>
    <row r="142" spans="1:23" ht="15">
      <c r="A142" s="182" t="str">
        <f t="shared" ref="A142:A173" si="8">A107</f>
        <v>Bernd Schubert</v>
      </c>
      <c r="B142" s="213">
        <f>SUM(C142:C142)</f>
        <v>0</v>
      </c>
      <c r="C142" s="213" t="str">
        <f>IF(C107=1,10,"")</f>
        <v/>
      </c>
      <c r="D142" s="185"/>
      <c r="E142" s="185"/>
      <c r="F142" s="185"/>
      <c r="G142" s="185"/>
      <c r="H142" s="185"/>
      <c r="I142" s="185"/>
      <c r="J142" s="185"/>
      <c r="K142" s="185"/>
      <c r="L142" s="185"/>
      <c r="M142" s="185"/>
      <c r="N142" s="185"/>
      <c r="O142" s="185"/>
      <c r="P142" s="185"/>
      <c r="Q142" s="185"/>
      <c r="R142" s="185"/>
      <c r="S142" s="185"/>
      <c r="T142" s="185"/>
      <c r="U142" s="185"/>
      <c r="V142" s="185"/>
      <c r="W142" s="185"/>
    </row>
    <row r="143" spans="1:23" ht="15">
      <c r="A143" s="182" t="str">
        <f t="shared" si="8"/>
        <v>Mitspieler 1</v>
      </c>
      <c r="B143" s="213">
        <f t="shared" ref="B143:B173" si="9">SUM(C143:C143)</f>
        <v>0</v>
      </c>
      <c r="C143" s="213" t="str">
        <f t="shared" ref="C143:C173" si="10">IF(C108=1,10,"")</f>
        <v/>
      </c>
      <c r="D143" s="185"/>
      <c r="E143" s="185"/>
      <c r="F143" s="185"/>
      <c r="G143" s="185"/>
      <c r="H143" s="185"/>
      <c r="I143" s="185"/>
      <c r="J143" s="185"/>
      <c r="K143" s="185"/>
      <c r="L143" s="185"/>
      <c r="M143" s="185"/>
      <c r="N143" s="185"/>
      <c r="O143" s="185"/>
      <c r="P143" s="185"/>
      <c r="Q143" s="185"/>
      <c r="R143" s="185"/>
      <c r="S143" s="185"/>
      <c r="T143" s="185"/>
      <c r="U143" s="185"/>
      <c r="V143" s="185"/>
      <c r="W143" s="185"/>
    </row>
    <row r="144" spans="1:23" ht="15">
      <c r="A144" s="182" t="str">
        <f t="shared" si="8"/>
        <v>Mitspieler 2</v>
      </c>
      <c r="B144" s="213">
        <f t="shared" si="9"/>
        <v>0</v>
      </c>
      <c r="C144" s="213" t="str">
        <f t="shared" si="10"/>
        <v/>
      </c>
      <c r="D144" s="185"/>
      <c r="E144" s="185"/>
      <c r="F144" s="185"/>
      <c r="G144" s="185"/>
      <c r="H144" s="185"/>
      <c r="I144" s="185"/>
      <c r="J144" s="185"/>
      <c r="K144" s="185"/>
      <c r="L144" s="185"/>
      <c r="M144" s="185"/>
      <c r="N144" s="185"/>
      <c r="O144" s="185"/>
      <c r="P144" s="185"/>
      <c r="Q144" s="185"/>
      <c r="R144" s="185"/>
      <c r="S144" s="185"/>
      <c r="T144" s="185"/>
      <c r="U144" s="185"/>
      <c r="V144" s="185"/>
      <c r="W144" s="185"/>
    </row>
    <row r="145" spans="1:23" ht="15">
      <c r="A145" s="182" t="str">
        <f t="shared" si="8"/>
        <v>Mitspieler 3</v>
      </c>
      <c r="B145" s="213">
        <f t="shared" si="9"/>
        <v>0</v>
      </c>
      <c r="C145" s="213" t="str">
        <f t="shared" si="10"/>
        <v/>
      </c>
      <c r="D145" s="185"/>
      <c r="E145" s="185"/>
      <c r="F145" s="185"/>
      <c r="G145" s="185"/>
      <c r="H145" s="185"/>
      <c r="I145" s="185"/>
      <c r="J145" s="185"/>
      <c r="K145" s="185"/>
      <c r="L145" s="185"/>
      <c r="M145" s="185"/>
      <c r="N145" s="185"/>
      <c r="O145" s="185"/>
      <c r="P145" s="185"/>
      <c r="Q145" s="185"/>
      <c r="R145" s="185"/>
      <c r="S145" s="185"/>
      <c r="T145" s="185"/>
      <c r="U145" s="185"/>
      <c r="V145" s="185"/>
      <c r="W145" s="185"/>
    </row>
    <row r="146" spans="1:23" ht="15">
      <c r="A146" s="182" t="str">
        <f t="shared" si="8"/>
        <v>Mitspieler 4</v>
      </c>
      <c r="B146" s="213">
        <f t="shared" si="9"/>
        <v>0</v>
      </c>
      <c r="C146" s="213" t="str">
        <f t="shared" si="10"/>
        <v/>
      </c>
      <c r="D146" s="185"/>
      <c r="E146" s="185"/>
      <c r="F146" s="185"/>
      <c r="G146" s="185"/>
      <c r="H146" s="185"/>
      <c r="I146" s="185"/>
      <c r="J146" s="185"/>
      <c r="K146" s="185"/>
      <c r="L146" s="185"/>
      <c r="M146" s="185"/>
      <c r="N146" s="185"/>
      <c r="O146" s="185"/>
      <c r="P146" s="185"/>
      <c r="Q146" s="185"/>
      <c r="R146" s="185"/>
      <c r="S146" s="185"/>
      <c r="T146" s="185"/>
      <c r="U146" s="185"/>
      <c r="V146" s="185"/>
      <c r="W146" s="185"/>
    </row>
    <row r="147" spans="1:23" ht="15">
      <c r="A147" s="182" t="str">
        <f t="shared" si="8"/>
        <v>Mitspieler 5</v>
      </c>
      <c r="B147" s="213">
        <f t="shared" si="9"/>
        <v>0</v>
      </c>
      <c r="C147" s="213" t="str">
        <f t="shared" si="10"/>
        <v/>
      </c>
      <c r="D147" s="185"/>
      <c r="E147" s="185"/>
      <c r="F147" s="185"/>
      <c r="G147" s="185"/>
      <c r="H147" s="185"/>
      <c r="I147" s="185"/>
      <c r="J147" s="185"/>
      <c r="K147" s="185"/>
      <c r="L147" s="185"/>
      <c r="M147" s="185"/>
      <c r="N147" s="185"/>
      <c r="O147" s="185"/>
      <c r="P147" s="185"/>
      <c r="Q147" s="185"/>
      <c r="R147" s="185"/>
      <c r="S147" s="185"/>
      <c r="T147" s="185"/>
      <c r="U147" s="185"/>
      <c r="V147" s="185"/>
      <c r="W147" s="185"/>
    </row>
    <row r="148" spans="1:23" ht="15">
      <c r="A148" s="182" t="str">
        <f t="shared" si="8"/>
        <v>Mitspieler 6</v>
      </c>
      <c r="B148" s="213">
        <f t="shared" si="9"/>
        <v>0</v>
      </c>
      <c r="C148" s="213" t="str">
        <f t="shared" si="10"/>
        <v/>
      </c>
      <c r="D148" s="185"/>
      <c r="E148" s="185"/>
      <c r="F148" s="185"/>
      <c r="G148" s="185"/>
      <c r="H148" s="185"/>
      <c r="I148" s="185"/>
      <c r="J148" s="185"/>
      <c r="K148" s="185"/>
      <c r="L148" s="185"/>
      <c r="M148" s="185"/>
      <c r="N148" s="185"/>
      <c r="O148" s="185"/>
      <c r="P148" s="185"/>
      <c r="Q148" s="185"/>
      <c r="R148" s="185"/>
      <c r="S148" s="185"/>
      <c r="T148" s="185"/>
      <c r="U148" s="185"/>
      <c r="V148" s="185"/>
      <c r="W148" s="185"/>
    </row>
    <row r="149" spans="1:23" ht="15">
      <c r="A149" s="182" t="str">
        <f t="shared" si="8"/>
        <v>Mitspieler 7</v>
      </c>
      <c r="B149" s="213">
        <f t="shared" si="9"/>
        <v>0</v>
      </c>
      <c r="C149" s="213" t="str">
        <f t="shared" si="10"/>
        <v/>
      </c>
      <c r="D149" s="185"/>
      <c r="E149" s="185"/>
      <c r="F149" s="185"/>
      <c r="G149" s="185"/>
      <c r="H149" s="185"/>
      <c r="I149" s="185"/>
      <c r="J149" s="185"/>
      <c r="K149" s="185"/>
      <c r="L149" s="185"/>
      <c r="M149" s="185"/>
      <c r="N149" s="185"/>
      <c r="O149" s="185"/>
      <c r="P149" s="185"/>
      <c r="Q149" s="185"/>
      <c r="R149" s="185"/>
      <c r="S149" s="185"/>
      <c r="T149" s="185"/>
      <c r="U149" s="185"/>
      <c r="V149" s="185"/>
      <c r="W149" s="185"/>
    </row>
    <row r="150" spans="1:23" ht="15">
      <c r="A150" s="182" t="str">
        <f t="shared" si="8"/>
        <v>Mitspieler 8</v>
      </c>
      <c r="B150" s="213">
        <f t="shared" si="9"/>
        <v>0</v>
      </c>
      <c r="C150" s="213" t="str">
        <f t="shared" si="10"/>
        <v/>
      </c>
      <c r="D150" s="185"/>
      <c r="E150" s="185"/>
      <c r="F150" s="185"/>
      <c r="G150" s="185"/>
      <c r="H150" s="185"/>
      <c r="I150" s="185"/>
      <c r="J150" s="185"/>
      <c r="K150" s="185"/>
      <c r="L150" s="185"/>
      <c r="M150" s="185"/>
      <c r="N150" s="185"/>
      <c r="O150" s="185"/>
      <c r="P150" s="185"/>
      <c r="Q150" s="185"/>
      <c r="R150" s="185"/>
      <c r="S150" s="185"/>
      <c r="T150" s="185"/>
      <c r="U150" s="185"/>
      <c r="V150" s="185"/>
      <c r="W150" s="185"/>
    </row>
    <row r="151" spans="1:23" ht="15">
      <c r="A151" s="182" t="str">
        <f t="shared" si="8"/>
        <v>Mitspieler 9</v>
      </c>
      <c r="B151" s="213" t="e">
        <f t="shared" si="9"/>
        <v>#N/A</v>
      </c>
      <c r="C151" s="213" t="e">
        <f t="shared" si="10"/>
        <v>#N/A</v>
      </c>
      <c r="D151" s="185"/>
      <c r="E151" s="185"/>
      <c r="F151" s="185"/>
      <c r="G151" s="185"/>
      <c r="H151" s="185"/>
      <c r="I151" s="185"/>
      <c r="J151" s="185"/>
      <c r="K151" s="185"/>
      <c r="L151" s="185"/>
      <c r="M151" s="185"/>
      <c r="N151" s="185"/>
      <c r="O151" s="185"/>
      <c r="P151" s="185"/>
      <c r="Q151" s="185"/>
      <c r="R151" s="185"/>
      <c r="S151" s="185"/>
      <c r="T151" s="185"/>
      <c r="U151" s="185"/>
      <c r="V151" s="185"/>
      <c r="W151" s="185"/>
    </row>
    <row r="152" spans="1:23" ht="15">
      <c r="A152" s="182" t="str">
        <f t="shared" si="8"/>
        <v>Mitspieler 10</v>
      </c>
      <c r="B152" s="213">
        <f t="shared" si="9"/>
        <v>0</v>
      </c>
      <c r="C152" s="213" t="str">
        <f t="shared" si="10"/>
        <v/>
      </c>
      <c r="D152" s="185"/>
      <c r="E152" s="185"/>
      <c r="F152" s="185"/>
      <c r="G152" s="185"/>
      <c r="H152" s="185"/>
      <c r="I152" s="185"/>
      <c r="J152" s="185"/>
      <c r="K152" s="185"/>
      <c r="L152" s="185"/>
      <c r="M152" s="185"/>
      <c r="N152" s="185"/>
      <c r="O152" s="185"/>
      <c r="P152" s="185"/>
      <c r="Q152" s="185"/>
      <c r="R152" s="185"/>
      <c r="S152" s="185"/>
      <c r="T152" s="185"/>
      <c r="U152" s="185"/>
      <c r="V152" s="185"/>
      <c r="W152" s="185"/>
    </row>
    <row r="153" spans="1:23" ht="15">
      <c r="A153" s="182" t="str">
        <f t="shared" si="8"/>
        <v>Mitspieler 11</v>
      </c>
      <c r="B153" s="213">
        <f t="shared" si="9"/>
        <v>0</v>
      </c>
      <c r="C153" s="213" t="str">
        <f t="shared" si="10"/>
        <v/>
      </c>
      <c r="D153" s="185"/>
      <c r="E153" s="185"/>
      <c r="F153" s="185"/>
      <c r="G153" s="185"/>
      <c r="H153" s="185"/>
      <c r="I153" s="185"/>
      <c r="J153" s="185"/>
      <c r="K153" s="185"/>
      <c r="L153" s="185"/>
      <c r="M153" s="185"/>
      <c r="N153" s="185"/>
      <c r="O153" s="185"/>
      <c r="P153" s="185"/>
      <c r="Q153" s="185"/>
      <c r="R153" s="185"/>
      <c r="S153" s="185"/>
      <c r="T153" s="185"/>
      <c r="U153" s="185"/>
      <c r="V153" s="185"/>
      <c r="W153" s="185"/>
    </row>
    <row r="154" spans="1:23" ht="15">
      <c r="A154" s="182" t="str">
        <f t="shared" si="8"/>
        <v>Mitspieler 12</v>
      </c>
      <c r="B154" s="213">
        <f t="shared" si="9"/>
        <v>0</v>
      </c>
      <c r="C154" s="213" t="str">
        <f t="shared" si="10"/>
        <v/>
      </c>
      <c r="D154" s="185"/>
      <c r="E154" s="185"/>
      <c r="F154" s="185"/>
      <c r="G154" s="185"/>
      <c r="H154" s="185"/>
      <c r="I154" s="185"/>
      <c r="J154" s="185"/>
      <c r="K154" s="185"/>
      <c r="L154" s="185"/>
      <c r="M154" s="185"/>
      <c r="N154" s="185"/>
      <c r="O154" s="185"/>
      <c r="P154" s="185"/>
      <c r="Q154" s="185"/>
      <c r="R154" s="185"/>
      <c r="S154" s="185"/>
      <c r="T154" s="185"/>
      <c r="U154" s="185"/>
      <c r="V154" s="185"/>
      <c r="W154" s="185"/>
    </row>
    <row r="155" spans="1:23" ht="15">
      <c r="A155" s="182" t="str">
        <f t="shared" si="8"/>
        <v>Mitspieler 13</v>
      </c>
      <c r="B155" s="213">
        <f t="shared" si="9"/>
        <v>0</v>
      </c>
      <c r="C155" s="213" t="str">
        <f t="shared" si="10"/>
        <v/>
      </c>
      <c r="D155" s="185"/>
      <c r="E155" s="185"/>
      <c r="F155" s="185"/>
      <c r="G155" s="185"/>
      <c r="H155" s="185"/>
      <c r="I155" s="185"/>
      <c r="J155" s="185"/>
      <c r="K155" s="185"/>
      <c r="L155" s="185"/>
      <c r="M155" s="185"/>
      <c r="N155" s="185"/>
      <c r="O155" s="185"/>
      <c r="P155" s="185"/>
      <c r="Q155" s="185"/>
      <c r="R155" s="185"/>
      <c r="S155" s="185"/>
      <c r="T155" s="185"/>
      <c r="U155" s="185"/>
      <c r="V155" s="185"/>
      <c r="W155" s="185"/>
    </row>
    <row r="156" spans="1:23" ht="15">
      <c r="A156" s="182" t="str">
        <f t="shared" si="8"/>
        <v>Mitspieler 14</v>
      </c>
      <c r="B156" s="213">
        <f t="shared" si="9"/>
        <v>0</v>
      </c>
      <c r="C156" s="213" t="str">
        <f t="shared" si="10"/>
        <v/>
      </c>
      <c r="D156" s="185"/>
      <c r="E156" s="185"/>
      <c r="F156" s="185"/>
      <c r="G156" s="185"/>
      <c r="H156" s="185"/>
      <c r="I156" s="185"/>
      <c r="J156" s="185"/>
      <c r="K156" s="185"/>
      <c r="L156" s="185"/>
      <c r="M156" s="185"/>
      <c r="N156" s="185"/>
      <c r="O156" s="185"/>
      <c r="P156" s="185"/>
      <c r="Q156" s="185"/>
      <c r="R156" s="185"/>
      <c r="S156" s="185"/>
      <c r="T156" s="185"/>
      <c r="U156" s="185"/>
      <c r="V156" s="185"/>
      <c r="W156" s="185"/>
    </row>
    <row r="157" spans="1:23" ht="15">
      <c r="A157" s="182" t="str">
        <f t="shared" si="8"/>
        <v>Mitspieler 15</v>
      </c>
      <c r="B157" s="213">
        <f t="shared" si="9"/>
        <v>0</v>
      </c>
      <c r="C157" s="213" t="str">
        <f t="shared" si="10"/>
        <v/>
      </c>
      <c r="D157" s="185"/>
      <c r="E157" s="185"/>
      <c r="F157" s="185"/>
      <c r="G157" s="185"/>
      <c r="H157" s="185"/>
      <c r="I157" s="185"/>
      <c r="J157" s="185"/>
      <c r="K157" s="185"/>
      <c r="L157" s="185"/>
      <c r="M157" s="185"/>
      <c r="N157" s="185"/>
      <c r="O157" s="185"/>
      <c r="P157" s="185"/>
      <c r="Q157" s="185"/>
      <c r="R157" s="185"/>
      <c r="S157" s="185"/>
      <c r="T157" s="185"/>
      <c r="U157" s="185"/>
      <c r="V157" s="185"/>
      <c r="W157" s="185"/>
    </row>
    <row r="158" spans="1:23" ht="15">
      <c r="A158" s="182" t="str">
        <f t="shared" si="8"/>
        <v>Mitspieler 16</v>
      </c>
      <c r="B158" s="213">
        <f t="shared" si="9"/>
        <v>0</v>
      </c>
      <c r="C158" s="213" t="str">
        <f t="shared" si="10"/>
        <v/>
      </c>
      <c r="D158" s="185"/>
      <c r="E158" s="185"/>
      <c r="F158" s="185"/>
      <c r="G158" s="185"/>
      <c r="H158" s="185"/>
      <c r="I158" s="185"/>
      <c r="J158" s="185"/>
      <c r="K158" s="185"/>
      <c r="L158" s="185"/>
      <c r="M158" s="185"/>
      <c r="N158" s="185"/>
      <c r="O158" s="185"/>
      <c r="P158" s="185"/>
      <c r="Q158" s="185"/>
      <c r="R158" s="185"/>
      <c r="S158" s="185"/>
      <c r="T158" s="185"/>
      <c r="U158" s="185"/>
      <c r="V158" s="185"/>
      <c r="W158" s="185"/>
    </row>
    <row r="159" spans="1:23" ht="15">
      <c r="A159" s="182" t="str">
        <f t="shared" si="8"/>
        <v>Mitspieler 17</v>
      </c>
      <c r="B159" s="213">
        <f t="shared" si="9"/>
        <v>0</v>
      </c>
      <c r="C159" s="213" t="str">
        <f t="shared" si="10"/>
        <v/>
      </c>
      <c r="D159" s="185"/>
      <c r="E159" s="185"/>
      <c r="F159" s="185"/>
      <c r="G159" s="185"/>
      <c r="H159" s="185"/>
      <c r="I159" s="185"/>
      <c r="J159" s="185"/>
      <c r="K159" s="185"/>
      <c r="L159" s="185"/>
      <c r="M159" s="185"/>
      <c r="N159" s="185"/>
      <c r="O159" s="185"/>
      <c r="P159" s="185"/>
      <c r="Q159" s="185"/>
      <c r="R159" s="185"/>
      <c r="S159" s="185"/>
      <c r="T159" s="185"/>
      <c r="U159" s="185"/>
      <c r="V159" s="185"/>
      <c r="W159" s="185"/>
    </row>
    <row r="160" spans="1:23" ht="15">
      <c r="A160" s="182" t="str">
        <f t="shared" si="8"/>
        <v>Mitspieler 18</v>
      </c>
      <c r="B160" s="213">
        <f t="shared" si="9"/>
        <v>0</v>
      </c>
      <c r="C160" s="213" t="str">
        <f t="shared" si="10"/>
        <v/>
      </c>
      <c r="D160" s="185"/>
      <c r="E160" s="185"/>
      <c r="F160" s="185"/>
      <c r="G160" s="185"/>
      <c r="H160" s="185"/>
      <c r="I160" s="185"/>
      <c r="J160" s="185"/>
      <c r="K160" s="185"/>
      <c r="L160" s="185"/>
      <c r="M160" s="185"/>
      <c r="N160" s="185"/>
      <c r="O160" s="185"/>
      <c r="P160" s="185"/>
      <c r="Q160" s="185"/>
      <c r="R160" s="185"/>
      <c r="S160" s="185"/>
      <c r="T160" s="185"/>
      <c r="U160" s="185"/>
      <c r="V160" s="185"/>
      <c r="W160" s="185"/>
    </row>
    <row r="161" spans="1:23" ht="15">
      <c r="A161" s="182" t="str">
        <f t="shared" si="8"/>
        <v>Mitspieler 19</v>
      </c>
      <c r="B161" s="213">
        <f t="shared" si="9"/>
        <v>0</v>
      </c>
      <c r="C161" s="213" t="str">
        <f t="shared" si="10"/>
        <v/>
      </c>
      <c r="D161" s="185"/>
      <c r="E161" s="185"/>
      <c r="F161" s="185"/>
      <c r="G161" s="185"/>
      <c r="H161" s="185"/>
      <c r="I161" s="185"/>
      <c r="J161" s="185"/>
      <c r="K161" s="185"/>
      <c r="L161" s="185"/>
      <c r="M161" s="185"/>
      <c r="N161" s="185"/>
      <c r="O161" s="185"/>
      <c r="P161" s="185"/>
      <c r="Q161" s="185"/>
      <c r="R161" s="185"/>
      <c r="S161" s="185"/>
      <c r="T161" s="185"/>
      <c r="U161" s="185"/>
      <c r="V161" s="185"/>
      <c r="W161" s="185"/>
    </row>
    <row r="162" spans="1:23" ht="15">
      <c r="A162" s="182" t="str">
        <f t="shared" si="8"/>
        <v>Mitspieler 20</v>
      </c>
      <c r="B162" s="213">
        <f t="shared" si="9"/>
        <v>0</v>
      </c>
      <c r="C162" s="213" t="str">
        <f t="shared" si="10"/>
        <v/>
      </c>
      <c r="D162" s="185"/>
      <c r="E162" s="185"/>
      <c r="F162" s="185"/>
      <c r="G162" s="185"/>
      <c r="H162" s="185"/>
      <c r="I162" s="185"/>
      <c r="J162" s="185"/>
      <c r="K162" s="185"/>
      <c r="L162" s="185"/>
      <c r="M162" s="185"/>
      <c r="N162" s="185"/>
      <c r="O162" s="185"/>
      <c r="P162" s="185"/>
      <c r="Q162" s="185"/>
      <c r="R162" s="185"/>
      <c r="S162" s="185"/>
      <c r="T162" s="185"/>
      <c r="U162" s="185"/>
      <c r="V162" s="185"/>
      <c r="W162" s="185"/>
    </row>
    <row r="163" spans="1:23" ht="15">
      <c r="A163" s="182" t="str">
        <f t="shared" si="8"/>
        <v>Mitspieler 22</v>
      </c>
      <c r="B163" s="213">
        <f t="shared" si="9"/>
        <v>0</v>
      </c>
      <c r="C163" s="213" t="str">
        <f t="shared" si="10"/>
        <v/>
      </c>
      <c r="D163" s="185"/>
      <c r="E163" s="185"/>
      <c r="F163" s="185"/>
      <c r="G163" s="185"/>
      <c r="H163" s="185"/>
      <c r="I163" s="185"/>
      <c r="J163" s="185"/>
      <c r="K163" s="185"/>
      <c r="L163" s="185"/>
      <c r="M163" s="185"/>
      <c r="N163" s="185"/>
      <c r="O163" s="185"/>
      <c r="P163" s="185"/>
      <c r="Q163" s="185"/>
      <c r="R163" s="185"/>
      <c r="S163" s="185"/>
      <c r="T163" s="185"/>
      <c r="U163" s="185"/>
      <c r="V163" s="185"/>
      <c r="W163" s="185"/>
    </row>
    <row r="164" spans="1:23" ht="15">
      <c r="A164" s="182" t="str">
        <f t="shared" si="8"/>
        <v>Mitspieler 22</v>
      </c>
      <c r="B164" s="213">
        <f t="shared" si="9"/>
        <v>0</v>
      </c>
      <c r="C164" s="213" t="str">
        <f t="shared" si="10"/>
        <v/>
      </c>
      <c r="D164" s="185"/>
      <c r="E164" s="185"/>
      <c r="F164" s="185"/>
      <c r="G164" s="185"/>
      <c r="H164" s="185"/>
      <c r="I164" s="185"/>
      <c r="J164" s="185"/>
      <c r="K164" s="185"/>
      <c r="L164" s="185"/>
      <c r="M164" s="185"/>
      <c r="N164" s="185"/>
      <c r="O164" s="185"/>
      <c r="P164" s="185"/>
      <c r="Q164" s="185"/>
      <c r="R164" s="185"/>
      <c r="S164" s="185"/>
      <c r="T164" s="185"/>
      <c r="U164" s="185"/>
      <c r="V164" s="185"/>
      <c r="W164" s="185"/>
    </row>
    <row r="165" spans="1:23" ht="15">
      <c r="A165" s="182" t="str">
        <f t="shared" si="8"/>
        <v>Mitspieler 23</v>
      </c>
      <c r="B165" s="213">
        <f t="shared" si="9"/>
        <v>0</v>
      </c>
      <c r="C165" s="213" t="str">
        <f t="shared" si="10"/>
        <v/>
      </c>
      <c r="D165" s="185"/>
      <c r="E165" s="185"/>
      <c r="F165" s="185"/>
      <c r="G165" s="185"/>
      <c r="H165" s="185"/>
      <c r="I165" s="185"/>
      <c r="J165" s="185"/>
      <c r="K165" s="185"/>
      <c r="L165" s="185"/>
      <c r="M165" s="185"/>
      <c r="N165" s="185"/>
      <c r="O165" s="185"/>
      <c r="P165" s="185"/>
      <c r="Q165" s="185"/>
      <c r="R165" s="185"/>
      <c r="S165" s="185"/>
      <c r="T165" s="185"/>
      <c r="U165" s="185"/>
      <c r="V165" s="185"/>
      <c r="W165" s="185"/>
    </row>
    <row r="166" spans="1:23" ht="15">
      <c r="A166" s="182" t="str">
        <f t="shared" si="8"/>
        <v>Mitspieler 24</v>
      </c>
      <c r="B166" s="213">
        <f t="shared" si="9"/>
        <v>0</v>
      </c>
      <c r="C166" s="213" t="str">
        <f t="shared" si="10"/>
        <v/>
      </c>
      <c r="D166" s="185"/>
      <c r="E166" s="185"/>
      <c r="F166" s="185"/>
      <c r="G166" s="185"/>
      <c r="H166" s="185"/>
      <c r="I166" s="185"/>
      <c r="J166" s="185"/>
      <c r="K166" s="185"/>
      <c r="L166" s="185"/>
      <c r="M166" s="185"/>
      <c r="N166" s="185"/>
      <c r="O166" s="185"/>
      <c r="P166" s="185"/>
      <c r="Q166" s="185"/>
      <c r="R166" s="185"/>
      <c r="S166" s="185"/>
      <c r="T166" s="185"/>
      <c r="U166" s="185"/>
      <c r="V166" s="185"/>
      <c r="W166" s="185"/>
    </row>
    <row r="167" spans="1:23" ht="15">
      <c r="A167" s="182" t="str">
        <f t="shared" si="8"/>
        <v>Mitspieler 25</v>
      </c>
      <c r="B167" s="213">
        <f t="shared" si="9"/>
        <v>0</v>
      </c>
      <c r="C167" s="213" t="str">
        <f t="shared" si="10"/>
        <v/>
      </c>
      <c r="D167" s="185"/>
      <c r="E167" s="185"/>
      <c r="F167" s="185"/>
      <c r="G167" s="185"/>
      <c r="H167" s="185"/>
      <c r="I167" s="185"/>
      <c r="J167" s="185"/>
      <c r="K167" s="185"/>
      <c r="L167" s="185"/>
      <c r="M167" s="185"/>
      <c r="N167" s="185"/>
      <c r="O167" s="185"/>
      <c r="P167" s="185"/>
      <c r="Q167" s="185"/>
      <c r="R167" s="185"/>
      <c r="S167" s="185"/>
      <c r="T167" s="185"/>
      <c r="U167" s="185"/>
      <c r="V167" s="185"/>
      <c r="W167" s="185"/>
    </row>
    <row r="168" spans="1:23" ht="15">
      <c r="A168" s="182" t="str">
        <f t="shared" si="8"/>
        <v>Mitspieler 26</v>
      </c>
      <c r="B168" s="213">
        <f t="shared" si="9"/>
        <v>0</v>
      </c>
      <c r="C168" s="213" t="str">
        <f t="shared" si="10"/>
        <v/>
      </c>
      <c r="D168" s="185"/>
      <c r="E168" s="185"/>
      <c r="F168" s="185"/>
      <c r="G168" s="185"/>
      <c r="H168" s="185"/>
      <c r="I168" s="185"/>
      <c r="J168" s="185"/>
      <c r="K168" s="185"/>
      <c r="L168" s="185"/>
      <c r="M168" s="185"/>
      <c r="N168" s="185"/>
      <c r="O168" s="185"/>
      <c r="P168" s="185"/>
      <c r="Q168" s="185"/>
      <c r="R168" s="185"/>
      <c r="S168" s="185"/>
      <c r="T168" s="185"/>
      <c r="U168" s="185"/>
      <c r="V168" s="185"/>
      <c r="W168" s="185"/>
    </row>
    <row r="169" spans="1:23" ht="15">
      <c r="A169" s="182" t="str">
        <f t="shared" si="8"/>
        <v>Mitspieler 27</v>
      </c>
      <c r="B169" s="213">
        <f t="shared" si="9"/>
        <v>0</v>
      </c>
      <c r="C169" s="213" t="str">
        <f t="shared" si="10"/>
        <v/>
      </c>
      <c r="D169" s="185"/>
      <c r="E169" s="185"/>
      <c r="F169" s="185"/>
      <c r="G169" s="185"/>
      <c r="H169" s="185"/>
      <c r="I169" s="185"/>
      <c r="J169" s="185"/>
      <c r="K169" s="185"/>
      <c r="L169" s="185"/>
      <c r="M169" s="185"/>
      <c r="N169" s="185"/>
      <c r="O169" s="185"/>
      <c r="P169" s="185"/>
      <c r="Q169" s="185"/>
      <c r="R169" s="185"/>
      <c r="S169" s="185"/>
      <c r="T169" s="185"/>
      <c r="U169" s="185"/>
      <c r="V169" s="185"/>
      <c r="W169" s="185"/>
    </row>
    <row r="170" spans="1:23" ht="15">
      <c r="A170" s="182" t="str">
        <f t="shared" si="8"/>
        <v>Mitspieler 28</v>
      </c>
      <c r="B170" s="213">
        <f t="shared" si="9"/>
        <v>0</v>
      </c>
      <c r="C170" s="213" t="str">
        <f t="shared" si="10"/>
        <v/>
      </c>
      <c r="D170" s="185"/>
      <c r="E170" s="185"/>
      <c r="F170" s="185"/>
      <c r="G170" s="185"/>
      <c r="H170" s="185"/>
      <c r="I170" s="185"/>
      <c r="J170" s="185"/>
      <c r="K170" s="185"/>
      <c r="L170" s="185"/>
      <c r="M170" s="185"/>
      <c r="N170" s="185"/>
      <c r="O170" s="185"/>
      <c r="P170" s="185"/>
      <c r="Q170" s="185"/>
      <c r="R170" s="185"/>
      <c r="S170" s="185"/>
      <c r="T170" s="185"/>
      <c r="U170" s="185"/>
      <c r="V170" s="185"/>
      <c r="W170" s="185"/>
    </row>
    <row r="171" spans="1:23" ht="15">
      <c r="A171" s="182" t="str">
        <f t="shared" si="8"/>
        <v>Rangliste</v>
      </c>
      <c r="B171" s="213">
        <f t="shared" si="9"/>
        <v>0</v>
      </c>
      <c r="C171" s="213" t="str">
        <f t="shared" si="10"/>
        <v/>
      </c>
      <c r="D171" s="185"/>
      <c r="E171" s="185"/>
      <c r="F171" s="185"/>
      <c r="G171" s="185"/>
      <c r="H171" s="185"/>
      <c r="I171" s="185"/>
      <c r="J171" s="185"/>
      <c r="K171" s="185"/>
      <c r="L171" s="185"/>
      <c r="M171" s="185"/>
      <c r="N171" s="185"/>
      <c r="O171" s="185"/>
      <c r="P171" s="185"/>
      <c r="Q171" s="185"/>
      <c r="R171" s="185"/>
      <c r="S171" s="185"/>
      <c r="T171" s="185"/>
      <c r="U171" s="185"/>
      <c r="V171" s="185"/>
      <c r="W171" s="185"/>
    </row>
    <row r="172" spans="1:23" ht="15">
      <c r="A172" s="182" t="str">
        <f t="shared" si="8"/>
        <v>Fest</v>
      </c>
      <c r="B172" s="213">
        <f t="shared" si="9"/>
        <v>0</v>
      </c>
      <c r="C172" s="213" t="str">
        <f t="shared" si="10"/>
        <v/>
      </c>
      <c r="D172" s="185"/>
      <c r="E172" s="185"/>
      <c r="F172" s="185"/>
      <c r="G172" s="185"/>
      <c r="H172" s="185"/>
      <c r="I172" s="185"/>
      <c r="J172" s="185"/>
      <c r="K172" s="185"/>
      <c r="L172" s="185"/>
      <c r="M172" s="185"/>
      <c r="N172" s="185"/>
      <c r="O172" s="185"/>
      <c r="P172" s="185"/>
      <c r="Q172" s="185"/>
      <c r="R172" s="185"/>
      <c r="S172" s="185"/>
      <c r="T172" s="185"/>
      <c r="U172" s="185"/>
      <c r="V172" s="185"/>
      <c r="W172" s="185"/>
    </row>
    <row r="173" spans="1:23" ht="15">
      <c r="A173" s="182" t="str">
        <f t="shared" si="8"/>
        <v>Random</v>
      </c>
      <c r="B173" s="213">
        <f t="shared" si="9"/>
        <v>0</v>
      </c>
      <c r="C173" s="213" t="str">
        <f t="shared" si="10"/>
        <v/>
      </c>
      <c r="D173" s="185"/>
      <c r="E173" s="185"/>
      <c r="F173" s="185"/>
      <c r="G173" s="185"/>
      <c r="H173" s="185"/>
      <c r="I173" s="185"/>
      <c r="J173" s="185"/>
      <c r="K173" s="185"/>
      <c r="L173" s="185"/>
      <c r="M173" s="185"/>
      <c r="N173" s="185"/>
      <c r="O173" s="185"/>
      <c r="P173" s="185"/>
      <c r="Q173" s="185"/>
      <c r="R173" s="185"/>
      <c r="S173" s="185"/>
      <c r="T173" s="185"/>
      <c r="U173" s="185"/>
      <c r="V173" s="185"/>
      <c r="W173" s="185"/>
    </row>
    <row r="176" spans="1:23">
      <c r="A176" s="211" t="s">
        <v>199</v>
      </c>
      <c r="B176" s="184" t="s">
        <v>86</v>
      </c>
      <c r="C176" s="184" t="s">
        <v>196</v>
      </c>
      <c r="D176" s="184"/>
      <c r="E176" s="184"/>
      <c r="F176" s="184"/>
      <c r="G176" s="184"/>
      <c r="H176" s="184"/>
      <c r="I176" s="184"/>
      <c r="J176" s="184"/>
      <c r="K176" s="184"/>
      <c r="L176" s="184"/>
      <c r="M176" s="184"/>
      <c r="N176" s="184"/>
      <c r="O176" s="184"/>
      <c r="P176" s="184"/>
      <c r="Q176" s="184"/>
      <c r="R176" s="184"/>
      <c r="S176" s="184"/>
      <c r="T176" s="184"/>
      <c r="U176" s="184"/>
      <c r="V176" s="184"/>
      <c r="W176" s="184"/>
    </row>
    <row r="177" spans="1:23" ht="15">
      <c r="A177" s="182" t="str">
        <f t="shared" ref="A177:A208" si="11">A142</f>
        <v>Bernd Schubert</v>
      </c>
      <c r="B177" s="214" t="e">
        <f>SUM(C177:X177)</f>
        <v>#N/A</v>
      </c>
      <c r="C177" s="214" t="e">
        <f>IF(C2=1,1,"")</f>
        <v>#N/A</v>
      </c>
      <c r="D177" s="185"/>
      <c r="E177" s="185"/>
      <c r="F177" s="185"/>
      <c r="G177" s="185"/>
      <c r="H177" s="185"/>
      <c r="I177" s="185"/>
      <c r="J177" s="185"/>
      <c r="K177" s="185"/>
      <c r="L177" s="185"/>
      <c r="M177" s="185"/>
      <c r="N177" s="185"/>
      <c r="O177" s="185"/>
      <c r="P177" s="185"/>
      <c r="Q177" s="185"/>
      <c r="R177" s="185"/>
      <c r="S177" s="185"/>
      <c r="T177" s="185"/>
      <c r="U177" s="185"/>
      <c r="V177" s="185"/>
      <c r="W177" s="185"/>
    </row>
    <row r="178" spans="1:23" ht="15">
      <c r="A178" s="182" t="str">
        <f t="shared" si="11"/>
        <v>Mitspieler 1</v>
      </c>
      <c r="B178" s="214" t="e">
        <f t="shared" ref="B178:B208" si="12">SUM(C178:X178)</f>
        <v>#N/A</v>
      </c>
      <c r="C178" s="214" t="e">
        <f t="shared" ref="C178:C208" si="13">IF(C3=1,1,"")</f>
        <v>#N/A</v>
      </c>
      <c r="D178" s="185"/>
      <c r="E178" s="185"/>
      <c r="F178" s="185"/>
      <c r="G178" s="185"/>
      <c r="H178" s="185"/>
      <c r="I178" s="185"/>
      <c r="J178" s="185"/>
      <c r="K178" s="185"/>
      <c r="L178" s="185"/>
      <c r="M178" s="185"/>
      <c r="N178" s="185"/>
      <c r="O178" s="185"/>
      <c r="P178" s="185"/>
      <c r="Q178" s="185"/>
      <c r="R178" s="185"/>
      <c r="S178" s="185"/>
      <c r="T178" s="185"/>
      <c r="U178" s="185"/>
      <c r="V178" s="185"/>
      <c r="W178" s="185"/>
    </row>
    <row r="179" spans="1:23" ht="15">
      <c r="A179" s="182" t="str">
        <f t="shared" si="11"/>
        <v>Mitspieler 2</v>
      </c>
      <c r="B179" s="214" t="e">
        <f t="shared" si="12"/>
        <v>#N/A</v>
      </c>
      <c r="C179" s="214" t="e">
        <f t="shared" si="13"/>
        <v>#N/A</v>
      </c>
      <c r="D179" s="185"/>
      <c r="E179" s="185"/>
      <c r="F179" s="185"/>
      <c r="G179" s="185"/>
      <c r="H179" s="185"/>
      <c r="I179" s="185"/>
      <c r="J179" s="185"/>
      <c r="K179" s="185"/>
      <c r="L179" s="185"/>
      <c r="M179" s="185"/>
      <c r="N179" s="185"/>
      <c r="O179" s="185"/>
      <c r="P179" s="185"/>
      <c r="Q179" s="185"/>
      <c r="R179" s="185"/>
      <c r="S179" s="185"/>
      <c r="T179" s="185"/>
      <c r="U179" s="185"/>
      <c r="V179" s="185"/>
      <c r="W179" s="185"/>
    </row>
    <row r="180" spans="1:23" ht="15">
      <c r="A180" s="182" t="str">
        <f t="shared" si="11"/>
        <v>Mitspieler 3</v>
      </c>
      <c r="B180" s="214" t="e">
        <f t="shared" si="12"/>
        <v>#N/A</v>
      </c>
      <c r="C180" s="214" t="e">
        <f t="shared" si="13"/>
        <v>#N/A</v>
      </c>
      <c r="D180" s="185"/>
      <c r="E180" s="185"/>
      <c r="F180" s="185"/>
      <c r="G180" s="185"/>
      <c r="H180" s="185"/>
      <c r="I180" s="185"/>
      <c r="J180" s="185"/>
      <c r="K180" s="185"/>
      <c r="L180" s="185"/>
      <c r="M180" s="185"/>
      <c r="N180" s="185"/>
      <c r="O180" s="185"/>
      <c r="P180" s="185"/>
      <c r="Q180" s="185"/>
      <c r="R180" s="185"/>
      <c r="S180" s="185"/>
      <c r="T180" s="185"/>
      <c r="U180" s="185"/>
      <c r="V180" s="185"/>
      <c r="W180" s="185"/>
    </row>
    <row r="181" spans="1:23" ht="15">
      <c r="A181" s="182" t="str">
        <f t="shared" si="11"/>
        <v>Mitspieler 4</v>
      </c>
      <c r="B181" s="214" t="e">
        <f t="shared" si="12"/>
        <v>#N/A</v>
      </c>
      <c r="C181" s="214" t="e">
        <f t="shared" si="13"/>
        <v>#N/A</v>
      </c>
      <c r="D181" s="185"/>
      <c r="E181" s="185"/>
      <c r="F181" s="185"/>
      <c r="G181" s="185"/>
      <c r="H181" s="185"/>
      <c r="I181" s="185"/>
      <c r="J181" s="185"/>
      <c r="K181" s="185"/>
      <c r="L181" s="185"/>
      <c r="M181" s="185"/>
      <c r="N181" s="185"/>
      <c r="O181" s="185"/>
      <c r="P181" s="185"/>
      <c r="Q181" s="185"/>
      <c r="R181" s="185"/>
      <c r="S181" s="185"/>
      <c r="T181" s="185"/>
      <c r="U181" s="185"/>
      <c r="V181" s="185"/>
      <c r="W181" s="185"/>
    </row>
    <row r="182" spans="1:23" ht="15">
      <c r="A182" s="182" t="str">
        <f t="shared" si="11"/>
        <v>Mitspieler 5</v>
      </c>
      <c r="B182" s="214" t="e">
        <f t="shared" si="12"/>
        <v>#N/A</v>
      </c>
      <c r="C182" s="214" t="e">
        <f t="shared" si="13"/>
        <v>#N/A</v>
      </c>
      <c r="D182" s="185"/>
      <c r="E182" s="185"/>
      <c r="F182" s="185"/>
      <c r="G182" s="185"/>
      <c r="H182" s="185"/>
      <c r="I182" s="185"/>
      <c r="J182" s="185"/>
      <c r="K182" s="185"/>
      <c r="L182" s="185"/>
      <c r="M182" s="185"/>
      <c r="N182" s="185"/>
      <c r="O182" s="185"/>
      <c r="P182" s="185"/>
      <c r="Q182" s="185"/>
      <c r="R182" s="185"/>
      <c r="S182" s="185"/>
      <c r="T182" s="185"/>
      <c r="U182" s="185"/>
      <c r="V182" s="185"/>
      <c r="W182" s="185"/>
    </row>
    <row r="183" spans="1:23" ht="15">
      <c r="A183" s="182" t="str">
        <f t="shared" si="11"/>
        <v>Mitspieler 6</v>
      </c>
      <c r="B183" s="214" t="e">
        <f t="shared" si="12"/>
        <v>#N/A</v>
      </c>
      <c r="C183" s="214" t="e">
        <f t="shared" si="13"/>
        <v>#N/A</v>
      </c>
      <c r="D183" s="185"/>
      <c r="E183" s="185"/>
      <c r="F183" s="185"/>
      <c r="G183" s="185"/>
      <c r="H183" s="185"/>
      <c r="I183" s="185"/>
      <c r="J183" s="185"/>
      <c r="K183" s="185"/>
      <c r="L183" s="185"/>
      <c r="M183" s="185"/>
      <c r="N183" s="185"/>
      <c r="O183" s="185"/>
      <c r="P183" s="185"/>
      <c r="Q183" s="185"/>
      <c r="R183" s="185"/>
      <c r="S183" s="185"/>
      <c r="T183" s="185"/>
      <c r="U183" s="185"/>
      <c r="V183" s="185"/>
      <c r="W183" s="185"/>
    </row>
    <row r="184" spans="1:23" ht="15">
      <c r="A184" s="182" t="str">
        <f t="shared" si="11"/>
        <v>Mitspieler 7</v>
      </c>
      <c r="B184" s="214" t="e">
        <f t="shared" si="12"/>
        <v>#N/A</v>
      </c>
      <c r="C184" s="214" t="e">
        <f t="shared" si="13"/>
        <v>#N/A</v>
      </c>
      <c r="D184" s="185"/>
      <c r="E184" s="185"/>
      <c r="F184" s="185"/>
      <c r="G184" s="185"/>
      <c r="H184" s="185"/>
      <c r="I184" s="185"/>
      <c r="J184" s="185"/>
      <c r="K184" s="185"/>
      <c r="L184" s="185"/>
      <c r="M184" s="185"/>
      <c r="N184" s="185"/>
      <c r="O184" s="185"/>
      <c r="P184" s="185"/>
      <c r="Q184" s="185"/>
      <c r="R184" s="185"/>
      <c r="S184" s="185"/>
      <c r="T184" s="185"/>
      <c r="U184" s="185"/>
      <c r="V184" s="185"/>
      <c r="W184" s="185"/>
    </row>
    <row r="185" spans="1:23" ht="15">
      <c r="A185" s="182" t="str">
        <f t="shared" si="11"/>
        <v>Mitspieler 8</v>
      </c>
      <c r="B185" s="214" t="e">
        <f t="shared" si="12"/>
        <v>#N/A</v>
      </c>
      <c r="C185" s="214" t="e">
        <f t="shared" si="13"/>
        <v>#N/A</v>
      </c>
      <c r="D185" s="185"/>
      <c r="E185" s="185"/>
      <c r="F185" s="185"/>
      <c r="G185" s="185"/>
      <c r="H185" s="185"/>
      <c r="I185" s="185"/>
      <c r="J185" s="185"/>
      <c r="K185" s="185"/>
      <c r="L185" s="185"/>
      <c r="M185" s="185"/>
      <c r="N185" s="185"/>
      <c r="O185" s="185"/>
      <c r="P185" s="185"/>
      <c r="Q185" s="185"/>
      <c r="R185" s="185"/>
      <c r="S185" s="185"/>
      <c r="T185" s="185"/>
      <c r="U185" s="185"/>
      <c r="V185" s="185"/>
      <c r="W185" s="185"/>
    </row>
    <row r="186" spans="1:23" ht="15">
      <c r="A186" s="182" t="str">
        <f t="shared" si="11"/>
        <v>Mitspieler 9</v>
      </c>
      <c r="B186" s="214" t="e">
        <f t="shared" si="12"/>
        <v>#N/A</v>
      </c>
      <c r="C186" s="214" t="e">
        <f t="shared" si="13"/>
        <v>#N/A</v>
      </c>
      <c r="D186" s="185"/>
      <c r="E186" s="185"/>
      <c r="F186" s="185"/>
      <c r="G186" s="185"/>
      <c r="H186" s="185"/>
      <c r="I186" s="185"/>
      <c r="J186" s="185"/>
      <c r="K186" s="185"/>
      <c r="L186" s="185"/>
      <c r="M186" s="185"/>
      <c r="N186" s="185"/>
      <c r="O186" s="185"/>
      <c r="P186" s="185"/>
      <c r="Q186" s="185"/>
      <c r="R186" s="185"/>
      <c r="S186" s="185"/>
      <c r="T186" s="185"/>
      <c r="U186" s="185"/>
      <c r="V186" s="185"/>
      <c r="W186" s="185"/>
    </row>
    <row r="187" spans="1:23" ht="15">
      <c r="A187" s="182" t="str">
        <f t="shared" si="11"/>
        <v>Mitspieler 10</v>
      </c>
      <c r="B187" s="214" t="e">
        <f t="shared" si="12"/>
        <v>#N/A</v>
      </c>
      <c r="C187" s="214" t="e">
        <f t="shared" si="13"/>
        <v>#N/A</v>
      </c>
      <c r="D187" s="185"/>
      <c r="E187" s="185"/>
      <c r="F187" s="185"/>
      <c r="G187" s="185"/>
      <c r="H187" s="185"/>
      <c r="I187" s="185"/>
      <c r="J187" s="185"/>
      <c r="K187" s="185"/>
      <c r="L187" s="185"/>
      <c r="M187" s="185"/>
      <c r="N187" s="185"/>
      <c r="O187" s="185"/>
      <c r="P187" s="185"/>
      <c r="Q187" s="185"/>
      <c r="R187" s="185"/>
      <c r="S187" s="185"/>
      <c r="T187" s="185"/>
      <c r="U187" s="185"/>
      <c r="V187" s="185"/>
      <c r="W187" s="185"/>
    </row>
    <row r="188" spans="1:23" ht="15">
      <c r="A188" s="182" t="str">
        <f t="shared" si="11"/>
        <v>Mitspieler 11</v>
      </c>
      <c r="B188" s="214" t="e">
        <f t="shared" si="12"/>
        <v>#N/A</v>
      </c>
      <c r="C188" s="214" t="e">
        <f t="shared" si="13"/>
        <v>#N/A</v>
      </c>
      <c r="D188" s="185"/>
      <c r="E188" s="185"/>
      <c r="F188" s="185"/>
      <c r="G188" s="185"/>
      <c r="H188" s="185"/>
      <c r="I188" s="185"/>
      <c r="J188" s="185"/>
      <c r="K188" s="185"/>
      <c r="L188" s="185"/>
      <c r="M188" s="185"/>
      <c r="N188" s="185"/>
      <c r="O188" s="185"/>
      <c r="P188" s="185"/>
      <c r="Q188" s="185"/>
      <c r="R188" s="185"/>
      <c r="S188" s="185"/>
      <c r="T188" s="185"/>
      <c r="U188" s="185"/>
      <c r="V188" s="185"/>
      <c r="W188" s="185"/>
    </row>
    <row r="189" spans="1:23" ht="15">
      <c r="A189" s="182" t="str">
        <f t="shared" si="11"/>
        <v>Mitspieler 12</v>
      </c>
      <c r="B189" s="214" t="e">
        <f t="shared" si="12"/>
        <v>#N/A</v>
      </c>
      <c r="C189" s="214" t="e">
        <f t="shared" si="13"/>
        <v>#N/A</v>
      </c>
      <c r="D189" s="185"/>
      <c r="E189" s="185"/>
      <c r="F189" s="185"/>
      <c r="G189" s="185"/>
      <c r="H189" s="185"/>
      <c r="I189" s="185"/>
      <c r="J189" s="185"/>
      <c r="K189" s="185"/>
      <c r="L189" s="185"/>
      <c r="M189" s="185"/>
      <c r="N189" s="185"/>
      <c r="O189" s="185"/>
      <c r="P189" s="185"/>
      <c r="Q189" s="185"/>
      <c r="R189" s="185"/>
      <c r="S189" s="185"/>
      <c r="T189" s="185"/>
      <c r="U189" s="185"/>
      <c r="V189" s="185"/>
      <c r="W189" s="185"/>
    </row>
    <row r="190" spans="1:23" ht="15">
      <c r="A190" s="182" t="str">
        <f t="shared" si="11"/>
        <v>Mitspieler 13</v>
      </c>
      <c r="B190" s="214" t="e">
        <f t="shared" si="12"/>
        <v>#N/A</v>
      </c>
      <c r="C190" s="214" t="e">
        <f t="shared" si="13"/>
        <v>#N/A</v>
      </c>
      <c r="D190" s="185"/>
      <c r="E190" s="185"/>
      <c r="F190" s="185"/>
      <c r="G190" s="185"/>
      <c r="H190" s="185"/>
      <c r="I190" s="185"/>
      <c r="J190" s="185"/>
      <c r="K190" s="185"/>
      <c r="L190" s="185"/>
      <c r="M190" s="185"/>
      <c r="N190" s="185"/>
      <c r="O190" s="185"/>
      <c r="P190" s="185"/>
      <c r="Q190" s="185"/>
      <c r="R190" s="185"/>
      <c r="S190" s="185"/>
      <c r="T190" s="185"/>
      <c r="U190" s="185"/>
      <c r="V190" s="185"/>
      <c r="W190" s="185"/>
    </row>
    <row r="191" spans="1:23" ht="15">
      <c r="A191" s="182" t="str">
        <f t="shared" si="11"/>
        <v>Mitspieler 14</v>
      </c>
      <c r="B191" s="214" t="e">
        <f t="shared" si="12"/>
        <v>#N/A</v>
      </c>
      <c r="C191" s="214" t="e">
        <f t="shared" si="13"/>
        <v>#N/A</v>
      </c>
      <c r="D191" s="185"/>
      <c r="E191" s="185"/>
      <c r="F191" s="185"/>
      <c r="G191" s="185"/>
      <c r="H191" s="185"/>
      <c r="I191" s="185"/>
      <c r="J191" s="185"/>
      <c r="K191" s="185"/>
      <c r="L191" s="185"/>
      <c r="M191" s="185"/>
      <c r="N191" s="185"/>
      <c r="O191" s="185"/>
      <c r="P191" s="185"/>
      <c r="Q191" s="185"/>
      <c r="R191" s="185"/>
      <c r="S191" s="185"/>
      <c r="T191" s="185"/>
      <c r="U191" s="185"/>
      <c r="V191" s="185"/>
      <c r="W191" s="185"/>
    </row>
    <row r="192" spans="1:23" ht="15">
      <c r="A192" s="182" t="str">
        <f t="shared" si="11"/>
        <v>Mitspieler 15</v>
      </c>
      <c r="B192" s="214" t="e">
        <f t="shared" si="12"/>
        <v>#N/A</v>
      </c>
      <c r="C192" s="214" t="e">
        <f t="shared" si="13"/>
        <v>#N/A</v>
      </c>
      <c r="D192" s="185"/>
      <c r="E192" s="185"/>
      <c r="F192" s="185"/>
      <c r="G192" s="185"/>
      <c r="H192" s="185"/>
      <c r="I192" s="185"/>
      <c r="J192" s="185"/>
      <c r="K192" s="185"/>
      <c r="L192" s="185"/>
      <c r="M192" s="185"/>
      <c r="N192" s="185"/>
      <c r="O192" s="185"/>
      <c r="P192" s="185"/>
      <c r="Q192" s="185"/>
      <c r="R192" s="185"/>
      <c r="S192" s="185"/>
      <c r="T192" s="185"/>
      <c r="U192" s="185"/>
      <c r="V192" s="185"/>
      <c r="W192" s="185"/>
    </row>
    <row r="193" spans="1:23" ht="15">
      <c r="A193" s="182" t="str">
        <f t="shared" si="11"/>
        <v>Mitspieler 16</v>
      </c>
      <c r="B193" s="214" t="e">
        <f t="shared" si="12"/>
        <v>#N/A</v>
      </c>
      <c r="C193" s="214" t="e">
        <f t="shared" si="13"/>
        <v>#N/A</v>
      </c>
      <c r="D193" s="185"/>
      <c r="E193" s="185"/>
      <c r="F193" s="185"/>
      <c r="G193" s="185"/>
      <c r="H193" s="185"/>
      <c r="I193" s="185"/>
      <c r="J193" s="185"/>
      <c r="K193" s="185"/>
      <c r="L193" s="185"/>
      <c r="M193" s="185"/>
      <c r="N193" s="185"/>
      <c r="O193" s="185"/>
      <c r="P193" s="185"/>
      <c r="Q193" s="185"/>
      <c r="R193" s="185"/>
      <c r="S193" s="185"/>
      <c r="T193" s="185"/>
      <c r="U193" s="185"/>
      <c r="V193" s="185"/>
      <c r="W193" s="185"/>
    </row>
    <row r="194" spans="1:23" ht="15">
      <c r="A194" s="182" t="str">
        <f t="shared" si="11"/>
        <v>Mitspieler 17</v>
      </c>
      <c r="B194" s="214" t="e">
        <f t="shared" si="12"/>
        <v>#N/A</v>
      </c>
      <c r="C194" s="214" t="e">
        <f t="shared" si="13"/>
        <v>#N/A</v>
      </c>
      <c r="D194" s="185"/>
      <c r="E194" s="185"/>
      <c r="F194" s="185"/>
      <c r="G194" s="185"/>
      <c r="H194" s="185"/>
      <c r="I194" s="185"/>
      <c r="J194" s="185"/>
      <c r="K194" s="185"/>
      <c r="L194" s="185"/>
      <c r="M194" s="185"/>
      <c r="N194" s="185"/>
      <c r="O194" s="185"/>
      <c r="P194" s="185"/>
      <c r="Q194" s="185"/>
      <c r="R194" s="185"/>
      <c r="S194" s="185"/>
      <c r="T194" s="185"/>
      <c r="U194" s="185"/>
      <c r="V194" s="185"/>
      <c r="W194" s="185"/>
    </row>
    <row r="195" spans="1:23" ht="15">
      <c r="A195" s="182" t="str">
        <f t="shared" si="11"/>
        <v>Mitspieler 18</v>
      </c>
      <c r="B195" s="214" t="e">
        <f t="shared" si="12"/>
        <v>#N/A</v>
      </c>
      <c r="C195" s="214" t="e">
        <f t="shared" si="13"/>
        <v>#N/A</v>
      </c>
      <c r="D195" s="185"/>
      <c r="E195" s="185"/>
      <c r="F195" s="185"/>
      <c r="G195" s="185"/>
      <c r="H195" s="185"/>
      <c r="I195" s="185"/>
      <c r="J195" s="185"/>
      <c r="K195" s="185"/>
      <c r="L195" s="185"/>
      <c r="M195" s="185"/>
      <c r="N195" s="185"/>
      <c r="O195" s="185"/>
      <c r="P195" s="185"/>
      <c r="Q195" s="185"/>
      <c r="R195" s="185"/>
      <c r="S195" s="185"/>
      <c r="T195" s="185"/>
      <c r="U195" s="185"/>
      <c r="V195" s="185"/>
      <c r="W195" s="185"/>
    </row>
    <row r="196" spans="1:23" ht="15">
      <c r="A196" s="182" t="str">
        <f t="shared" si="11"/>
        <v>Mitspieler 19</v>
      </c>
      <c r="B196" s="214" t="e">
        <f t="shared" si="12"/>
        <v>#N/A</v>
      </c>
      <c r="C196" s="214" t="e">
        <f t="shared" si="13"/>
        <v>#N/A</v>
      </c>
      <c r="D196" s="185"/>
      <c r="E196" s="185"/>
      <c r="F196" s="185"/>
      <c r="G196" s="185"/>
      <c r="H196" s="185"/>
      <c r="I196" s="185"/>
      <c r="J196" s="185"/>
      <c r="K196" s="185"/>
      <c r="L196" s="185"/>
      <c r="M196" s="185"/>
      <c r="N196" s="185"/>
      <c r="O196" s="185"/>
      <c r="P196" s="185"/>
      <c r="Q196" s="185"/>
      <c r="R196" s="185"/>
      <c r="S196" s="185"/>
      <c r="T196" s="185"/>
      <c r="U196" s="185"/>
      <c r="V196" s="185"/>
      <c r="W196" s="185"/>
    </row>
    <row r="197" spans="1:23" ht="15">
      <c r="A197" s="182" t="str">
        <f t="shared" si="11"/>
        <v>Mitspieler 20</v>
      </c>
      <c r="B197" s="214" t="e">
        <f t="shared" si="12"/>
        <v>#N/A</v>
      </c>
      <c r="C197" s="214" t="e">
        <f t="shared" si="13"/>
        <v>#N/A</v>
      </c>
      <c r="D197" s="185"/>
      <c r="E197" s="185"/>
      <c r="F197" s="185"/>
      <c r="G197" s="185"/>
      <c r="H197" s="185"/>
      <c r="I197" s="185"/>
      <c r="J197" s="185"/>
      <c r="K197" s="185"/>
      <c r="L197" s="185"/>
      <c r="M197" s="185"/>
      <c r="N197" s="185"/>
      <c r="O197" s="185"/>
      <c r="P197" s="185"/>
      <c r="Q197" s="185"/>
      <c r="R197" s="185"/>
      <c r="S197" s="185"/>
      <c r="T197" s="185"/>
      <c r="U197" s="185"/>
      <c r="V197" s="185"/>
      <c r="W197" s="185"/>
    </row>
    <row r="198" spans="1:23" ht="15">
      <c r="A198" s="182" t="str">
        <f t="shared" si="11"/>
        <v>Mitspieler 22</v>
      </c>
      <c r="B198" s="214" t="e">
        <f t="shared" si="12"/>
        <v>#N/A</v>
      </c>
      <c r="C198" s="214" t="e">
        <f t="shared" si="13"/>
        <v>#N/A</v>
      </c>
      <c r="D198" s="185"/>
      <c r="E198" s="185"/>
      <c r="F198" s="185"/>
      <c r="G198" s="185"/>
      <c r="H198" s="185"/>
      <c r="I198" s="185"/>
      <c r="J198" s="185"/>
      <c r="K198" s="185"/>
      <c r="L198" s="185"/>
      <c r="M198" s="185"/>
      <c r="N198" s="185"/>
      <c r="O198" s="185"/>
      <c r="P198" s="185"/>
      <c r="Q198" s="185"/>
      <c r="R198" s="185"/>
      <c r="S198" s="185"/>
      <c r="T198" s="185"/>
      <c r="U198" s="185"/>
      <c r="V198" s="185"/>
      <c r="W198" s="185"/>
    </row>
    <row r="199" spans="1:23" ht="15">
      <c r="A199" s="182" t="str">
        <f t="shared" si="11"/>
        <v>Mitspieler 22</v>
      </c>
      <c r="B199" s="214" t="e">
        <f t="shared" si="12"/>
        <v>#N/A</v>
      </c>
      <c r="C199" s="214" t="e">
        <f t="shared" si="13"/>
        <v>#N/A</v>
      </c>
      <c r="D199" s="185"/>
      <c r="E199" s="185"/>
      <c r="F199" s="185"/>
      <c r="G199" s="185"/>
      <c r="H199" s="185"/>
      <c r="I199" s="185"/>
      <c r="J199" s="185"/>
      <c r="K199" s="185"/>
      <c r="L199" s="185"/>
      <c r="M199" s="185"/>
      <c r="N199" s="185"/>
      <c r="O199" s="185"/>
      <c r="P199" s="185"/>
      <c r="Q199" s="185"/>
      <c r="R199" s="185"/>
      <c r="S199" s="185"/>
      <c r="T199" s="185"/>
      <c r="U199" s="185"/>
      <c r="V199" s="185"/>
      <c r="W199" s="185"/>
    </row>
    <row r="200" spans="1:23" ht="15">
      <c r="A200" s="182" t="str">
        <f t="shared" si="11"/>
        <v>Mitspieler 23</v>
      </c>
      <c r="B200" s="214" t="e">
        <f t="shared" si="12"/>
        <v>#N/A</v>
      </c>
      <c r="C200" s="214" t="e">
        <f t="shared" si="13"/>
        <v>#N/A</v>
      </c>
      <c r="D200" s="185"/>
      <c r="E200" s="185"/>
      <c r="F200" s="185"/>
      <c r="G200" s="185"/>
      <c r="H200" s="185"/>
      <c r="I200" s="185"/>
      <c r="J200" s="185"/>
      <c r="K200" s="185"/>
      <c r="L200" s="185"/>
      <c r="M200" s="185"/>
      <c r="N200" s="185"/>
      <c r="O200" s="185"/>
      <c r="P200" s="185"/>
      <c r="Q200" s="185"/>
      <c r="R200" s="185"/>
      <c r="S200" s="185"/>
      <c r="T200" s="185"/>
      <c r="U200" s="185"/>
      <c r="V200" s="185"/>
      <c r="W200" s="185"/>
    </row>
    <row r="201" spans="1:23" ht="15">
      <c r="A201" s="182" t="str">
        <f t="shared" si="11"/>
        <v>Mitspieler 24</v>
      </c>
      <c r="B201" s="214" t="e">
        <f t="shared" si="12"/>
        <v>#N/A</v>
      </c>
      <c r="C201" s="214" t="e">
        <f t="shared" si="13"/>
        <v>#N/A</v>
      </c>
      <c r="D201" s="185"/>
      <c r="E201" s="185"/>
      <c r="F201" s="185"/>
      <c r="G201" s="185"/>
      <c r="H201" s="185"/>
      <c r="I201" s="185"/>
      <c r="J201" s="185"/>
      <c r="K201" s="185"/>
      <c r="L201" s="185"/>
      <c r="M201" s="185"/>
      <c r="N201" s="185"/>
      <c r="O201" s="185"/>
      <c r="P201" s="185"/>
      <c r="Q201" s="185"/>
      <c r="R201" s="185"/>
      <c r="S201" s="185"/>
      <c r="T201" s="185"/>
      <c r="U201" s="185"/>
      <c r="V201" s="185"/>
      <c r="W201" s="185"/>
    </row>
    <row r="202" spans="1:23" ht="15">
      <c r="A202" s="182" t="str">
        <f t="shared" si="11"/>
        <v>Mitspieler 25</v>
      </c>
      <c r="B202" s="214" t="e">
        <f t="shared" si="12"/>
        <v>#N/A</v>
      </c>
      <c r="C202" s="214" t="e">
        <f t="shared" si="13"/>
        <v>#N/A</v>
      </c>
      <c r="D202" s="185"/>
      <c r="E202" s="185"/>
      <c r="F202" s="185"/>
      <c r="G202" s="185"/>
      <c r="H202" s="185"/>
      <c r="I202" s="185"/>
      <c r="J202" s="185"/>
      <c r="K202" s="185"/>
      <c r="L202" s="185"/>
      <c r="M202" s="185"/>
      <c r="N202" s="185"/>
      <c r="O202" s="185"/>
      <c r="P202" s="185"/>
      <c r="Q202" s="185"/>
      <c r="R202" s="185"/>
      <c r="S202" s="185"/>
      <c r="T202" s="185"/>
      <c r="U202" s="185"/>
      <c r="V202" s="185"/>
      <c r="W202" s="185"/>
    </row>
    <row r="203" spans="1:23" ht="15">
      <c r="A203" s="182" t="str">
        <f t="shared" si="11"/>
        <v>Mitspieler 26</v>
      </c>
      <c r="B203" s="214" t="e">
        <f t="shared" si="12"/>
        <v>#N/A</v>
      </c>
      <c r="C203" s="214" t="e">
        <f t="shared" si="13"/>
        <v>#N/A</v>
      </c>
      <c r="D203" s="185"/>
      <c r="E203" s="185"/>
      <c r="F203" s="185"/>
      <c r="G203" s="185"/>
      <c r="H203" s="185"/>
      <c r="I203" s="185"/>
      <c r="J203" s="185"/>
      <c r="K203" s="185"/>
      <c r="L203" s="185"/>
      <c r="M203" s="185"/>
      <c r="N203" s="185"/>
      <c r="O203" s="185"/>
      <c r="P203" s="185"/>
      <c r="Q203" s="185"/>
      <c r="R203" s="185"/>
      <c r="S203" s="185"/>
      <c r="T203" s="185"/>
      <c r="U203" s="185"/>
      <c r="V203" s="185"/>
      <c r="W203" s="185"/>
    </row>
    <row r="204" spans="1:23" ht="15">
      <c r="A204" s="182" t="str">
        <f t="shared" si="11"/>
        <v>Mitspieler 27</v>
      </c>
      <c r="B204" s="214" t="e">
        <f t="shared" si="12"/>
        <v>#N/A</v>
      </c>
      <c r="C204" s="214" t="e">
        <f t="shared" si="13"/>
        <v>#N/A</v>
      </c>
      <c r="D204" s="185"/>
      <c r="E204" s="185"/>
      <c r="F204" s="185"/>
      <c r="G204" s="185"/>
      <c r="H204" s="185"/>
      <c r="I204" s="185"/>
      <c r="J204" s="185"/>
      <c r="K204" s="185"/>
      <c r="L204" s="185"/>
      <c r="M204" s="185"/>
      <c r="N204" s="185"/>
      <c r="O204" s="185"/>
      <c r="P204" s="185"/>
      <c r="Q204" s="185"/>
      <c r="R204" s="185"/>
      <c r="S204" s="185"/>
      <c r="T204" s="185"/>
      <c r="U204" s="185"/>
      <c r="V204" s="185"/>
      <c r="W204" s="185"/>
    </row>
    <row r="205" spans="1:23" ht="15">
      <c r="A205" s="182" t="str">
        <f t="shared" si="11"/>
        <v>Mitspieler 28</v>
      </c>
      <c r="B205" s="214" t="e">
        <f t="shared" si="12"/>
        <v>#N/A</v>
      </c>
      <c r="C205" s="214" t="e">
        <f t="shared" si="13"/>
        <v>#N/A</v>
      </c>
      <c r="D205" s="185"/>
      <c r="E205" s="185"/>
      <c r="F205" s="185"/>
      <c r="G205" s="185"/>
      <c r="H205" s="185"/>
      <c r="I205" s="185"/>
      <c r="J205" s="185"/>
      <c r="K205" s="185"/>
      <c r="L205" s="185"/>
      <c r="M205" s="185"/>
      <c r="N205" s="185"/>
      <c r="O205" s="185"/>
      <c r="P205" s="185"/>
      <c r="Q205" s="185"/>
      <c r="R205" s="185"/>
      <c r="S205" s="185"/>
      <c r="T205" s="185"/>
      <c r="U205" s="185"/>
      <c r="V205" s="185"/>
      <c r="W205" s="185"/>
    </row>
    <row r="206" spans="1:23" ht="15">
      <c r="A206" s="182" t="str">
        <f t="shared" si="11"/>
        <v>Rangliste</v>
      </c>
      <c r="B206" s="214" t="e">
        <f t="shared" si="12"/>
        <v>#N/A</v>
      </c>
      <c r="C206" s="214" t="e">
        <f t="shared" si="13"/>
        <v>#N/A</v>
      </c>
      <c r="D206" s="185"/>
      <c r="E206" s="185"/>
      <c r="F206" s="185"/>
      <c r="G206" s="185"/>
      <c r="H206" s="185"/>
      <c r="I206" s="185"/>
      <c r="J206" s="185"/>
      <c r="K206" s="185"/>
      <c r="L206" s="185"/>
      <c r="M206" s="185"/>
      <c r="N206" s="185"/>
      <c r="O206" s="185"/>
      <c r="P206" s="185"/>
      <c r="Q206" s="185"/>
      <c r="R206" s="185"/>
      <c r="S206" s="185"/>
      <c r="T206" s="185"/>
      <c r="U206" s="185"/>
      <c r="V206" s="185"/>
      <c r="W206" s="185"/>
    </row>
    <row r="207" spans="1:23" ht="15">
      <c r="A207" s="182" t="str">
        <f t="shared" si="11"/>
        <v>Fest</v>
      </c>
      <c r="B207" s="214" t="e">
        <f t="shared" si="12"/>
        <v>#N/A</v>
      </c>
      <c r="C207" s="214" t="e">
        <f t="shared" si="13"/>
        <v>#N/A</v>
      </c>
      <c r="D207" s="185"/>
      <c r="E207" s="185"/>
      <c r="F207" s="185"/>
      <c r="G207" s="185"/>
      <c r="H207" s="185"/>
      <c r="I207" s="185"/>
      <c r="J207" s="185"/>
      <c r="K207" s="185"/>
      <c r="L207" s="185"/>
      <c r="M207" s="185"/>
      <c r="N207" s="185"/>
      <c r="O207" s="185"/>
      <c r="P207" s="185"/>
      <c r="Q207" s="185"/>
      <c r="R207" s="185"/>
      <c r="S207" s="185"/>
      <c r="T207" s="185"/>
      <c r="U207" s="185"/>
      <c r="V207" s="185"/>
      <c r="W207" s="185"/>
    </row>
    <row r="208" spans="1:23" ht="15">
      <c r="A208" s="182" t="str">
        <f t="shared" si="11"/>
        <v>Random</v>
      </c>
      <c r="B208" s="214" t="e">
        <f t="shared" si="12"/>
        <v>#N/A</v>
      </c>
      <c r="C208" s="214" t="e">
        <f t="shared" si="13"/>
        <v>#N/A</v>
      </c>
      <c r="D208" s="185"/>
      <c r="E208" s="185"/>
      <c r="F208" s="185"/>
      <c r="G208" s="185"/>
      <c r="H208" s="185"/>
      <c r="I208" s="185"/>
      <c r="J208" s="185"/>
      <c r="K208" s="185"/>
      <c r="L208" s="185"/>
      <c r="M208" s="185"/>
      <c r="N208" s="185"/>
      <c r="O208" s="185"/>
      <c r="P208" s="185"/>
      <c r="Q208" s="185"/>
      <c r="R208" s="185"/>
      <c r="S208" s="185"/>
      <c r="T208" s="185"/>
      <c r="U208" s="185"/>
      <c r="V208" s="185"/>
      <c r="W208" s="185"/>
    </row>
  </sheetData>
  <phoneticPr fontId="23"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
  <sheetViews>
    <sheetView workbookViewId="0">
      <selection activeCell="J54" sqref="J54"/>
    </sheetView>
  </sheetViews>
  <sheetFormatPr baseColWidth="10" defaultRowHeight="12.75"/>
  <sheetData/>
  <phoneticPr fontId="23" type="noConversion"/>
  <pageMargins left="0.78740157499999996" right="0.78740157499999996" top="0.984251969" bottom="0.984251969" header="0.4921259845" footer="0.4921259845"/>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DD104"/>
  <sheetViews>
    <sheetView topLeftCell="A67" workbookViewId="0">
      <selection activeCell="H98" sqref="H98"/>
    </sheetView>
  </sheetViews>
  <sheetFormatPr baseColWidth="10" defaultRowHeight="12.75"/>
  <cols>
    <col min="1" max="1" width="4.28515625" style="2" customWidth="1"/>
    <col min="2" max="2" width="15.28515625" style="2" customWidth="1"/>
    <col min="3" max="4" width="14.28515625" style="2" customWidth="1"/>
    <col min="5" max="5" width="2" style="2" customWidth="1"/>
    <col min="6" max="6" width="14.28515625" style="2" customWidth="1"/>
    <col min="7" max="7" width="1.5703125" style="2" customWidth="1"/>
    <col min="8" max="8" width="3.5703125" style="12" customWidth="1"/>
    <col min="9" max="9" width="1.5703125" style="12" customWidth="1"/>
    <col min="10" max="10" width="3.5703125" style="12" customWidth="1"/>
    <col min="11" max="11" width="3" style="7" customWidth="1"/>
    <col min="12" max="12" width="2" style="2" customWidth="1"/>
    <col min="13" max="13" width="14.28515625" style="9" customWidth="1"/>
    <col min="14" max="17" width="4.28515625" style="2" hidden="1" customWidth="1"/>
    <col min="18" max="18" width="3.85546875" style="2" hidden="1" customWidth="1"/>
    <col min="19" max="22" width="2" style="55" hidden="1" customWidth="1"/>
    <col min="23" max="23" width="1.7109375" style="55" hidden="1" customWidth="1"/>
    <col min="24" max="24" width="3" style="55" hidden="1" customWidth="1"/>
    <col min="25" max="25" width="14.28515625" style="55" hidden="1" customWidth="1"/>
    <col min="26" max="26" width="2.28515625" style="55" hidden="1" customWidth="1"/>
    <col min="27" max="27" width="3.28515625" style="55" hidden="1" customWidth="1"/>
    <col min="28" max="28" width="3" style="55" hidden="1" customWidth="1"/>
    <col min="29" max="29" width="4.42578125" style="55" hidden="1" customWidth="1"/>
    <col min="30" max="30" width="19.28515625" style="55" hidden="1" customWidth="1"/>
    <col min="31" max="31" width="3.140625" style="55" hidden="1" customWidth="1"/>
    <col min="32" max="32" width="3.5703125" style="55" hidden="1" customWidth="1"/>
    <col min="33" max="36" width="2.85546875" style="55" hidden="1" customWidth="1"/>
    <col min="37" max="37" width="3.140625" style="55" hidden="1" customWidth="1"/>
    <col min="38" max="38" width="6.42578125" style="55" hidden="1" customWidth="1"/>
    <col min="39" max="42" width="2.85546875" style="55" hidden="1" customWidth="1"/>
    <col min="43" max="43" width="7.7109375" style="55" hidden="1" customWidth="1"/>
    <col min="44" max="47" width="3" style="55" hidden="1" customWidth="1"/>
    <col min="48" max="48" width="3.140625" style="55" hidden="1" customWidth="1"/>
    <col min="49" max="49" width="11.42578125" style="55" customWidth="1"/>
    <col min="50" max="50" width="8.85546875" style="1" customWidth="1"/>
    <col min="51" max="51" width="7.140625" style="1" customWidth="1"/>
    <col min="52" max="52" width="11.42578125" style="55" customWidth="1"/>
    <col min="53" max="53" width="5" style="2" customWidth="1"/>
    <col min="54" max="54" width="15.28515625" style="2" customWidth="1"/>
    <col min="55" max="56" width="14.28515625" style="2" customWidth="1"/>
    <col min="57" max="57" width="2" style="2" customWidth="1"/>
    <col min="58" max="58" width="14.28515625" style="2" customWidth="1"/>
    <col min="59" max="59" width="1.5703125" style="2" customWidth="1"/>
    <col min="60" max="60" width="3.5703125" style="12" customWidth="1"/>
    <col min="61" max="61" width="1.5703125" style="12" customWidth="1"/>
    <col min="62" max="62" width="3.5703125" style="12" customWidth="1"/>
    <col min="63" max="63" width="3" style="7" customWidth="1"/>
    <col min="64" max="64" width="2" style="2" customWidth="1"/>
    <col min="65" max="65" width="14.28515625" style="9" customWidth="1"/>
    <col min="66" max="69" width="4.28515625" style="2" hidden="1" customWidth="1"/>
    <col min="70" max="70" width="3.85546875" style="2" hidden="1" customWidth="1"/>
    <col min="71" max="74" width="2" style="2" hidden="1" customWidth="1"/>
    <col min="75" max="75" width="1.7109375" style="2" hidden="1" customWidth="1"/>
    <col min="76" max="76" width="3" style="2" hidden="1" customWidth="1"/>
    <col min="77" max="77" width="14.28515625" style="55" hidden="1" customWidth="1"/>
    <col min="78" max="78" width="2.28515625" style="2" hidden="1" customWidth="1"/>
    <col min="79" max="79" width="3.28515625" style="2" hidden="1" customWidth="1"/>
    <col min="80" max="80" width="3" style="2" hidden="1" customWidth="1"/>
    <col min="81" max="81" width="4.42578125" style="2" hidden="1" customWidth="1"/>
    <col min="82" max="82" width="19.28515625" style="2" hidden="1" customWidth="1"/>
    <col min="83" max="100" width="5" style="2" hidden="1" customWidth="1"/>
    <col min="101" max="101" width="11.42578125" style="2" customWidth="1"/>
    <col min="102" max="102" width="8.85546875" style="17" customWidth="1"/>
    <col min="103" max="103" width="7.28515625" style="1" customWidth="1"/>
    <col min="104" max="104" width="11.42578125" style="2"/>
    <col min="105" max="105" width="36.7109375" style="2" bestFit="1" customWidth="1"/>
    <col min="106" max="106" width="9.140625" style="2" customWidth="1"/>
    <col min="107" max="108" width="10.7109375" customWidth="1"/>
    <col min="109" max="16384" width="11.42578125" style="2"/>
  </cols>
  <sheetData>
    <row r="1" spans="1:106" s="10" customFormat="1" ht="14.25" thickTop="1" thickBot="1">
      <c r="A1" s="10" t="s">
        <v>72</v>
      </c>
      <c r="B1" s="28" t="s">
        <v>0</v>
      </c>
      <c r="C1" s="26" t="s">
        <v>1</v>
      </c>
      <c r="D1" s="17" t="s">
        <v>2</v>
      </c>
      <c r="E1" s="14"/>
      <c r="F1" s="17"/>
      <c r="G1" s="172"/>
      <c r="H1" s="173"/>
      <c r="I1" s="19"/>
      <c r="J1" s="20"/>
      <c r="K1" s="180"/>
      <c r="L1" s="17"/>
      <c r="M1" s="35"/>
      <c r="N1" s="17"/>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X1" s="28">
        <f ca="1">IF($CX$97="",2*COUNTIF(Ergebnisse!$D$63:'Ergebnisse'!$F$78,M7),2*INT(RAND()*2))</f>
        <v>0</v>
      </c>
      <c r="AY1" s="17" t="str">
        <f ca="1">IF(COUNTIF(Ergebnisse!K3:'Ergebnisse'!K8,Ergebnisse!$B$98)=6,"ok","")</f>
        <v>ok</v>
      </c>
      <c r="BA1" s="10" t="s">
        <v>72</v>
      </c>
      <c r="BB1" s="76" t="s">
        <v>0</v>
      </c>
      <c r="BC1" s="177" t="s">
        <v>40</v>
      </c>
      <c r="BD1" s="53" t="s">
        <v>2</v>
      </c>
      <c r="BE1" s="54"/>
      <c r="BF1" s="53"/>
      <c r="BG1" s="53"/>
      <c r="BH1" s="20"/>
      <c r="BI1" s="19"/>
      <c r="BJ1" s="20"/>
      <c r="BK1" s="180"/>
      <c r="BL1" s="17"/>
      <c r="BM1" s="35"/>
      <c r="BN1" s="17"/>
      <c r="BO1" s="17"/>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76">
        <f ca="1">IF($CX$97="",2*COUNTIF(Ergebnisse!$D$63:'Ergebnisse'!$F$78,BM7),2*INT(RAND()*2))</f>
        <v>0</v>
      </c>
      <c r="CY1" s="17" t="str">
        <f ca="1">IF(COUNTIF(Ergebnisse!BK3:'Ergebnisse'!BK8,Ergebnisse!$B$98)=6,"ok","")</f>
        <v>ok</v>
      </c>
      <c r="DA1" s="163" t="s">
        <v>124</v>
      </c>
      <c r="DB1" s="164"/>
    </row>
    <row r="2" spans="1:106" ht="13.5" thickTop="1">
      <c r="B2" s="3" t="s">
        <v>22</v>
      </c>
      <c r="C2" s="3" t="s">
        <v>23</v>
      </c>
      <c r="L2" s="1"/>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8">
        <f ca="1">IF($CX$97="",2*COUNTIF(Ergebnisse!$D$63:'Ergebnisse'!$F$78,M8),2*INT(RAND()*2))</f>
        <v>2</v>
      </c>
      <c r="AY2" s="17" t="str">
        <f ca="1">IF(COUNTIF(Ergebnisse!K3:'Ergebnisse'!K8,Ergebnisse!$B$98)=6,"ok","")</f>
        <v>ok</v>
      </c>
      <c r="AZ2" s="2"/>
      <c r="BB2" s="3" t="s">
        <v>22</v>
      </c>
      <c r="BC2" s="3" t="s">
        <v>23</v>
      </c>
      <c r="BD2" s="55"/>
      <c r="BE2" s="55"/>
      <c r="BF2" s="55"/>
      <c r="BG2" s="55"/>
      <c r="BL2" s="1"/>
      <c r="BY2" s="2"/>
      <c r="CX2" s="76">
        <f ca="1">IF($CX$97="",2*COUNTIF(Ergebnisse!$D$63:'Ergebnisse'!$F$78,BM8),2*INT(RAND()*2))</f>
        <v>0</v>
      </c>
      <c r="CY2" s="17" t="str">
        <f ca="1">IF(COUNTIF(Ergebnisse!BK3:'Ergebnisse'!BK8,Ergebnisse!$B$98)=6,"ok","")</f>
        <v>ok</v>
      </c>
      <c r="DA2" s="163"/>
      <c r="DB2" s="164"/>
    </row>
    <row r="3" spans="1:106">
      <c r="A3" s="2">
        <f>IF(Ergebnisse!A3="","",Ergebnisse!A3)</f>
        <v>1</v>
      </c>
      <c r="B3" s="6">
        <f>IF(Ergebnisse!B3="","",Ergebnisse!B3)</f>
        <v>46184.583333333336</v>
      </c>
      <c r="C3" s="6" t="str">
        <f>IF(Ergebnisse!C3="","",Ergebnisse!C3)</f>
        <v>Mexico City</v>
      </c>
      <c r="D3" s="56" t="str">
        <f>IF(Ergebnisse!D3="","",Ergebnisse!D3)</f>
        <v>Mexiko</v>
      </c>
      <c r="E3" s="40"/>
      <c r="F3" s="56" t="str">
        <f>IF(Ergebnisse!F3="","",Ergebnisse!F3)</f>
        <v>Südafrika</v>
      </c>
      <c r="G3" s="53"/>
      <c r="H3" s="57">
        <v>3</v>
      </c>
      <c r="I3" s="11" t="s">
        <v>25</v>
      </c>
      <c r="J3" s="57">
        <v>1</v>
      </c>
      <c r="L3" s="1"/>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17">
        <f ca="1">IF($CX$97="",IF(OR(Ergebnisse!H3="",Ergebnisse!J3=""),0,IF(AND(H3=Ergebnisse!H3,J3=Ergebnisse!J3),7,MIN(7,(H3-J3=Ergebnisse!H3-Ergebnisse!J3)*4+(AND(H3-J3&lt;&gt;Ergebnisse!H3-Ergebnisse!J3,SIGN(H3-J3)=SIGN(Ergebnisse!H3-Ergebnisse!J3)))*2+(H3=Ergebnisse!H3)+(J3=Ergebnisse!J3)))),INT(RAND()*8))</f>
        <v>2</v>
      </c>
      <c r="AY3" s="17" t="str">
        <f ca="1">IF(Ergebnisse!K3=Ergebnisse!$B$98,Ergebnisse!K3,"")</f>
        <v>ok</v>
      </c>
      <c r="AZ3" s="2"/>
      <c r="BA3" s="2">
        <f>IF(Ergebnisse!BA3="","",Ergebnisse!BA3)</f>
        <v>4</v>
      </c>
      <c r="BB3" s="6">
        <f>IF(Ergebnisse!BB3="","",Ergebnisse!BB3)</f>
        <v>46185.75</v>
      </c>
      <c r="BC3" s="6" t="str">
        <f>IF(Ergebnisse!BC3="","",Ergebnisse!BC3)</f>
        <v>Los Angeles</v>
      </c>
      <c r="BD3" s="56" t="str">
        <f>IF(Ergebnisse!BD3="","",Ergebnisse!BD3)</f>
        <v>USA</v>
      </c>
      <c r="BE3" s="40"/>
      <c r="BF3" s="56" t="str">
        <f>IF(Ergebnisse!BF3="","",Ergebnisse!BF3)</f>
        <v>Paraguay</v>
      </c>
      <c r="BG3" s="53"/>
      <c r="BH3" s="57">
        <v>1</v>
      </c>
      <c r="BI3" s="11" t="s">
        <v>25</v>
      </c>
      <c r="BJ3" s="57">
        <v>1</v>
      </c>
      <c r="BL3" s="1"/>
      <c r="BY3" s="2"/>
      <c r="CX3" s="17">
        <f ca="1">IF($CX$97="",IF(OR(Ergebnisse!BH3="",Ergebnisse!BJ3=""),0,IF(AND(BH3=Ergebnisse!BH3,BJ3=Ergebnisse!BJ3),7,MIN(7,(BH3-BJ3=Ergebnisse!BH3-Ergebnisse!BJ3)*4+(AND(BH3-BJ3&lt;&gt;Ergebnisse!BH3-Ergebnisse!BJ3,SIGN(BH3-BJ3)=SIGN(Ergebnisse!BH3-Ergebnisse!BJ3)))*2+(BH3=Ergebnisse!BH3)+(BJ3=Ergebnisse!BJ3)))),INT(RAND()*8))</f>
        <v>7</v>
      </c>
      <c r="CY3" s="17" t="str">
        <f ca="1">IF(Ergebnisse!BK3=Ergebnisse!$B$98,Ergebnisse!BK3,"")</f>
        <v>ok</v>
      </c>
      <c r="DA3" s="165" t="s">
        <v>73</v>
      </c>
      <c r="DB3" s="166">
        <f>DB7*DB4</f>
        <v>504</v>
      </c>
    </row>
    <row r="4" spans="1:106">
      <c r="A4" s="2">
        <f>IF(Ergebnisse!A4="","",Ergebnisse!A4)</f>
        <v>2</v>
      </c>
      <c r="B4" s="6">
        <f>IF(Ergebnisse!B4="","",Ergebnisse!B4)</f>
        <v>46184.875</v>
      </c>
      <c r="C4" s="6" t="str">
        <f>IF(Ergebnisse!C4="","",Ergebnisse!C4)</f>
        <v>Guadalajara</v>
      </c>
      <c r="D4" s="56" t="str">
        <f>IF(Ergebnisse!D4="","",Ergebnisse!D4)</f>
        <v>Südkorea</v>
      </c>
      <c r="E4" s="40"/>
      <c r="F4" s="56" t="str">
        <f>IF(Ergebnisse!F4="","",Ergebnisse!F4)</f>
        <v>Tschechien</v>
      </c>
      <c r="G4" s="53"/>
      <c r="H4" s="57">
        <v>1</v>
      </c>
      <c r="I4" s="11" t="s">
        <v>25</v>
      </c>
      <c r="J4" s="57">
        <v>1</v>
      </c>
      <c r="L4" s="1"/>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17">
        <f ca="1">IF($CX$97="",IF(OR(Ergebnisse!H4="",Ergebnisse!J4=""),0,IF(AND(H4=Ergebnisse!H4,J4=Ergebnisse!J4),7,MIN(7,(H4-J4=Ergebnisse!H4-Ergebnisse!J4)*4+(AND(H4-J4&lt;&gt;Ergebnisse!H4-Ergebnisse!J4,SIGN(H4-J4)=SIGN(Ergebnisse!H4-Ergebnisse!J4)))*2+(H4=Ergebnisse!H4)+(J4=Ergebnisse!J4)))),INT(RAND()*8))</f>
        <v>0</v>
      </c>
      <c r="AY4" s="17" t="str">
        <f ca="1">IF(Ergebnisse!K4=Ergebnisse!$B$98,Ergebnisse!K4,"")</f>
        <v>ok</v>
      </c>
      <c r="AZ4" s="2"/>
      <c r="BA4" s="2">
        <f>IF(Ergebnisse!BA4="","",Ergebnisse!BA4)</f>
        <v>6</v>
      </c>
      <c r="BB4" s="6">
        <f>IF(Ergebnisse!BB4="","",Ergebnisse!BB4)</f>
        <v>46186.875</v>
      </c>
      <c r="BC4" s="6" t="str">
        <f>IF(Ergebnisse!BC4="","",Ergebnisse!BC4)</f>
        <v>Vancouver</v>
      </c>
      <c r="BD4" s="56" t="str">
        <f>IF(Ergebnisse!BD4="","",Ergebnisse!BD4)</f>
        <v>Australien</v>
      </c>
      <c r="BE4" s="40"/>
      <c r="BF4" s="56" t="str">
        <f>IF(Ergebnisse!BF4="","",Ergebnisse!BF4)</f>
        <v>Türkei</v>
      </c>
      <c r="BG4" s="53"/>
      <c r="BH4" s="57">
        <v>1</v>
      </c>
      <c r="BI4" s="11" t="s">
        <v>25</v>
      </c>
      <c r="BJ4" s="57">
        <v>2</v>
      </c>
      <c r="BL4" s="1"/>
      <c r="BY4" s="2"/>
      <c r="CX4" s="17">
        <f ca="1">IF($CX$97="",IF(OR(Ergebnisse!BH4="",Ergebnisse!BJ4=""),0,IF(AND(BH4=Ergebnisse!BH4,BJ4=Ergebnisse!BJ4),7,MIN(7,(BH4-BJ4=Ergebnisse!BH4-Ergebnisse!BJ4)*4+(AND(BH4-BJ4&lt;&gt;Ergebnisse!BH4-Ergebnisse!BJ4,SIGN(BH4-BJ4)=SIGN(Ergebnisse!BH4-Ergebnisse!BJ4)))*2+(BH4=Ergebnisse!BH4)+(BJ4=Ergebnisse!BJ4)))),INT(RAND()*8))</f>
        <v>1</v>
      </c>
      <c r="CY4" s="17" t="str">
        <f ca="1">IF(Ergebnisse!BK4=Ergebnisse!$B$98,Ergebnisse!BK4,"")</f>
        <v>ok</v>
      </c>
      <c r="DA4" s="167" t="s">
        <v>78</v>
      </c>
      <c r="DB4" s="270">
        <v>7</v>
      </c>
    </row>
    <row r="5" spans="1:106">
      <c r="A5" s="2">
        <f>IF(Ergebnisse!A5="","",Ergebnisse!A5)</f>
        <v>28</v>
      </c>
      <c r="B5" s="6">
        <f>IF(Ergebnisse!B5="","",Ergebnisse!B5)</f>
        <v>46191.833333333336</v>
      </c>
      <c r="C5" s="6" t="str">
        <f>IF(Ergebnisse!C5="","",Ergebnisse!C5)</f>
        <v>Guadalajara</v>
      </c>
      <c r="D5" s="56" t="str">
        <f>IF(Ergebnisse!D5="","",Ergebnisse!D5)</f>
        <v>Mexiko</v>
      </c>
      <c r="E5" s="40"/>
      <c r="F5" s="56" t="str">
        <f>IF(Ergebnisse!F5="","",Ergebnisse!F5)</f>
        <v>Südkorea</v>
      </c>
      <c r="G5" s="53"/>
      <c r="H5" s="57">
        <v>2</v>
      </c>
      <c r="I5" s="11" t="s">
        <v>25</v>
      </c>
      <c r="J5" s="57">
        <v>0</v>
      </c>
      <c r="L5" s="1"/>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17">
        <f ca="1">IF($CX$97="",IF(OR(Ergebnisse!H5="",Ergebnisse!J5=""),0,IF(AND(H5=Ergebnisse!H5,J5=Ergebnisse!J5),7,MIN(7,(H5-J5=Ergebnisse!H5-Ergebnisse!J5)*4+(AND(H5-J5&lt;&gt;Ergebnisse!H5-Ergebnisse!J5,SIGN(H5-J5)=SIGN(Ergebnisse!H5-Ergebnisse!J5)))*2+(H5=Ergebnisse!H5)+(J5=Ergebnisse!J5)))),INT(RAND()*8))</f>
        <v>0</v>
      </c>
      <c r="AY5" s="17" t="str">
        <f ca="1">IF(Ergebnisse!K5=Ergebnisse!$B$98,Ergebnisse!K5,"")</f>
        <v>ok</v>
      </c>
      <c r="AZ5" s="2"/>
      <c r="BA5" s="2">
        <f>IF(Ergebnisse!BA5="","",Ergebnisse!BA5)</f>
        <v>32</v>
      </c>
      <c r="BB5" s="6">
        <f>IF(Ergebnisse!BB5="","",Ergebnisse!BB5)</f>
        <v>46192.5</v>
      </c>
      <c r="BC5" s="6" t="str">
        <f>IF(Ergebnisse!BC5="","",Ergebnisse!BC5)</f>
        <v>Seattle</v>
      </c>
      <c r="BD5" s="56" t="str">
        <f>IF(Ergebnisse!BD5="","",Ergebnisse!BD5)</f>
        <v>USA</v>
      </c>
      <c r="BE5" s="40"/>
      <c r="BF5" s="56" t="str">
        <f>IF(Ergebnisse!BF5="","",Ergebnisse!BF5)</f>
        <v>Australien</v>
      </c>
      <c r="BG5" s="53"/>
      <c r="BH5" s="57">
        <v>3</v>
      </c>
      <c r="BI5" s="11" t="s">
        <v>25</v>
      </c>
      <c r="BJ5" s="57">
        <v>1</v>
      </c>
      <c r="BL5" s="1"/>
      <c r="BY5" s="2"/>
      <c r="CX5" s="17">
        <f ca="1">IF($CX$97="",IF(OR(Ergebnisse!BH5="",Ergebnisse!BJ5=""),0,IF(AND(BH5=Ergebnisse!BH5,BJ5=Ergebnisse!BJ5),7,MIN(7,(BH5-BJ5=Ergebnisse!BH5-Ergebnisse!BJ5)*4+(AND(BH5-BJ5&lt;&gt;Ergebnisse!BH5-Ergebnisse!BJ5,SIGN(BH5-BJ5)=SIGN(Ergebnisse!BH5-Ergebnisse!BJ5)))*2+(BH5=Ergebnisse!BH5)+(BJ5=Ergebnisse!BJ5)))),INT(RAND()*8))</f>
        <v>1</v>
      </c>
      <c r="CY5" s="17" t="str">
        <f ca="1">IF(Ergebnisse!BK5=Ergebnisse!$B$98,Ergebnisse!BK5,"")</f>
        <v>ok</v>
      </c>
      <c r="DA5" s="167" t="s">
        <v>79</v>
      </c>
      <c r="DB5" s="270">
        <v>4</v>
      </c>
    </row>
    <row r="6" spans="1:106">
      <c r="A6" s="2">
        <f>IF(Ergebnisse!A6="","",Ergebnisse!A6)</f>
        <v>25</v>
      </c>
      <c r="B6" s="6">
        <f>IF(Ergebnisse!B6="","",Ergebnisse!B6)</f>
        <v>46191.5</v>
      </c>
      <c r="C6" s="6" t="str">
        <f>IF(Ergebnisse!C6="","",Ergebnisse!C6)</f>
        <v>Atlanta</v>
      </c>
      <c r="D6" s="56" t="str">
        <f>IF(Ergebnisse!D6="","",Ergebnisse!D6)</f>
        <v>Tschechien</v>
      </c>
      <c r="E6" s="40"/>
      <c r="F6" s="56" t="str">
        <f>IF(Ergebnisse!F6="","",Ergebnisse!F6)</f>
        <v>Südafrika</v>
      </c>
      <c r="G6" s="53"/>
      <c r="H6" s="57">
        <v>4</v>
      </c>
      <c r="I6" s="11" t="s">
        <v>25</v>
      </c>
      <c r="J6" s="57">
        <v>2</v>
      </c>
      <c r="L6" s="1"/>
      <c r="N6" s="1"/>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17">
        <f ca="1">IF($CX$97="",IF(OR(Ergebnisse!H6="",Ergebnisse!J6=""),0,IF(AND(H6=Ergebnisse!H6,J6=Ergebnisse!J6),7,MIN(7,(H6-J6=Ergebnisse!H6-Ergebnisse!J6)*4+(AND(H6-J6&lt;&gt;Ergebnisse!H6-Ergebnisse!J6,SIGN(H6-J6)=SIGN(Ergebnisse!H6-Ergebnisse!J6)))*2+(H6=Ergebnisse!H6)+(J6=Ergebnisse!J6)))),INT(RAND()*8))</f>
        <v>0</v>
      </c>
      <c r="AY6" s="17" t="str">
        <f ca="1">IF(Ergebnisse!K6=Ergebnisse!$B$98,Ergebnisse!K6,"")</f>
        <v>ok</v>
      </c>
      <c r="AZ6" s="2"/>
      <c r="BA6" s="2">
        <f>IF(Ergebnisse!BA6="","",Ergebnisse!BA6)</f>
        <v>31</v>
      </c>
      <c r="BB6" s="6">
        <f>IF(Ergebnisse!BB6="","",Ergebnisse!BB6)</f>
        <v>46192.875</v>
      </c>
      <c r="BC6" s="6" t="str">
        <f>IF(Ergebnisse!BC6="","",Ergebnisse!BC6)</f>
        <v>San Francisco</v>
      </c>
      <c r="BD6" s="56" t="str">
        <f>IF(Ergebnisse!BD6="","",Ergebnisse!BD6)</f>
        <v>Türkei</v>
      </c>
      <c r="BE6" s="40"/>
      <c r="BF6" s="56" t="str">
        <f>IF(Ergebnisse!BF6="","",Ergebnisse!BF6)</f>
        <v>Paraguay</v>
      </c>
      <c r="BG6" s="53"/>
      <c r="BH6" s="57">
        <v>0</v>
      </c>
      <c r="BI6" s="11" t="s">
        <v>25</v>
      </c>
      <c r="BJ6" s="57">
        <v>2</v>
      </c>
      <c r="BL6" s="1"/>
      <c r="BN6" s="1"/>
      <c r="BY6" s="2"/>
      <c r="CX6" s="17">
        <f ca="1">IF($CX$97="",IF(OR(Ergebnisse!BH6="",Ergebnisse!BJ6=""),0,IF(AND(BH6=Ergebnisse!BH6,BJ6=Ergebnisse!BJ6),7,MIN(7,(BH6-BJ6=Ergebnisse!BH6-Ergebnisse!BJ6)*4+(AND(BH6-BJ6&lt;&gt;Ergebnisse!BH6-Ergebnisse!BJ6,SIGN(BH6-BJ6)=SIGN(Ergebnisse!BH6-Ergebnisse!BJ6)))*2+(BH6=Ergebnisse!BH6)+(BJ6=Ergebnisse!BJ6)))),INT(RAND()*8))</f>
        <v>0</v>
      </c>
      <c r="CY6" s="17" t="str">
        <f ca="1">IF(Ergebnisse!BK6=Ergebnisse!$B$98,Ergebnisse!BK6,"")</f>
        <v>ok</v>
      </c>
      <c r="DA6" s="167" t="s">
        <v>80</v>
      </c>
      <c r="DB6" s="270">
        <v>2</v>
      </c>
    </row>
    <row r="7" spans="1:106">
      <c r="A7" s="2">
        <f>IF(Ergebnisse!A7="","",Ergebnisse!A7)</f>
        <v>53</v>
      </c>
      <c r="B7" s="6">
        <f>IF(Ergebnisse!B7="","",Ergebnisse!B7)</f>
        <v>46197.833333333336</v>
      </c>
      <c r="C7" s="6" t="str">
        <f>IF(Ergebnisse!C7="","",Ergebnisse!C7)</f>
        <v>Mexico City</v>
      </c>
      <c r="D7" s="56" t="str">
        <f>IF(Ergebnisse!D7="","",Ergebnisse!D7)</f>
        <v>Tschechien</v>
      </c>
      <c r="E7" s="40"/>
      <c r="F7" s="56" t="str">
        <f>IF(Ergebnisse!F7="","",Ergebnisse!F7)</f>
        <v>Mexiko</v>
      </c>
      <c r="G7" s="55"/>
      <c r="H7" s="57">
        <v>0</v>
      </c>
      <c r="I7" s="11" t="s">
        <v>25</v>
      </c>
      <c r="J7" s="57">
        <v>3</v>
      </c>
      <c r="M7" s="36" t="s">
        <v>201</v>
      </c>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17">
        <f ca="1">IF($CX$97="",IF(OR(Ergebnisse!H7="",Ergebnisse!J7=""),0,IF(AND(H7=Ergebnisse!H7,J7=Ergebnisse!J7),7,MIN(7,(H7-J7=Ergebnisse!H7-Ergebnisse!J7)*4+(AND(H7-J7&lt;&gt;Ergebnisse!H7-Ergebnisse!J7,SIGN(H7-J7)=SIGN(Ergebnisse!H7-Ergebnisse!J7)))*2+(H7=Ergebnisse!H7)+(J7=Ergebnisse!J7)))),INT(RAND()*8))</f>
        <v>0</v>
      </c>
      <c r="AY7" s="17" t="str">
        <f ca="1">IF(Ergebnisse!K7=Ergebnisse!$B$98,Ergebnisse!K7,"")</f>
        <v>ok</v>
      </c>
      <c r="AZ7" s="2"/>
      <c r="BA7" s="2">
        <f>IF(Ergebnisse!BA7="","",Ergebnisse!BA7)</f>
        <v>59</v>
      </c>
      <c r="BB7" s="6">
        <f>IF(Ergebnisse!BB7="","",Ergebnisse!BB7)</f>
        <v>46198.791666666664</v>
      </c>
      <c r="BC7" s="6" t="str">
        <f>IF(Ergebnisse!BC7="","",Ergebnisse!BC7)</f>
        <v>Los Angeles</v>
      </c>
      <c r="BD7" s="56" t="str">
        <f>IF(Ergebnisse!BD7="","",Ergebnisse!BD7)</f>
        <v>Türkei</v>
      </c>
      <c r="BE7" s="40"/>
      <c r="BF7" s="56" t="str">
        <f>IF(Ergebnisse!BF7="","",Ergebnisse!BF7)</f>
        <v>USA</v>
      </c>
      <c r="BG7" s="55"/>
      <c r="BH7" s="57">
        <v>1</v>
      </c>
      <c r="BI7" s="11" t="s">
        <v>25</v>
      </c>
      <c r="BJ7" s="57">
        <v>2</v>
      </c>
      <c r="BM7" s="177" t="s">
        <v>204</v>
      </c>
      <c r="BY7" s="2"/>
      <c r="CX7" s="17">
        <f ca="1">IF($CX$97="",IF(OR(Ergebnisse!BH7="",Ergebnisse!BJ7=""),0,IF(AND(BH7=Ergebnisse!BH7,BJ7=Ergebnisse!BJ7),7,MIN(7,(BH7-BJ7=Ergebnisse!BH7-Ergebnisse!BJ7)*4+(AND(BH7-BJ7&lt;&gt;Ergebnisse!BH7-Ergebnisse!BJ7,SIGN(BH7-BJ7)=SIGN(Ergebnisse!BH7-Ergebnisse!BJ7)))*2+(BH7=Ergebnisse!BH7)+(BJ7=Ergebnisse!BJ7)))),INT(RAND()*8))</f>
        <v>0</v>
      </c>
      <c r="CY7" s="17" t="str">
        <f ca="1">IF(Ergebnisse!BK7=Ergebnisse!$B$98,Ergebnisse!BK7,"")</f>
        <v>ok</v>
      </c>
      <c r="DA7" s="168" t="s">
        <v>452</v>
      </c>
      <c r="DB7" s="169">
        <v>72</v>
      </c>
    </row>
    <row r="8" spans="1:106">
      <c r="A8" s="2">
        <f>IF(Ergebnisse!A8="","",Ergebnisse!A8)</f>
        <v>54</v>
      </c>
      <c r="B8" s="6">
        <f>IF(Ergebnisse!B8="","",Ergebnisse!B8)</f>
        <v>46197.833333333336</v>
      </c>
      <c r="C8" s="6" t="str">
        <f>IF(Ergebnisse!C8="","",Ergebnisse!C8)</f>
        <v>Monterrey</v>
      </c>
      <c r="D8" s="56" t="str">
        <f>IF(Ergebnisse!D8="","",Ergebnisse!D8)</f>
        <v>Südafrika</v>
      </c>
      <c r="E8" s="40"/>
      <c r="F8" s="56" t="str">
        <f>IF(Ergebnisse!F8="","",Ergebnisse!F8)</f>
        <v>Südkorea</v>
      </c>
      <c r="G8" s="55"/>
      <c r="H8" s="57">
        <v>1</v>
      </c>
      <c r="I8" s="11" t="s">
        <v>25</v>
      </c>
      <c r="J8" s="57">
        <v>2</v>
      </c>
      <c r="M8" s="36" t="s">
        <v>189</v>
      </c>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17">
        <f ca="1">IF($CX$97="",IF(OR(Ergebnisse!H8="",Ergebnisse!J8=""),0,IF(AND(H8=Ergebnisse!H8,J8=Ergebnisse!J8),7,MIN(7,(H8-J8=Ergebnisse!H8-Ergebnisse!J8)*4+(AND(H8-J8&lt;&gt;Ergebnisse!H8-Ergebnisse!J8,SIGN(H8-J8)=SIGN(Ergebnisse!H8-Ergebnisse!J8)))*2+(H8=Ergebnisse!H8)+(J8=Ergebnisse!J8)))),INT(RAND()*8))</f>
        <v>0</v>
      </c>
      <c r="AY8" s="17" t="str">
        <f ca="1">IF(Ergebnisse!K8=Ergebnisse!$B$98,Ergebnisse!K8,"")</f>
        <v>ok</v>
      </c>
      <c r="AZ8" s="2"/>
      <c r="BA8" s="2">
        <f>IF(Ergebnisse!BA8="","",Ergebnisse!BA8)</f>
        <v>60</v>
      </c>
      <c r="BB8" s="6">
        <f>IF(Ergebnisse!BB8="","",Ergebnisse!BB8)</f>
        <v>46198.791666666664</v>
      </c>
      <c r="BC8" s="6" t="str">
        <f>IF(Ergebnisse!BC8="","",Ergebnisse!BC8)</f>
        <v>San Francisco</v>
      </c>
      <c r="BD8" s="56" t="str">
        <f>IF(Ergebnisse!BD8="","",Ergebnisse!BD8)</f>
        <v>Paraguay</v>
      </c>
      <c r="BE8" s="40"/>
      <c r="BF8" s="56" t="str">
        <f>IF(Ergebnisse!BF8="","",Ergebnisse!BF8)</f>
        <v>Australien</v>
      </c>
      <c r="BG8" s="55"/>
      <c r="BH8" s="57">
        <v>3</v>
      </c>
      <c r="BI8" s="11" t="s">
        <v>25</v>
      </c>
      <c r="BJ8" s="57">
        <v>1</v>
      </c>
      <c r="BM8" s="177" t="s">
        <v>202</v>
      </c>
      <c r="BY8" s="2"/>
      <c r="CX8" s="17">
        <f ca="1">IF($CX$97="",IF(OR(Ergebnisse!BH8="",Ergebnisse!BJ8=""),0,IF(AND(BH8=Ergebnisse!BH8,BJ8=Ergebnisse!BJ8),7,MIN(7,(BH8-BJ8=Ergebnisse!BH8-Ergebnisse!BJ8)*4+(AND(BH8-BJ8&lt;&gt;Ergebnisse!BH8-Ergebnisse!BJ8,SIGN(BH8-BJ8)=SIGN(Ergebnisse!BH8-Ergebnisse!BJ8)))*2+(BH8=Ergebnisse!BH8)+(BJ8=Ergebnisse!BJ8)))),INT(RAND()*8))</f>
        <v>0</v>
      </c>
      <c r="CY8" s="17" t="str">
        <f ca="1">IF(Ergebnisse!BK8=Ergebnisse!$B$98,Ergebnisse!BK8,"")</f>
        <v>ok</v>
      </c>
      <c r="DA8" s="163"/>
      <c r="DB8" s="164"/>
    </row>
    <row r="9" spans="1:106">
      <c r="E9" s="55"/>
      <c r="F9" s="55"/>
      <c r="G9" s="55"/>
      <c r="M9" s="36" t="s">
        <v>205</v>
      </c>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8">
        <f ca="1">IF($CX$97="",2*COUNTIF(Ergebnisse!$D$63:'Ergebnisse'!$F$78,M9),2*INT(RAND()*2))</f>
        <v>2</v>
      </c>
      <c r="AY9" s="17" t="str">
        <f ca="1">IF(COUNTIF(Ergebnisse!K3:'Ergebnisse'!K8,Ergebnisse!$B$98)=6,"ok","")</f>
        <v>ok</v>
      </c>
      <c r="AZ9" s="2"/>
      <c r="BE9" s="55"/>
      <c r="BF9" s="55"/>
      <c r="BG9" s="55"/>
      <c r="BM9" s="177" t="s">
        <v>185</v>
      </c>
      <c r="BY9" s="2"/>
      <c r="CX9" s="76">
        <f ca="1">IF($CX$97="",2*COUNTIF(Ergebnisse!$D$63:'Ergebnisse'!$F$78,BM9),2*INT(RAND()*2))</f>
        <v>2</v>
      </c>
      <c r="CY9" s="17" t="str">
        <f ca="1">IF(COUNTIF(Ergebnisse!BK3:'Ergebnisse'!BK8,Ergebnisse!$B$98)=6,"ok","")</f>
        <v>ok</v>
      </c>
      <c r="DA9" s="165" t="s">
        <v>81</v>
      </c>
      <c r="DB9" s="166">
        <f>DB12*DB11</f>
        <v>64</v>
      </c>
    </row>
    <row r="10" spans="1:106" ht="6" customHeight="1">
      <c r="D10" s="55"/>
      <c r="E10" s="58"/>
      <c r="F10" s="59"/>
      <c r="G10" s="59"/>
      <c r="H10" s="55"/>
      <c r="I10" s="55"/>
      <c r="J10" s="55"/>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17"/>
      <c r="AZ10" s="2"/>
      <c r="BD10" s="55"/>
      <c r="BE10" s="58"/>
      <c r="BF10" s="59"/>
      <c r="BG10" s="59"/>
      <c r="BH10" s="55"/>
      <c r="BI10" s="55"/>
      <c r="BJ10" s="55"/>
      <c r="BY10" s="2"/>
      <c r="DA10" s="163"/>
      <c r="DB10" s="164"/>
    </row>
    <row r="11" spans="1:106" s="10" customFormat="1">
      <c r="B11" s="31" t="s">
        <v>0</v>
      </c>
      <c r="C11" s="32" t="s">
        <v>31</v>
      </c>
      <c r="D11" s="53" t="s">
        <v>2</v>
      </c>
      <c r="E11" s="54"/>
      <c r="F11" s="53"/>
      <c r="G11" s="53"/>
      <c r="H11" s="20"/>
      <c r="I11" s="19"/>
      <c r="J11" s="20"/>
      <c r="K11" s="180"/>
      <c r="L11" s="17"/>
      <c r="M11" s="35"/>
      <c r="N11" s="17"/>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X11" s="31">
        <f ca="1">IF($CX$97="",2*COUNTIF(Ergebnisse!$D$63:'Ergebnisse'!$F$78,M17),2*INT(RAND()*2))</f>
        <v>2</v>
      </c>
      <c r="AY11" s="17" t="str">
        <f ca="1">IF(COUNTIF(Ergebnisse!K13:'Ergebnisse'!K18,Ergebnisse!$B$98)=6,"ok","")</f>
        <v>ok</v>
      </c>
      <c r="BB11" s="72" t="s">
        <v>0</v>
      </c>
      <c r="BC11" s="73" t="s">
        <v>21</v>
      </c>
      <c r="BD11" s="53" t="s">
        <v>2</v>
      </c>
      <c r="BE11" s="54"/>
      <c r="BF11" s="53"/>
      <c r="BG11" s="53"/>
      <c r="BH11" s="20"/>
      <c r="BI11" s="19"/>
      <c r="BJ11" s="20"/>
      <c r="BK11" s="180"/>
      <c r="BL11" s="17"/>
      <c r="BM11" s="35"/>
      <c r="BN11" s="17"/>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72">
        <f ca="1">IF($CX$97="",2*COUNTIF(Ergebnisse!$D$63:'Ergebnisse'!$F$78,BM17),2*INT(RAND()*2))</f>
        <v>0</v>
      </c>
      <c r="CY11" s="17" t="str">
        <f ca="1">IF(COUNTIF(Ergebnisse!BK13:'Ergebnisse'!BK18,Ergebnisse!$B$98)=6,"ok","")</f>
        <v>ok</v>
      </c>
      <c r="DA11" s="163" t="s">
        <v>157</v>
      </c>
      <c r="DB11" s="270">
        <v>2</v>
      </c>
    </row>
    <row r="12" spans="1:106">
      <c r="B12" s="3" t="s">
        <v>22</v>
      </c>
      <c r="C12" s="3" t="s">
        <v>23</v>
      </c>
      <c r="D12" s="55"/>
      <c r="E12" s="55"/>
      <c r="F12" s="55"/>
      <c r="G12" s="55"/>
      <c r="L12" s="1"/>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31">
        <f ca="1">IF($CX$97="",2*COUNTIF(Ergebnisse!$D$63:'Ergebnisse'!$F$78,M18),2*INT(RAND()*2))</f>
        <v>2</v>
      </c>
      <c r="AY12" s="17" t="str">
        <f ca="1">IF(COUNTIF(Ergebnisse!K13:'Ergebnisse'!K18,Ergebnisse!$B$98)=6,"ok","")</f>
        <v>ok</v>
      </c>
      <c r="AZ12" s="2"/>
      <c r="BB12" s="3" t="s">
        <v>22</v>
      </c>
      <c r="BC12" s="3" t="s">
        <v>23</v>
      </c>
      <c r="BD12" s="55"/>
      <c r="BE12" s="55"/>
      <c r="BF12" s="55"/>
      <c r="BG12" s="55"/>
      <c r="BL12" s="1"/>
      <c r="BY12" s="2"/>
      <c r="CX12" s="72">
        <f ca="1">IF($CX$97="",2*COUNTIF(Ergebnisse!$D$63:'Ergebnisse'!$F$78,BM18),2*INT(RAND()*2))</f>
        <v>2</v>
      </c>
      <c r="CY12" s="17" t="str">
        <f ca="1">IF(COUNTIF(Ergebnisse!BK13:'Ergebnisse'!BK18,Ergebnisse!$B$98)=6,"ok","")</f>
        <v>ok</v>
      </c>
      <c r="DA12" s="168" t="s">
        <v>453</v>
      </c>
      <c r="DB12" s="188">
        <v>32</v>
      </c>
    </row>
    <row r="13" spans="1:106">
      <c r="A13" s="16">
        <f>IF(Ergebnisse!A13="","",Ergebnisse!A13)</f>
        <v>3</v>
      </c>
      <c r="B13" s="6">
        <f>IF(Ergebnisse!B13="","",Ergebnisse!B13)</f>
        <v>46185.625</v>
      </c>
      <c r="C13" s="6" t="str">
        <f>IF(Ergebnisse!C13="","",Ergebnisse!C13)</f>
        <v>Toronto</v>
      </c>
      <c r="D13" s="56" t="str">
        <f>IF(Ergebnisse!D13="","",Ergebnisse!D13)</f>
        <v>Kanada</v>
      </c>
      <c r="E13" s="40"/>
      <c r="F13" s="56" t="str">
        <f>IF(Ergebnisse!F13="","",Ergebnisse!F13)</f>
        <v>Bosnien/Herzg.</v>
      </c>
      <c r="G13" s="53"/>
      <c r="H13" s="57">
        <v>2</v>
      </c>
      <c r="I13" s="11" t="s">
        <v>25</v>
      </c>
      <c r="J13" s="57">
        <v>0</v>
      </c>
      <c r="L13" s="1"/>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17">
        <f ca="1">IF($CX$97="",IF(OR(Ergebnisse!H13="",Ergebnisse!J13=""),0,IF(AND(H13=Ergebnisse!H13,J13=Ergebnisse!J13),7,MIN(7,(H13-J13=Ergebnisse!H13-Ergebnisse!J13)*4+(AND(H13-J13&lt;&gt;Ergebnisse!H13-Ergebnisse!J13,SIGN(H13-J13)=SIGN(Ergebnisse!H13-Ergebnisse!J13)))*2+(H13=Ergebnisse!H13)+(J13=Ergebnisse!J13)))),INT(RAND()*8))</f>
        <v>1</v>
      </c>
      <c r="AY13" s="17" t="str">
        <f ca="1">IF(Ergebnisse!K13=Ergebnisse!$B$98,Ergebnisse!K13,"")</f>
        <v>ok</v>
      </c>
      <c r="AZ13" s="2"/>
      <c r="BA13" s="2">
        <f>IF(Ergebnisse!BA13="","",Ergebnisse!BA13)</f>
        <v>10</v>
      </c>
      <c r="BB13" s="6">
        <f>IF(Ergebnisse!BB13="","",Ergebnisse!BB13)</f>
        <v>46187.5</v>
      </c>
      <c r="BC13" s="6" t="str">
        <f>IF(Ergebnisse!BC13="","",Ergebnisse!BC13)</f>
        <v>Houston</v>
      </c>
      <c r="BD13" s="56" t="str">
        <f>IF(Ergebnisse!BD13="","",Ergebnisse!BD13)</f>
        <v>Deutschland</v>
      </c>
      <c r="BE13" s="40"/>
      <c r="BF13" s="56" t="str">
        <f>IF(Ergebnisse!BF13="","",Ergebnisse!BF13)</f>
        <v>Curaçao</v>
      </c>
      <c r="BG13" s="53"/>
      <c r="BH13" s="57">
        <v>4</v>
      </c>
      <c r="BI13" s="11" t="s">
        <v>25</v>
      </c>
      <c r="BJ13" s="57">
        <v>0</v>
      </c>
      <c r="BL13" s="1"/>
      <c r="BY13" s="2"/>
      <c r="CX13" s="17">
        <f ca="1">IF($CX$97="",IF(OR(Ergebnisse!BH13="",Ergebnisse!BJ13=""),0,IF(AND(BH13=Ergebnisse!BH13,BJ13=Ergebnisse!BJ13),7,MIN(7,(BH13-BJ13=Ergebnisse!BH13-Ergebnisse!BJ13)*4+(AND(BH13-BJ13&lt;&gt;Ergebnisse!BH13-Ergebnisse!BJ13,SIGN(BH13-BJ13)=SIGN(Ergebnisse!BH13-Ergebnisse!BJ13)))*2+(BH13=Ergebnisse!BH13)+(BJ13=Ergebnisse!BJ13)))),INT(RAND()*8))</f>
        <v>0</v>
      </c>
      <c r="CY13" s="17" t="str">
        <f ca="1">IF(Ergebnisse!BK13=Ergebnisse!$B$98,Ergebnisse!BK13,"")</f>
        <v>ok</v>
      </c>
      <c r="DA13" s="168"/>
      <c r="DB13" s="164"/>
    </row>
    <row r="14" spans="1:106">
      <c r="A14" s="2">
        <f>IF(Ergebnisse!A14="","",Ergebnisse!A14)</f>
        <v>8</v>
      </c>
      <c r="B14" s="6">
        <f>IF(Ergebnisse!B14="","",Ergebnisse!B14)</f>
        <v>46186.5</v>
      </c>
      <c r="C14" s="6" t="str">
        <f>IF(Ergebnisse!C14="","",Ergebnisse!C14)</f>
        <v>San Francisco</v>
      </c>
      <c r="D14" s="56" t="str">
        <f>IF(Ergebnisse!D14="","",Ergebnisse!D14)</f>
        <v>Katar</v>
      </c>
      <c r="E14" s="40"/>
      <c r="F14" s="56" t="str">
        <f>IF(Ergebnisse!F14="","",Ergebnisse!F14)</f>
        <v>Schweiz</v>
      </c>
      <c r="G14" s="53"/>
      <c r="H14" s="57">
        <v>1</v>
      </c>
      <c r="I14" s="11" t="s">
        <v>25</v>
      </c>
      <c r="J14" s="57">
        <v>1</v>
      </c>
      <c r="L14" s="1"/>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17">
        <f ca="1">IF($CX$97="",IF(OR(Ergebnisse!H14="",Ergebnisse!J14=""),0,IF(AND(H14=Ergebnisse!H14,J14=Ergebnisse!J14),7,MIN(7,(H14-J14=Ergebnisse!H14-Ergebnisse!J14)*4+(AND(H14-J14&lt;&gt;Ergebnisse!H14-Ergebnisse!J14,SIGN(H14-J14)=SIGN(Ergebnisse!H14-Ergebnisse!J14)))*2+(H14=Ergebnisse!H14)+(J14=Ergebnisse!J14)))),INT(RAND()*8))</f>
        <v>0</v>
      </c>
      <c r="AY14" s="17" t="str">
        <f ca="1">IF(Ergebnisse!K14=Ergebnisse!$B$98,Ergebnisse!K14,"")</f>
        <v>ok</v>
      </c>
      <c r="AZ14" s="2"/>
      <c r="BA14" s="2">
        <f>IF(Ergebnisse!BA14="","",Ergebnisse!BA14)</f>
        <v>9</v>
      </c>
      <c r="BB14" s="6">
        <f>IF(Ergebnisse!BB14="","",Ergebnisse!BB14)</f>
        <v>46187.791666666664</v>
      </c>
      <c r="BC14" s="6" t="str">
        <f>IF(Ergebnisse!BC14="","",Ergebnisse!BC14)</f>
        <v>Philadelphia</v>
      </c>
      <c r="BD14" s="56" t="str">
        <f>IF(Ergebnisse!BD14="","",Ergebnisse!BD14)</f>
        <v>Elfenbeinküste</v>
      </c>
      <c r="BE14" s="40"/>
      <c r="BF14" s="56" t="str">
        <f>IF(Ergebnisse!BF14="","",Ergebnisse!BF14)</f>
        <v>Ecuador</v>
      </c>
      <c r="BG14" s="53"/>
      <c r="BH14" s="57">
        <v>1</v>
      </c>
      <c r="BI14" s="11" t="s">
        <v>25</v>
      </c>
      <c r="BJ14" s="57">
        <v>2</v>
      </c>
      <c r="BL14" s="1"/>
      <c r="BY14" s="2"/>
      <c r="CX14" s="17">
        <f ca="1">IF($CX$97="",IF(OR(Ergebnisse!BH14="",Ergebnisse!BJ14=""),0,IF(AND(BH14=Ergebnisse!BH14,BJ14=Ergebnisse!BJ14),7,MIN(7,(BH14-BJ14=Ergebnisse!BH14-Ergebnisse!BJ14)*4+(AND(BH14-BJ14&lt;&gt;Ergebnisse!BH14-Ergebnisse!BJ14,SIGN(BH14-BJ14)=SIGN(Ergebnisse!BH14-Ergebnisse!BJ14)))*2+(BH14=Ergebnisse!BH14)+(BJ14=Ergebnisse!BJ14)))),INT(RAND()*8))</f>
        <v>3</v>
      </c>
      <c r="CY14" s="17" t="str">
        <f ca="1">IF(Ergebnisse!BK14=Ergebnisse!$B$98,Ergebnisse!BK14,"")</f>
        <v>ok</v>
      </c>
      <c r="DA14" s="170" t="s">
        <v>454</v>
      </c>
      <c r="DB14" s="166">
        <f>DB17*(DB16+2*DB15)</f>
        <v>144</v>
      </c>
    </row>
    <row r="15" spans="1:106">
      <c r="A15" s="2">
        <f>IF(Ergebnisse!A15="","",Ergebnisse!A15)</f>
        <v>27</v>
      </c>
      <c r="B15" s="6">
        <f>IF(Ergebnisse!B15="","",Ergebnisse!B15)</f>
        <v>46191.625</v>
      </c>
      <c r="C15" s="6" t="str">
        <f>IF(Ergebnisse!C15="","",Ergebnisse!C15)</f>
        <v>Vancouver</v>
      </c>
      <c r="D15" s="56" t="str">
        <f>IF(Ergebnisse!D15="","",Ergebnisse!D15)</f>
        <v>Kanada</v>
      </c>
      <c r="E15" s="40"/>
      <c r="F15" s="56" t="str">
        <f>IF(Ergebnisse!F15="","",Ergebnisse!F15)</f>
        <v>Katar</v>
      </c>
      <c r="G15" s="53"/>
      <c r="H15" s="57">
        <v>3</v>
      </c>
      <c r="I15" s="11" t="s">
        <v>25</v>
      </c>
      <c r="J15" s="57">
        <v>2</v>
      </c>
      <c r="L15" s="1"/>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17">
        <f ca="1">IF($CX$97="",IF(OR(Ergebnisse!H15="",Ergebnisse!J15=""),0,IF(AND(H15=Ergebnisse!H15,J15=Ergebnisse!J15),7,MIN(7,(H15-J15=Ergebnisse!H15-Ergebnisse!J15)*4+(AND(H15-J15&lt;&gt;Ergebnisse!H15-Ergebnisse!J15,SIGN(H15-J15)=SIGN(Ergebnisse!H15-Ergebnisse!J15)))*2+(H15=Ergebnisse!H15)+(J15=Ergebnisse!J15)))),INT(RAND()*8))</f>
        <v>3</v>
      </c>
      <c r="AY15" s="17" t="str">
        <f ca="1">IF(Ergebnisse!K15=Ergebnisse!$B$98,Ergebnisse!K15,"")</f>
        <v>ok</v>
      </c>
      <c r="AZ15" s="2"/>
      <c r="BA15" s="2">
        <f>IF(Ergebnisse!BA15="","",Ergebnisse!BA15)</f>
        <v>33</v>
      </c>
      <c r="BB15" s="6">
        <f>IF(Ergebnisse!BB15="","",Ergebnisse!BB15)</f>
        <v>46193.666666666664</v>
      </c>
      <c r="BC15" s="6" t="str">
        <f>IF(Ergebnisse!BC15="","",Ergebnisse!BC15)</f>
        <v>Toronto</v>
      </c>
      <c r="BD15" s="56" t="str">
        <f>IF(Ergebnisse!BD15="","",Ergebnisse!BD15)</f>
        <v>Deutschland</v>
      </c>
      <c r="BE15" s="40"/>
      <c r="BF15" s="56" t="str">
        <f>IF(Ergebnisse!BF15="","",Ergebnisse!BF15)</f>
        <v>Elfenbeinküste</v>
      </c>
      <c r="BG15" s="53"/>
      <c r="BH15" s="57">
        <v>2</v>
      </c>
      <c r="BI15" s="11" t="s">
        <v>25</v>
      </c>
      <c r="BJ15" s="57">
        <v>1</v>
      </c>
      <c r="BL15" s="1"/>
      <c r="BY15" s="2"/>
      <c r="CX15" s="17">
        <f ca="1">IF($CX$97="",IF(OR(Ergebnisse!BH15="",Ergebnisse!BJ15=""),0,IF(AND(BH15=Ergebnisse!BH15,BJ15=Ergebnisse!BJ15),7,MIN(7,(BH15-BJ15=Ergebnisse!BH15-Ergebnisse!BJ15)*4+(AND(BH15-BJ15&lt;&gt;Ergebnisse!BH15-Ergebnisse!BJ15,SIGN(BH15-BJ15)=SIGN(Ergebnisse!BH15-Ergebnisse!BJ15)))*2+(BH15=Ergebnisse!BH15)+(BJ15=Ergebnisse!BJ15)))),INT(RAND()*8))</f>
        <v>1</v>
      </c>
      <c r="CY15" s="17" t="str">
        <f ca="1">IF(Ergebnisse!BK15=Ergebnisse!$B$98,Ergebnisse!BK15,"")</f>
        <v>ok</v>
      </c>
      <c r="DA15" s="167" t="s">
        <v>455</v>
      </c>
      <c r="DB15" s="270">
        <v>1</v>
      </c>
    </row>
    <row r="16" spans="1:106">
      <c r="A16" s="2">
        <f>IF(Ergebnisse!A16="","",Ergebnisse!A16)</f>
        <v>26</v>
      </c>
      <c r="B16" s="6">
        <f>IF(Ergebnisse!B16="","",Ergebnisse!B16)</f>
        <v>46191.5</v>
      </c>
      <c r="C16" s="6" t="str">
        <f>IF(Ergebnisse!C16="","",Ergebnisse!C16)</f>
        <v>Los Angeles</v>
      </c>
      <c r="D16" s="56" t="str">
        <f>IF(Ergebnisse!D16="","",Ergebnisse!D16)</f>
        <v>Schweiz</v>
      </c>
      <c r="E16" s="40"/>
      <c r="F16" s="56" t="str">
        <f>IF(Ergebnisse!F16="","",Ergebnisse!F16)</f>
        <v>Bosnien/Herzg.</v>
      </c>
      <c r="G16" s="53"/>
      <c r="H16" s="57">
        <v>2</v>
      </c>
      <c r="I16" s="11" t="s">
        <v>25</v>
      </c>
      <c r="J16" s="57">
        <v>0</v>
      </c>
      <c r="L16" s="1"/>
      <c r="N16" s="1"/>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17">
        <f ca="1">IF($CX$97="",IF(OR(Ergebnisse!H16="",Ergebnisse!J16=""),0,IF(AND(H16=Ergebnisse!H16,J16=Ergebnisse!J16),7,MIN(7,(H16-J16=Ergebnisse!H16-Ergebnisse!J16)*4+(AND(H16-J16&lt;&gt;Ergebnisse!H16-Ergebnisse!J16,SIGN(H16-J16)=SIGN(Ergebnisse!H16-Ergebnisse!J16)))*2+(H16=Ergebnisse!H16)+(J16=Ergebnisse!J16)))),INT(RAND()*8))</f>
        <v>1</v>
      </c>
      <c r="AY16" s="17" t="str">
        <f ca="1">IF(Ergebnisse!K16=Ergebnisse!$B$98,Ergebnisse!K16,"")</f>
        <v>ok</v>
      </c>
      <c r="AZ16" s="2"/>
      <c r="BA16" s="2">
        <f>IF(Ergebnisse!BA16="","",Ergebnisse!BA16)</f>
        <v>34</v>
      </c>
      <c r="BB16" s="6">
        <f>IF(Ergebnisse!BB16="","",Ergebnisse!BB16)</f>
        <v>46193.791666666672</v>
      </c>
      <c r="BC16" s="6" t="str">
        <f>IF(Ergebnisse!BC16="","",Ergebnisse!BC16)</f>
        <v>Kansas City</v>
      </c>
      <c r="BD16" s="56" t="str">
        <f>IF(Ergebnisse!BD16="","",Ergebnisse!BD16)</f>
        <v>Ecuador</v>
      </c>
      <c r="BE16" s="40"/>
      <c r="BF16" s="56" t="str">
        <f>IF(Ergebnisse!BF16="","",Ergebnisse!BF16)</f>
        <v>Curaçao</v>
      </c>
      <c r="BG16" s="53"/>
      <c r="BH16" s="57">
        <v>3</v>
      </c>
      <c r="BI16" s="11" t="s">
        <v>25</v>
      </c>
      <c r="BJ16" s="57">
        <v>0</v>
      </c>
      <c r="BL16" s="1"/>
      <c r="BN16" s="1"/>
      <c r="BY16" s="2"/>
      <c r="CX16" s="17">
        <f ca="1">IF($CX$97="",IF(OR(Ergebnisse!BH16="",Ergebnisse!BJ16=""),0,IF(AND(BH16=Ergebnisse!BH16,BJ16=Ergebnisse!BJ16),7,MIN(7,(BH16-BJ16=Ergebnisse!BH16-Ergebnisse!BJ16)*4+(AND(BH16-BJ16&lt;&gt;Ergebnisse!BH16-Ergebnisse!BJ16,SIGN(BH16-BJ16)=SIGN(Ergebnisse!BH16-Ergebnisse!BJ16)))*2+(BH16=Ergebnisse!BH16)+(BJ16=Ergebnisse!BJ16)))),INT(RAND()*8))</f>
        <v>2</v>
      </c>
      <c r="CY16" s="17" t="str">
        <f ca="1">IF(Ergebnisse!BK16=Ergebnisse!$B$98,Ergebnisse!BK16,"")</f>
        <v>ok</v>
      </c>
      <c r="DA16" s="171" t="s">
        <v>83</v>
      </c>
      <c r="DB16" s="270">
        <v>7</v>
      </c>
    </row>
    <row r="17" spans="1:106">
      <c r="A17" s="2">
        <f>IF(Ergebnisse!A17="","",Ergebnisse!A17)</f>
        <v>51</v>
      </c>
      <c r="B17" s="6">
        <f>IF(Ergebnisse!B17="","",Ergebnisse!B17)</f>
        <v>46197.5</v>
      </c>
      <c r="C17" s="6" t="str">
        <f>IF(Ergebnisse!C17="","",Ergebnisse!C17)</f>
        <v>Vancouver</v>
      </c>
      <c r="D17" s="56" t="str">
        <f>IF(Ergebnisse!D17="","",Ergebnisse!D17)</f>
        <v>Schweiz</v>
      </c>
      <c r="E17" s="40"/>
      <c r="F17" s="56" t="str">
        <f>IF(Ergebnisse!F17="","",Ergebnisse!F17)</f>
        <v>Kanada</v>
      </c>
      <c r="G17" s="55"/>
      <c r="H17" s="57">
        <v>2</v>
      </c>
      <c r="I17" s="11" t="s">
        <v>25</v>
      </c>
      <c r="J17" s="57">
        <v>2</v>
      </c>
      <c r="M17" s="37" t="s">
        <v>207</v>
      </c>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17">
        <f ca="1">IF($CX$97="",IF(OR(Ergebnisse!H17="",Ergebnisse!J17=""),0,IF(AND(H17=Ergebnisse!H17,J17=Ergebnisse!J17),7,MIN(7,(H17-J17=Ergebnisse!H17-Ergebnisse!J17)*4+(AND(H17-J17&lt;&gt;Ergebnisse!H17-Ergebnisse!J17,SIGN(H17-J17)=SIGN(Ergebnisse!H17-Ergebnisse!J17)))*2+(H17=Ergebnisse!H17)+(J17=Ergebnisse!J17)))),INT(RAND()*8))</f>
        <v>0</v>
      </c>
      <c r="AY17" s="17" t="str">
        <f ca="1">IF(Ergebnisse!K17=Ergebnisse!$B$98,Ergebnisse!K17,"")</f>
        <v>ok</v>
      </c>
      <c r="AZ17" s="2"/>
      <c r="BA17" s="2">
        <f>IF(Ergebnisse!BA17="","",Ergebnisse!BA17)</f>
        <v>57</v>
      </c>
      <c r="BB17" s="6">
        <f>IF(Ergebnisse!BB17="","",Ergebnisse!BB17)</f>
        <v>46198.75</v>
      </c>
      <c r="BC17" s="6" t="str">
        <f>IF(Ergebnisse!BC17="","",Ergebnisse!BC17)</f>
        <v>Dallas</v>
      </c>
      <c r="BD17" s="56" t="str">
        <f>IF(Ergebnisse!BD17="","",Ergebnisse!BD17)</f>
        <v>Ecuador</v>
      </c>
      <c r="BE17" s="40"/>
      <c r="BF17" s="56" t="str">
        <f>IF(Ergebnisse!BF17="","",Ergebnisse!BF17)</f>
        <v>Deutschland</v>
      </c>
      <c r="BG17" s="55"/>
      <c r="BH17" s="57">
        <v>1</v>
      </c>
      <c r="BI17" s="11" t="s">
        <v>25</v>
      </c>
      <c r="BJ17" s="57">
        <v>2</v>
      </c>
      <c r="BM17" s="73" t="s">
        <v>67</v>
      </c>
      <c r="BY17" s="2"/>
      <c r="CX17" s="17">
        <f ca="1">IF($CX$97="",IF(OR(Ergebnisse!BH17="",Ergebnisse!BJ17=""),0,IF(AND(BH17=Ergebnisse!BH17,BJ17=Ergebnisse!BJ17),7,MIN(7,(BH17-BJ17=Ergebnisse!BH17-Ergebnisse!BJ17)*4+(AND(BH17-BJ17&lt;&gt;Ergebnisse!BH17-Ergebnisse!BJ17,SIGN(BH17-BJ17)=SIGN(Ergebnisse!BH17-Ergebnisse!BJ17)))*2+(BH17=Ergebnisse!BH17)+(BJ17=Ergebnisse!BJ17)))),INT(RAND()*8))</f>
        <v>0</v>
      </c>
      <c r="CY17" s="17" t="str">
        <f ca="1">IF(Ergebnisse!BK17=Ergebnisse!$B$98,Ergebnisse!BK17,"")</f>
        <v>ok</v>
      </c>
      <c r="DA17" s="168" t="s">
        <v>76</v>
      </c>
      <c r="DB17" s="169">
        <v>16</v>
      </c>
    </row>
    <row r="18" spans="1:106">
      <c r="A18" s="2">
        <f>IF(Ergebnisse!A18="","",Ergebnisse!A18)</f>
        <v>52</v>
      </c>
      <c r="B18" s="6">
        <f>IF(Ergebnisse!B18="","",Ergebnisse!B18)</f>
        <v>46197.5</v>
      </c>
      <c r="C18" s="6" t="str">
        <f>IF(Ergebnisse!C18="","",Ergebnisse!C18)</f>
        <v>Seattle</v>
      </c>
      <c r="D18" s="56" t="str">
        <f>IF(Ergebnisse!D18="","",Ergebnisse!D18)</f>
        <v>Bosnien/Herzg.</v>
      </c>
      <c r="E18" s="40"/>
      <c r="F18" s="56" t="str">
        <f>IF(Ergebnisse!F18="","",Ergebnisse!F18)</f>
        <v>Katar</v>
      </c>
      <c r="G18" s="55"/>
      <c r="H18" s="57">
        <v>2</v>
      </c>
      <c r="I18" s="11" t="s">
        <v>25</v>
      </c>
      <c r="J18" s="57">
        <v>1</v>
      </c>
      <c r="M18" s="37" t="s">
        <v>68</v>
      </c>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17">
        <f ca="1">IF($CX$97="",IF(OR(Ergebnisse!H18="",Ergebnisse!J18=""),0,IF(AND(H18=Ergebnisse!H18,J18=Ergebnisse!J18),7,MIN(7,(H18-J18=Ergebnisse!H18-Ergebnisse!J18)*4+(AND(H18-J18&lt;&gt;Ergebnisse!H18-Ergebnisse!J18,SIGN(H18-J18)=SIGN(Ergebnisse!H18-Ergebnisse!J18)))*2+(H18=Ergebnisse!H18)+(J18=Ergebnisse!J18)))),INT(RAND()*8))</f>
        <v>1</v>
      </c>
      <c r="AY18" s="17" t="str">
        <f ca="1">IF(Ergebnisse!K18=Ergebnisse!$B$98,Ergebnisse!K18,"")</f>
        <v>ok</v>
      </c>
      <c r="AZ18" s="2"/>
      <c r="BA18" s="2">
        <f>IF(Ergebnisse!BA18="","",Ergebnisse!BA18)</f>
        <v>58</v>
      </c>
      <c r="BB18" s="6">
        <f>IF(Ergebnisse!BB18="","",Ergebnisse!BB18)</f>
        <v>46198.75</v>
      </c>
      <c r="BC18" s="6" t="str">
        <f>IF(Ergebnisse!BC18="","",Ergebnisse!BC18)</f>
        <v>Kansas City</v>
      </c>
      <c r="BD18" s="56" t="str">
        <f>IF(Ergebnisse!BD18="","",Ergebnisse!BD18)</f>
        <v>Curaçao</v>
      </c>
      <c r="BE18" s="40"/>
      <c r="BF18" s="56" t="str">
        <f>IF(Ergebnisse!BF18="","",Ergebnisse!BF18)</f>
        <v>Elfenbeinküste</v>
      </c>
      <c r="BG18" s="55"/>
      <c r="BH18" s="57">
        <v>1</v>
      </c>
      <c r="BI18" s="11" t="s">
        <v>25</v>
      </c>
      <c r="BJ18" s="57">
        <v>4</v>
      </c>
      <c r="BM18" s="73" t="s">
        <v>212</v>
      </c>
      <c r="BY18" s="2"/>
      <c r="CX18" s="17">
        <f ca="1">IF($CX$97="",IF(OR(Ergebnisse!BH18="",Ergebnisse!BJ18=""),0,IF(AND(BH18=Ergebnisse!BH18,BJ18=Ergebnisse!BJ18),7,MIN(7,(BH18-BJ18=Ergebnisse!BH18-Ergebnisse!BJ18)*4+(AND(BH18-BJ18&lt;&gt;Ergebnisse!BH18-Ergebnisse!BJ18,SIGN(BH18-BJ18)=SIGN(Ergebnisse!BH18-Ergebnisse!BJ18)))*2+(BH18=Ergebnisse!BH18)+(BJ18=Ergebnisse!BJ18)))),INT(RAND()*8))</f>
        <v>2</v>
      </c>
      <c r="CY18" s="17" t="str">
        <f ca="1">IF(Ergebnisse!BK18=Ergebnisse!$B$98,Ergebnisse!BK18,"")</f>
        <v>ok</v>
      </c>
      <c r="DA18" s="163"/>
      <c r="DB18" s="164"/>
    </row>
    <row r="19" spans="1:106">
      <c r="D19" s="55"/>
      <c r="E19" s="55"/>
      <c r="G19" s="55"/>
      <c r="M19" s="37" t="s">
        <v>208</v>
      </c>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31">
        <f ca="1">IF($CX$97="",2*COUNTIF(Ergebnisse!$D$63:'Ergebnisse'!$F$78,M19),2*INT(RAND()*2))</f>
        <v>0</v>
      </c>
      <c r="AY19" s="17" t="str">
        <f ca="1">IF(COUNTIF(Ergebnisse!K13:'Ergebnisse'!K18,Ergebnisse!$B$98)=6,"ok","")</f>
        <v>ok</v>
      </c>
      <c r="AZ19" s="2"/>
      <c r="BE19" s="55"/>
      <c r="BF19" s="55"/>
      <c r="BG19" s="55"/>
      <c r="BM19" s="73" t="s">
        <v>211</v>
      </c>
      <c r="BY19" s="2"/>
      <c r="CX19" s="72">
        <f ca="1">IF($CX$97="",2*COUNTIF(Ergebnisse!$D$63:'Ergebnisse'!$F$78,BM19),2*INT(RAND()*2))</f>
        <v>2</v>
      </c>
      <c r="CY19" s="17" t="str">
        <f ca="1">IF(COUNTIF(Ergebnisse!BK13:'Ergebnisse'!BK18,Ergebnisse!$B$98)=6,"ok","")</f>
        <v>ok</v>
      </c>
      <c r="DA19" s="170" t="s">
        <v>82</v>
      </c>
      <c r="DB19" s="166">
        <f>DB23*(DB22+2*DB21)</f>
        <v>88</v>
      </c>
    </row>
    <row r="20" spans="1:106" ht="6" customHeight="1">
      <c r="D20" s="55"/>
      <c r="E20" s="58"/>
      <c r="F20" s="59"/>
      <c r="G20" s="59"/>
      <c r="H20" s="55"/>
      <c r="I20" s="55"/>
      <c r="J20" s="55"/>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17"/>
      <c r="AZ20" s="2"/>
      <c r="BD20" s="55"/>
      <c r="BE20" s="58"/>
      <c r="BF20" s="59"/>
      <c r="BG20" s="59"/>
      <c r="BH20" s="55"/>
      <c r="BI20" s="55"/>
      <c r="BJ20" s="55"/>
      <c r="BY20" s="2"/>
    </row>
    <row r="21" spans="1:106" s="10" customFormat="1">
      <c r="B21" s="27" t="s">
        <v>0</v>
      </c>
      <c r="C21" s="25" t="s">
        <v>37</v>
      </c>
      <c r="D21" s="53" t="s">
        <v>2</v>
      </c>
      <c r="E21" s="54"/>
      <c r="F21" s="53"/>
      <c r="G21" s="53"/>
      <c r="H21" s="20"/>
      <c r="I21" s="19"/>
      <c r="J21" s="20"/>
      <c r="K21" s="180"/>
      <c r="L21" s="17"/>
      <c r="M21" s="35"/>
      <c r="N21" s="17"/>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X21" s="27">
        <f ca="1">IF($CX$97="",2*COUNTIF(Ergebnisse!$D$63:'Ergebnisse'!$F$78,M27),2*INT(RAND()*2))</f>
        <v>2</v>
      </c>
      <c r="AY21" s="17" t="str">
        <f ca="1">IF(COUNTIF(Ergebnisse!K23:'Ergebnisse'!K28,Ergebnisse!$B$98)=6,"ok","")</f>
        <v>ok</v>
      </c>
      <c r="BB21" s="221" t="s">
        <v>0</v>
      </c>
      <c r="BC21" s="222" t="s">
        <v>32</v>
      </c>
      <c r="BD21" s="53" t="s">
        <v>2</v>
      </c>
      <c r="BE21" s="54"/>
      <c r="BF21" s="53"/>
      <c r="BG21" s="53"/>
      <c r="BH21" s="20"/>
      <c r="BI21" s="19"/>
      <c r="BJ21" s="20"/>
      <c r="BK21" s="180"/>
      <c r="BL21" s="17"/>
      <c r="BM21" s="35"/>
      <c r="BN21" s="17"/>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21">
        <f ca="1">IF($CX$97="",2*COUNTIF(Ergebnisse!$D$63:'Ergebnisse'!$F$78,BM27),2*INT(RAND()*2))</f>
        <v>0</v>
      </c>
      <c r="CY21" s="17" t="str">
        <f ca="1">IF(COUNTIF(Ergebnisse!BK23:'Ergebnisse'!BK28,Ergebnisse!$B$98)=6,"ok","")</f>
        <v>ok</v>
      </c>
      <c r="DA21" s="167" t="s">
        <v>125</v>
      </c>
      <c r="DB21" s="164">
        <v>2</v>
      </c>
    </row>
    <row r="22" spans="1:106">
      <c r="B22" s="3" t="s">
        <v>22</v>
      </c>
      <c r="C22" s="3" t="s">
        <v>23</v>
      </c>
      <c r="D22" s="55"/>
      <c r="E22" s="55"/>
      <c r="F22" s="55"/>
      <c r="G22" s="55"/>
      <c r="L22" s="1"/>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7">
        <f ca="1">IF($CX$97="",2*COUNTIF(Ergebnisse!$D$63:'Ergebnisse'!$F$78,M28),2*INT(RAND()*2))</f>
        <v>0</v>
      </c>
      <c r="AY22" s="17" t="str">
        <f ca="1">IF(COUNTIF(Ergebnisse!K23:'Ergebnisse'!K28,Ergebnisse!$B$98)=6,"ok","")</f>
        <v>ok</v>
      </c>
      <c r="AZ22" s="2"/>
      <c r="BB22" s="3" t="s">
        <v>22</v>
      </c>
      <c r="BC22" s="3" t="s">
        <v>23</v>
      </c>
      <c r="BD22" s="55"/>
      <c r="BE22" s="55"/>
      <c r="BF22" s="55"/>
      <c r="BG22" s="55"/>
      <c r="BL22" s="1"/>
      <c r="BY22" s="2"/>
      <c r="CX22" s="221">
        <f ca="1">IF($CX$97="",2*COUNTIF(Ergebnisse!$D$63:'Ergebnisse'!$F$78,BM28),2*INT(RAND()*2))</f>
        <v>2</v>
      </c>
      <c r="CY22" s="17" t="str">
        <f ca="1">IF(COUNTIF(Ergebnisse!BK23:'Ergebnisse'!BK28,Ergebnisse!$B$98)=6,"ok","")</f>
        <v>ok</v>
      </c>
      <c r="DA22" s="171" t="s">
        <v>83</v>
      </c>
      <c r="DB22" s="270">
        <v>7</v>
      </c>
    </row>
    <row r="23" spans="1:106">
      <c r="A23" s="2">
        <f>IF(Ergebnisse!A23="","",Ergebnisse!A23)</f>
        <v>7</v>
      </c>
      <c r="B23" s="6">
        <f>IF(Ergebnisse!B23="","",Ergebnisse!B23)</f>
        <v>46186.75</v>
      </c>
      <c r="C23" s="6" t="str">
        <f>IF(Ergebnisse!C23="","",Ergebnisse!C23)</f>
        <v>New York</v>
      </c>
      <c r="D23" s="56" t="str">
        <f>IF(Ergebnisse!D23="","",Ergebnisse!D23)</f>
        <v>Brasilien</v>
      </c>
      <c r="E23" s="40"/>
      <c r="F23" s="56" t="str">
        <f>IF(Ergebnisse!F23="","",Ergebnisse!F23)</f>
        <v>Marokko</v>
      </c>
      <c r="G23" s="53"/>
      <c r="H23" s="57">
        <v>2</v>
      </c>
      <c r="I23" s="11" t="s">
        <v>25</v>
      </c>
      <c r="J23" s="57">
        <v>1</v>
      </c>
      <c r="L23" s="1"/>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17">
        <f ca="1">IF($CX$97="",IF(OR(Ergebnisse!H23="",Ergebnisse!J23=""),0,IF(AND(H23=Ergebnisse!H23,J23=Ergebnisse!J23),7,MIN(7,(H23-J23=Ergebnisse!H23-Ergebnisse!J23)*4+(AND(H23-J23&lt;&gt;Ergebnisse!H23-Ergebnisse!J23,SIGN(H23-J23)=SIGN(Ergebnisse!H23-Ergebnisse!J23)))*2+(H23=Ergebnisse!H23)+(J23=Ergebnisse!J23)))),INT(RAND()*8))</f>
        <v>3</v>
      </c>
      <c r="AY23" s="17" t="str">
        <f ca="1">IF(Ergebnisse!K23=Ergebnisse!$B$98,Ergebnisse!K23,"")</f>
        <v>ok</v>
      </c>
      <c r="AZ23" s="2"/>
      <c r="BA23" s="2">
        <f>IF(Ergebnisse!BA23="","",Ergebnisse!BA23)</f>
        <v>11</v>
      </c>
      <c r="BB23" s="6">
        <f>IF(Ergebnisse!BB23="","",Ergebnisse!BB23)</f>
        <v>46187.625</v>
      </c>
      <c r="BC23" s="6" t="str">
        <f>IF(Ergebnisse!BC23="","",Ergebnisse!BC23)</f>
        <v>Dallas</v>
      </c>
      <c r="BD23" s="56" t="str">
        <f>IF(Ergebnisse!BD23="","",Ergebnisse!BD23)</f>
        <v>Niederlande</v>
      </c>
      <c r="BE23" s="40"/>
      <c r="BF23" s="56" t="str">
        <f>IF(Ergebnisse!BF23="","",Ergebnisse!BF23)</f>
        <v>Japan</v>
      </c>
      <c r="BG23" s="53"/>
      <c r="BH23" s="57">
        <v>1</v>
      </c>
      <c r="BI23" s="11" t="s">
        <v>25</v>
      </c>
      <c r="BJ23" s="57">
        <v>1</v>
      </c>
      <c r="BL23" s="1"/>
      <c r="BY23" s="2"/>
      <c r="CX23" s="17">
        <f ca="1">IF($CX$97="",IF(OR(Ergebnisse!BH23="",Ergebnisse!BJ23=""),0,IF(AND(BH23=Ergebnisse!BH23,BJ23=Ergebnisse!BJ23),7,MIN(7,(BH23-BJ23=Ergebnisse!BH23-Ergebnisse!BJ23)*4+(AND(BH23-BJ23&lt;&gt;Ergebnisse!BH23-Ergebnisse!BJ23,SIGN(BH23-BJ23)=SIGN(Ergebnisse!BH23-Ergebnisse!BJ23)))*2+(BH23=Ergebnisse!BH23)+(BJ23=Ergebnisse!BJ23)))),INT(RAND()*8))</f>
        <v>0</v>
      </c>
      <c r="CY23" s="17" t="str">
        <f ca="1">IF(Ergebnisse!BK23=Ergebnisse!$B$98,Ergebnisse!BK23,"")</f>
        <v>ok</v>
      </c>
      <c r="DA23" s="168" t="s">
        <v>76</v>
      </c>
      <c r="DB23" s="169">
        <v>8</v>
      </c>
    </row>
    <row r="24" spans="1:106">
      <c r="A24" s="2">
        <f>IF(Ergebnisse!A24="","",Ergebnisse!A24)</f>
        <v>5</v>
      </c>
      <c r="B24" s="6">
        <f>IF(Ergebnisse!B24="","",Ergebnisse!B24)</f>
        <v>46186.875</v>
      </c>
      <c r="C24" s="6" t="str">
        <f>IF(Ergebnisse!C24="","",Ergebnisse!C24)</f>
        <v>Boston</v>
      </c>
      <c r="D24" s="56" t="str">
        <f>IF(Ergebnisse!D24="","",Ergebnisse!D24)</f>
        <v>Haiti</v>
      </c>
      <c r="E24" s="40"/>
      <c r="F24" s="56" t="str">
        <f>IF(Ergebnisse!F24="","",Ergebnisse!F24)</f>
        <v>Schottland</v>
      </c>
      <c r="G24" s="53"/>
      <c r="H24" s="57">
        <v>0</v>
      </c>
      <c r="I24" s="11" t="s">
        <v>25</v>
      </c>
      <c r="J24" s="57">
        <v>2</v>
      </c>
      <c r="L24" s="1"/>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17">
        <f ca="1">IF($CX$97="",IF(OR(Ergebnisse!H24="",Ergebnisse!J24=""),0,IF(AND(H24=Ergebnisse!H24,J24=Ergebnisse!J24),7,MIN(7,(H24-J24=Ergebnisse!H24-Ergebnisse!J24)*4+(AND(H24-J24&lt;&gt;Ergebnisse!H24-Ergebnisse!J24,SIGN(H24-J24)=SIGN(Ergebnisse!H24-Ergebnisse!J24)))*2+(H24=Ergebnisse!H24)+(J24=Ergebnisse!J24)))),INT(RAND()*8))</f>
        <v>3</v>
      </c>
      <c r="AY24" s="17" t="str">
        <f ca="1">IF(Ergebnisse!K24=Ergebnisse!$B$98,Ergebnisse!K24,"")</f>
        <v>ok</v>
      </c>
      <c r="AZ24" s="2"/>
      <c r="BA24" s="2">
        <f>IF(Ergebnisse!BA24="","",Ergebnisse!BA24)</f>
        <v>12</v>
      </c>
      <c r="BB24" s="6">
        <f>IF(Ergebnisse!BB24="","",Ergebnisse!BB24)</f>
        <v>46187.875</v>
      </c>
      <c r="BC24" s="6" t="str">
        <f>IF(Ergebnisse!BC24="","",Ergebnisse!BC24)</f>
        <v>Monterrey</v>
      </c>
      <c r="BD24" s="56" t="str">
        <f>IF(Ergebnisse!BD24="","",Ergebnisse!BD24)</f>
        <v>Schweden</v>
      </c>
      <c r="BE24" s="40"/>
      <c r="BF24" s="56" t="str">
        <f>IF(Ergebnisse!BF24="","",Ergebnisse!BF24)</f>
        <v>Tunesien</v>
      </c>
      <c r="BG24" s="53"/>
      <c r="BH24" s="57">
        <v>2</v>
      </c>
      <c r="BI24" s="11" t="s">
        <v>25</v>
      </c>
      <c r="BJ24" s="57">
        <v>1</v>
      </c>
      <c r="BL24" s="1"/>
      <c r="BY24" s="2"/>
      <c r="CX24" s="17">
        <f ca="1">IF($CX$97="",IF(OR(Ergebnisse!BH24="",Ergebnisse!BJ24=""),0,IF(AND(BH24=Ergebnisse!BH24,BJ24=Ergebnisse!BJ24),7,MIN(7,(BH24-BJ24=Ergebnisse!BH24-Ergebnisse!BJ24)*4+(AND(BH24-BJ24&lt;&gt;Ergebnisse!BH24-Ergebnisse!BJ24,SIGN(BH24-BJ24)=SIGN(Ergebnisse!BH24-Ergebnisse!BJ24)))*2+(BH24=Ergebnisse!BH24)+(BJ24=Ergebnisse!BJ24)))),INT(RAND()*8))</f>
        <v>2</v>
      </c>
      <c r="CY24" s="17" t="str">
        <f ca="1">IF(Ergebnisse!BK24=Ergebnisse!$B$98,Ergebnisse!BK24,"")</f>
        <v>ok</v>
      </c>
    </row>
    <row r="25" spans="1:106">
      <c r="A25" s="2">
        <f>IF(Ergebnisse!A25="","",Ergebnisse!A25)</f>
        <v>29</v>
      </c>
      <c r="B25" s="6">
        <f>IF(Ergebnisse!B25="","",Ergebnisse!B25)</f>
        <v>46192.875</v>
      </c>
      <c r="C25" s="6" t="str">
        <f>IF(Ergebnisse!C25="","",Ergebnisse!C25)</f>
        <v>Philadelphia</v>
      </c>
      <c r="D25" s="56" t="str">
        <f>IF(Ergebnisse!D25="","",Ergebnisse!D25)</f>
        <v>Brasilien</v>
      </c>
      <c r="E25" s="40"/>
      <c r="F25" s="56" t="str">
        <f>IF(Ergebnisse!F25="","",Ergebnisse!F25)</f>
        <v>Haiti</v>
      </c>
      <c r="G25" s="53"/>
      <c r="H25" s="57">
        <v>5</v>
      </c>
      <c r="I25" s="11" t="s">
        <v>25</v>
      </c>
      <c r="J25" s="57">
        <v>0</v>
      </c>
      <c r="L25" s="1"/>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17">
        <f ca="1">IF($CX$97="",IF(OR(Ergebnisse!H25="",Ergebnisse!J25=""),0,IF(AND(H25=Ergebnisse!H25,J25=Ergebnisse!J25),7,MIN(7,(H25-J25=Ergebnisse!H25-Ergebnisse!J25)*4+(AND(H25-J25&lt;&gt;Ergebnisse!H25-Ergebnisse!J25,SIGN(H25-J25)=SIGN(Ergebnisse!H25-Ergebnisse!J25)))*2+(H25=Ergebnisse!H25)+(J25=Ergebnisse!J25)))),INT(RAND()*8))</f>
        <v>0</v>
      </c>
      <c r="AY25" s="17" t="str">
        <f ca="1">IF(Ergebnisse!K25=Ergebnisse!$B$98,Ergebnisse!K25,"")</f>
        <v>ok</v>
      </c>
      <c r="AZ25" s="2"/>
      <c r="BA25" s="2">
        <f>IF(Ergebnisse!BA25="","",Ergebnisse!BA25)</f>
        <v>35</v>
      </c>
      <c r="BB25" s="6">
        <f>IF(Ergebnisse!BB25="","",Ergebnisse!BB25)</f>
        <v>46193.5</v>
      </c>
      <c r="BC25" s="6" t="str">
        <f>IF(Ergebnisse!BC25="","",Ergebnisse!BC25)</f>
        <v>Houston</v>
      </c>
      <c r="BD25" s="56" t="str">
        <f>IF(Ergebnisse!BD25="","",Ergebnisse!BD25)</f>
        <v>Niederlande</v>
      </c>
      <c r="BE25" s="40"/>
      <c r="BF25" s="56" t="str">
        <f>IF(Ergebnisse!BF25="","",Ergebnisse!BF25)</f>
        <v>Schweden</v>
      </c>
      <c r="BG25" s="53"/>
      <c r="BH25" s="57">
        <v>3</v>
      </c>
      <c r="BI25" s="11" t="s">
        <v>25</v>
      </c>
      <c r="BJ25" s="57">
        <v>1</v>
      </c>
      <c r="BL25" s="1"/>
      <c r="BY25" s="2"/>
      <c r="CX25" s="17">
        <f ca="1">IF($CX$97="",IF(OR(Ergebnisse!BH25="",Ergebnisse!BJ25=""),0,IF(AND(BH25=Ergebnisse!BH25,BJ25=Ergebnisse!BJ25),7,MIN(7,(BH25-BJ25=Ergebnisse!BH25-Ergebnisse!BJ25)*4+(AND(BH25-BJ25&lt;&gt;Ergebnisse!BH25-Ergebnisse!BJ25,SIGN(BH25-BJ25)=SIGN(Ergebnisse!BH25-Ergebnisse!BJ25)))*2+(BH25=Ergebnisse!BH25)+(BJ25=Ergebnisse!BJ25)))),INT(RAND()*8))</f>
        <v>4</v>
      </c>
      <c r="CY25" s="17" t="str">
        <f ca="1">IF(Ergebnisse!BK25=Ergebnisse!$B$98,Ergebnisse!BK25,"")</f>
        <v>ok</v>
      </c>
      <c r="DA25" s="170" t="s">
        <v>75</v>
      </c>
      <c r="DB25" s="166">
        <f>DB29*(DB28+2*DB26)</f>
        <v>52</v>
      </c>
    </row>
    <row r="26" spans="1:106">
      <c r="A26" s="2">
        <f>IF(Ergebnisse!A26="","",Ergebnisse!A26)</f>
        <v>30</v>
      </c>
      <c r="B26" s="6">
        <f>IF(Ergebnisse!B26="","",Ergebnisse!B26)</f>
        <v>46192.75</v>
      </c>
      <c r="C26" s="6" t="str">
        <f>IF(Ergebnisse!C26="","",Ergebnisse!C26)</f>
        <v>Boston</v>
      </c>
      <c r="D26" s="56" t="str">
        <f>IF(Ergebnisse!D26="","",Ergebnisse!D26)</f>
        <v>Schottland</v>
      </c>
      <c r="E26" s="40"/>
      <c r="F26" s="56" t="str">
        <f>IF(Ergebnisse!F26="","",Ergebnisse!F26)</f>
        <v>Marokko</v>
      </c>
      <c r="G26" s="53"/>
      <c r="H26" s="57">
        <v>1</v>
      </c>
      <c r="I26" s="11" t="s">
        <v>25</v>
      </c>
      <c r="J26" s="57">
        <v>2</v>
      </c>
      <c r="L26" s="1"/>
      <c r="N26" s="1"/>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17">
        <f ca="1">IF($CX$97="",IF(OR(Ergebnisse!H26="",Ergebnisse!J26=""),0,IF(AND(H26=Ergebnisse!H26,J26=Ergebnisse!J26),7,MIN(7,(H26-J26=Ergebnisse!H26-Ergebnisse!J26)*4+(AND(H26-J26&lt;&gt;Ergebnisse!H26-Ergebnisse!J26,SIGN(H26-J26)=SIGN(Ergebnisse!H26-Ergebnisse!J26)))*2+(H26=Ergebnisse!H26)+(J26=Ergebnisse!J26)))),INT(RAND()*8))</f>
        <v>4</v>
      </c>
      <c r="AY26" s="17" t="str">
        <f ca="1">IF(Ergebnisse!K26=Ergebnisse!$B$98,Ergebnisse!K26,"")</f>
        <v>ok</v>
      </c>
      <c r="AZ26" s="2"/>
      <c r="BA26" s="2">
        <f>IF(Ergebnisse!BA26="","",Ergebnisse!BA26)</f>
        <v>36</v>
      </c>
      <c r="BB26" s="6">
        <f>IF(Ergebnisse!BB26="","",Ergebnisse!BB26)</f>
        <v>46193.958333333336</v>
      </c>
      <c r="BC26" s="6" t="str">
        <f>IF(Ergebnisse!BC26="","",Ergebnisse!BC26)</f>
        <v>Monterrey</v>
      </c>
      <c r="BD26" s="56" t="str">
        <f>IF(Ergebnisse!BD26="","",Ergebnisse!BD26)</f>
        <v>Tunesien</v>
      </c>
      <c r="BE26" s="40"/>
      <c r="BF26" s="56" t="str">
        <f>IF(Ergebnisse!BF26="","",Ergebnisse!BF26)</f>
        <v>Japan</v>
      </c>
      <c r="BG26" s="53"/>
      <c r="BH26" s="57">
        <v>0</v>
      </c>
      <c r="BI26" s="11" t="s">
        <v>25</v>
      </c>
      <c r="BJ26" s="57">
        <v>3</v>
      </c>
      <c r="BL26" s="1"/>
      <c r="BN26" s="1"/>
      <c r="BY26" s="2"/>
      <c r="CX26" s="17">
        <f ca="1">IF($CX$97="",IF(OR(Ergebnisse!BH26="",Ergebnisse!BJ26=""),0,IF(AND(BH26=Ergebnisse!BH26,BJ26=Ergebnisse!BJ26),7,MIN(7,(BH26-BJ26=Ergebnisse!BH26-Ergebnisse!BJ26)*4+(AND(BH26-BJ26&lt;&gt;Ergebnisse!BH26-Ergebnisse!BJ26,SIGN(BH26-BJ26)=SIGN(Ergebnisse!BH26-Ergebnisse!BJ26)))*2+(BH26=Ergebnisse!BH26)+(BJ26=Ergebnisse!BJ26)))),INT(RAND()*8))</f>
        <v>0</v>
      </c>
      <c r="CY26" s="17" t="str">
        <f ca="1">IF(Ergebnisse!BK26=Ergebnisse!$B$98,Ergebnisse!BK26,"")</f>
        <v>ok</v>
      </c>
      <c r="DA26" s="167" t="s">
        <v>126</v>
      </c>
      <c r="DB26" s="164">
        <v>3</v>
      </c>
    </row>
    <row r="27" spans="1:106">
      <c r="A27" s="2">
        <f>IF(Ergebnisse!A27="","",Ergebnisse!A27)</f>
        <v>49</v>
      </c>
      <c r="B27" s="6">
        <f>IF(Ergebnisse!B27="","",Ergebnisse!B27)</f>
        <v>46197.75</v>
      </c>
      <c r="C27" s="6" t="str">
        <f>IF(Ergebnisse!C27="","",Ergebnisse!C27)</f>
        <v>Miami</v>
      </c>
      <c r="D27" s="56" t="str">
        <f>IF(Ergebnisse!D27="","",Ergebnisse!D27)</f>
        <v>Schottland</v>
      </c>
      <c r="E27" s="40"/>
      <c r="F27" s="56" t="str">
        <f>IF(Ergebnisse!F27="","",Ergebnisse!F27)</f>
        <v>Brasilien</v>
      </c>
      <c r="G27" s="55"/>
      <c r="H27" s="57">
        <v>1</v>
      </c>
      <c r="I27" s="11" t="s">
        <v>25</v>
      </c>
      <c r="J27" s="57">
        <v>4</v>
      </c>
      <c r="M27" s="38" t="s">
        <v>213</v>
      </c>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17">
        <f ca="1">IF($CX$97="",IF(OR(Ergebnisse!H27="",Ergebnisse!J27=""),0,IF(AND(H27=Ergebnisse!H27,J27=Ergebnisse!J27),7,MIN(7,(H27-J27=Ergebnisse!H27-Ergebnisse!J27)*4+(AND(H27-J27&lt;&gt;Ergebnisse!H27-Ergebnisse!J27,SIGN(H27-J27)=SIGN(Ergebnisse!H27-Ergebnisse!J27)))*2+(H27=Ergebnisse!H27)+(J27=Ergebnisse!J27)))),INT(RAND()*8))</f>
        <v>0</v>
      </c>
      <c r="AY27" s="17" t="str">
        <f ca="1">IF(Ergebnisse!K27=Ergebnisse!$B$98,Ergebnisse!K27,"")</f>
        <v>ok</v>
      </c>
      <c r="AZ27" s="2"/>
      <c r="BA27" s="2">
        <f>IF(Ergebnisse!BA27="","",Ergebnisse!BA27)</f>
        <v>55</v>
      </c>
      <c r="BB27" s="6">
        <f>IF(Ergebnisse!BB27="","",Ergebnisse!BB27)</f>
        <v>46198.666666666664</v>
      </c>
      <c r="BC27" s="6" t="str">
        <f>IF(Ergebnisse!BC27="","",Ergebnisse!BC27)</f>
        <v>Philadelphia</v>
      </c>
      <c r="BD27" s="56" t="str">
        <f>IF(Ergebnisse!BD27="","",Ergebnisse!BD27)</f>
        <v>Tunesien</v>
      </c>
      <c r="BE27" s="40"/>
      <c r="BF27" s="56" t="str">
        <f>IF(Ergebnisse!BF27="","",Ergebnisse!BF27)</f>
        <v>Niederlande</v>
      </c>
      <c r="BG27" s="55"/>
      <c r="BH27" s="57">
        <v>1</v>
      </c>
      <c r="BI27" s="11" t="s">
        <v>25</v>
      </c>
      <c r="BJ27" s="57">
        <v>1</v>
      </c>
      <c r="BM27" s="223" t="s">
        <v>215</v>
      </c>
      <c r="BY27" s="2"/>
      <c r="CX27" s="17">
        <f ca="1">IF($CX$97="",IF(OR(Ergebnisse!BH27="",Ergebnisse!BJ27=""),0,IF(AND(BH27=Ergebnisse!BH27,BJ27=Ergebnisse!BJ27),7,MIN(7,(BH27-BJ27=Ergebnisse!BH27-Ergebnisse!BJ27)*4+(AND(BH27-BJ27&lt;&gt;Ergebnisse!BH27-Ergebnisse!BJ27,SIGN(BH27-BJ27)=SIGN(Ergebnisse!BH27-Ergebnisse!BJ27)))*2+(BH27=Ergebnisse!BH27)+(BJ27=Ergebnisse!BJ27)))),INT(RAND()*8))</f>
        <v>1</v>
      </c>
      <c r="CY27" s="17" t="str">
        <f ca="1">IF(Ergebnisse!BK27=Ergebnisse!$B$98,Ergebnisse!BK27,"")</f>
        <v>ok</v>
      </c>
      <c r="DA27" s="167" t="s">
        <v>122</v>
      </c>
      <c r="DB27" s="164">
        <v>1</v>
      </c>
    </row>
    <row r="28" spans="1:106">
      <c r="A28" s="2">
        <f>IF(Ergebnisse!A28="","",Ergebnisse!A28)</f>
        <v>50</v>
      </c>
      <c r="B28" s="6">
        <f>IF(Ergebnisse!B28="","",Ergebnisse!B28)</f>
        <v>46197.75</v>
      </c>
      <c r="C28" s="6" t="str">
        <f>IF(Ergebnisse!C28="","",Ergebnisse!C28)</f>
        <v>Atlanta</v>
      </c>
      <c r="D28" s="56" t="str">
        <f>IF(Ergebnisse!D28="","",Ergebnisse!D28)</f>
        <v>Marokko</v>
      </c>
      <c r="E28" s="40"/>
      <c r="F28" s="56" t="str">
        <f>IF(Ergebnisse!F28="","",Ergebnisse!F28)</f>
        <v>Haiti</v>
      </c>
      <c r="G28" s="55"/>
      <c r="H28" s="57">
        <v>3</v>
      </c>
      <c r="I28" s="11" t="s">
        <v>25</v>
      </c>
      <c r="J28" s="57">
        <v>0</v>
      </c>
      <c r="M28" s="38" t="s">
        <v>214</v>
      </c>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17">
        <f ca="1">IF($CX$97="",IF(OR(Ergebnisse!H28="",Ergebnisse!J28=""),0,IF(AND(H28=Ergebnisse!H28,J28=Ergebnisse!J28),7,MIN(7,(H28-J28=Ergebnisse!H28-Ergebnisse!J28)*4+(AND(H28-J28&lt;&gt;Ergebnisse!H28-Ergebnisse!J28,SIGN(H28-J28)=SIGN(Ergebnisse!H28-Ergebnisse!J28)))*2+(H28=Ergebnisse!H28)+(J28=Ergebnisse!J28)))),INT(RAND()*8))</f>
        <v>0</v>
      </c>
      <c r="AY28" s="17" t="str">
        <f ca="1">IF(Ergebnisse!K28=Ergebnisse!$B$98,Ergebnisse!K28,"")</f>
        <v>ok</v>
      </c>
      <c r="AZ28" s="2"/>
      <c r="BA28" s="2">
        <f>IF(Ergebnisse!BA28="","",Ergebnisse!BA28)</f>
        <v>56</v>
      </c>
      <c r="BB28" s="6">
        <f>IF(Ergebnisse!BB28="","",Ergebnisse!BB28)</f>
        <v>46198.666666666664</v>
      </c>
      <c r="BC28" s="6" t="str">
        <f>IF(Ergebnisse!BC28="","",Ergebnisse!BC28)</f>
        <v>New York</v>
      </c>
      <c r="BD28" s="56" t="str">
        <f>IF(Ergebnisse!BD28="","",Ergebnisse!BD28)</f>
        <v>Japan</v>
      </c>
      <c r="BE28" s="40"/>
      <c r="BF28" s="56" t="str">
        <f>IF(Ergebnisse!BF28="","",Ergebnisse!BF28)</f>
        <v>Schweden</v>
      </c>
      <c r="BG28" s="55"/>
      <c r="BH28" s="57">
        <v>2</v>
      </c>
      <c r="BI28" s="11" t="s">
        <v>25</v>
      </c>
      <c r="BJ28" s="57">
        <v>0</v>
      </c>
      <c r="BM28" s="223" t="s">
        <v>71</v>
      </c>
      <c r="BY28" s="2"/>
      <c r="CX28" s="17">
        <f ca="1">IF($CX$97="",IF(OR(Ergebnisse!BH28="",Ergebnisse!BJ28=""),0,IF(AND(BH28=Ergebnisse!BH28,BJ28=Ergebnisse!BJ28),7,MIN(7,(BH28-BJ28=Ergebnisse!BH28-Ergebnisse!BJ28)*4+(AND(BH28-BJ28&lt;&gt;Ergebnisse!BH28-Ergebnisse!BJ28,SIGN(BH28-BJ28)=SIGN(Ergebnisse!BH28-Ergebnisse!BJ28)))*2+(BH28=Ergebnisse!BH28)+(BJ28=Ergebnisse!BJ28)))),INT(RAND()*8))</f>
        <v>0</v>
      </c>
      <c r="CY28" s="17" t="str">
        <f ca="1">IF(Ergebnisse!BK28=Ergebnisse!$B$98,Ergebnisse!BK28,"")</f>
        <v>ok</v>
      </c>
      <c r="DA28" s="171" t="s">
        <v>83</v>
      </c>
      <c r="DB28" s="270">
        <v>7</v>
      </c>
    </row>
    <row r="29" spans="1:106">
      <c r="D29" s="55"/>
      <c r="E29" s="55"/>
      <c r="G29" s="55"/>
      <c r="M29" s="38" t="s">
        <v>184</v>
      </c>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7">
        <f ca="1">IF($CX$97="",2*COUNTIF(Ergebnisse!$D$63:'Ergebnisse'!$F$78,M29),2*INT(RAND()*2))</f>
        <v>2</v>
      </c>
      <c r="AY29" s="17" t="str">
        <f ca="1">IF(COUNTIF(Ergebnisse!K23:'Ergebnisse'!K28,Ergebnisse!$B$98)=6,"ok","")</f>
        <v>ok</v>
      </c>
      <c r="AZ29" s="2"/>
      <c r="BE29" s="55"/>
      <c r="BF29" s="55"/>
      <c r="BG29" s="55"/>
      <c r="BM29" s="223" t="s">
        <v>217</v>
      </c>
      <c r="BY29" s="2"/>
      <c r="CX29" s="221">
        <f ca="1">IF($CX$97="",2*COUNTIF(Ergebnisse!$D$63:'Ergebnisse'!$F$78,BM29),2*INT(RAND()*2))</f>
        <v>2</v>
      </c>
      <c r="CY29" s="17" t="str">
        <f ca="1">IF(COUNTIF(Ergebnisse!BK23:'Ergebnisse'!BK28,Ergebnisse!$B$98)=6,"ok","")</f>
        <v>ok</v>
      </c>
      <c r="DA29" s="168" t="s">
        <v>76</v>
      </c>
      <c r="DB29" s="169">
        <v>4</v>
      </c>
    </row>
    <row r="30" spans="1:106" ht="6" customHeight="1">
      <c r="D30" s="55"/>
      <c r="E30" s="58"/>
      <c r="F30" s="59"/>
      <c r="G30" s="59"/>
      <c r="H30" s="55"/>
      <c r="I30" s="55"/>
      <c r="J30" s="55"/>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17"/>
      <c r="AZ30" s="2"/>
      <c r="BD30" s="55"/>
      <c r="BE30" s="58"/>
      <c r="BF30" s="59"/>
      <c r="BG30" s="59"/>
      <c r="BH30" s="55"/>
      <c r="BI30" s="55"/>
      <c r="BJ30" s="55"/>
      <c r="BY30" s="2"/>
      <c r="DA30" s="163"/>
      <c r="DB30" s="164"/>
    </row>
    <row r="31" spans="1:106">
      <c r="A31" s="10"/>
      <c r="B31" s="224" t="s">
        <v>0</v>
      </c>
      <c r="C31" s="225" t="s">
        <v>219</v>
      </c>
      <c r="D31" s="17" t="s">
        <v>2</v>
      </c>
      <c r="E31" s="14"/>
      <c r="F31" s="17"/>
      <c r="G31" s="17"/>
      <c r="H31" s="17"/>
      <c r="I31" s="19"/>
      <c r="J31" s="20"/>
      <c r="K31" s="180"/>
      <c r="L31" s="17"/>
      <c r="M31" s="35"/>
      <c r="N31" s="17"/>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10"/>
      <c r="AX31" s="224">
        <f ca="1">IF($CX$97="",2*COUNTIF(Ergebnisse!$D$63:'Ergebnisse'!$F$78,M37),2*INT(RAND()*2))</f>
        <v>2</v>
      </c>
      <c r="AY31" s="17" t="str">
        <f ca="1">IF(COUNTIF(Ergebnisse!K33:'Ergebnisse'!K38,Ergebnisse!$B$98)=6,"ok","")</f>
        <v>ok</v>
      </c>
      <c r="AZ31" s="10"/>
      <c r="BA31" s="10"/>
      <c r="BB31" s="226" t="s">
        <v>0</v>
      </c>
      <c r="BC31" s="227" t="s">
        <v>220</v>
      </c>
      <c r="BD31" s="17" t="s">
        <v>2</v>
      </c>
      <c r="BE31" s="14"/>
      <c r="BF31" s="17"/>
      <c r="BG31" s="17"/>
      <c r="BH31" s="17"/>
      <c r="BI31" s="19"/>
      <c r="BJ31" s="20"/>
      <c r="BK31" s="180"/>
      <c r="BL31" s="17"/>
      <c r="BM31" s="35"/>
      <c r="BN31" s="17"/>
      <c r="BY31" s="2"/>
      <c r="CX31" s="226">
        <f ca="1">IF($CX$97="",2*COUNTIF(Ergebnisse!$D$63:'Ergebnisse'!$F$78,BM37),2*INT(RAND()*2))</f>
        <v>2</v>
      </c>
      <c r="CY31" s="17" t="str">
        <f ca="1">IF(COUNTIF(Ergebnisse!BK33:'Ergebnisse'!BK38,Ergebnisse!$B$98)=6,"ok","")</f>
        <v>ok</v>
      </c>
    </row>
    <row r="32" spans="1:106">
      <c r="B32" s="3" t="s">
        <v>22</v>
      </c>
      <c r="C32" s="3" t="s">
        <v>23</v>
      </c>
      <c r="L32" s="1"/>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24">
        <f ca="1">IF($CX$97="",2*COUNTIF(Ergebnisse!$D$63:'Ergebnisse'!$F$78,M38),2*INT(RAND()*2))</f>
        <v>2</v>
      </c>
      <c r="AY32" s="17" t="str">
        <f ca="1">IF(COUNTIF(Ergebnisse!K33:'Ergebnisse'!K38,Ergebnisse!$B$98)=6,"ok","")</f>
        <v>ok</v>
      </c>
      <c r="AZ32" s="2"/>
      <c r="BB32" s="3" t="s">
        <v>22</v>
      </c>
      <c r="BC32" s="3" t="s">
        <v>23</v>
      </c>
      <c r="BL32" s="1"/>
      <c r="BY32" s="2"/>
      <c r="CX32" s="226">
        <f ca="1">IF($CX$97="",2*COUNTIF(Ergebnisse!$D$63:'Ergebnisse'!$F$78,BM38),2*INT(RAND()*2))</f>
        <v>2</v>
      </c>
      <c r="CY32" s="17" t="str">
        <f ca="1">IF(COUNTIF(Ergebnisse!BK33:'Ergebnisse'!BK38,Ergebnisse!$B$98)=6,"ok","")</f>
        <v>ok</v>
      </c>
      <c r="DA32" s="170" t="s">
        <v>77</v>
      </c>
      <c r="DB32" s="166">
        <f>DB36*(DB35+2*DB33)</f>
        <v>30</v>
      </c>
    </row>
    <row r="33" spans="1:106">
      <c r="A33" s="2">
        <f>IF(Ergebnisse!A33="","",Ergebnisse!A33)</f>
        <v>16</v>
      </c>
      <c r="B33" s="6">
        <f>IF(Ergebnisse!B33="","",Ergebnisse!B33)</f>
        <v>46188.5</v>
      </c>
      <c r="C33" s="6" t="str">
        <f>IF(Ergebnisse!C33="","",Ergebnisse!C33)</f>
        <v>Seattle</v>
      </c>
      <c r="D33" s="56" t="str">
        <f>IF(Ergebnisse!D33="","",Ergebnisse!D33)</f>
        <v>Belgien</v>
      </c>
      <c r="E33" s="40"/>
      <c r="F33" s="56" t="str">
        <f>IF(Ergebnisse!F33="","",Ergebnisse!F33)</f>
        <v>Ägypten</v>
      </c>
      <c r="G33" s="53"/>
      <c r="H33" s="57">
        <v>1</v>
      </c>
      <c r="I33" s="11" t="s">
        <v>25</v>
      </c>
      <c r="J33" s="57">
        <v>1</v>
      </c>
      <c r="L33" s="1"/>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17">
        <f ca="1">IF($CX$97="",IF(OR(Ergebnisse!H33="",Ergebnisse!J33=""),0,IF(AND(H33=Ergebnisse!H33,J33=Ergebnisse!J33),7,MIN(7,(H33-J33=Ergebnisse!H33-Ergebnisse!J33)*4+(AND(H33-J33&lt;&gt;Ergebnisse!H33-Ergebnisse!J33,SIGN(H33-J33)=SIGN(Ergebnisse!H33-Ergebnisse!J33)))*2+(H33=Ergebnisse!H33)+(J33=Ergebnisse!J33)))),INT(RAND()*8))</f>
        <v>1</v>
      </c>
      <c r="AY33" s="17" t="str">
        <f ca="1">IF(Ergebnisse!K33=Ergebnisse!$B$98,Ergebnisse!K33,"")</f>
        <v>ok</v>
      </c>
      <c r="AZ33" s="2"/>
      <c r="BA33" s="2">
        <f>IF(Ergebnisse!BA33="","",Ergebnisse!BA33)</f>
        <v>17</v>
      </c>
      <c r="BB33" s="6">
        <f>IF(Ergebnisse!BB33="","",Ergebnisse!BB33)</f>
        <v>46189.625</v>
      </c>
      <c r="BC33" s="6" t="str">
        <f>IF(Ergebnisse!BC33="","",Ergebnisse!BC33)</f>
        <v>New York</v>
      </c>
      <c r="BD33" s="56" t="str">
        <f>IF(Ergebnisse!BD33="","",Ergebnisse!BD33)</f>
        <v>Argentinien</v>
      </c>
      <c r="BE33" s="40"/>
      <c r="BF33" s="56" t="str">
        <f>IF(Ergebnisse!BF33="","",Ergebnisse!BF33)</f>
        <v>Algerien</v>
      </c>
      <c r="BG33" s="53"/>
      <c r="BH33" s="57">
        <v>2</v>
      </c>
      <c r="BI33" s="11" t="s">
        <v>25</v>
      </c>
      <c r="BJ33" s="57">
        <v>0</v>
      </c>
      <c r="BL33" s="1"/>
      <c r="BY33" s="2"/>
      <c r="CX33" s="17">
        <f ca="1">IF($CX$97="",IF(OR(Ergebnisse!BH33="",Ergebnisse!BJ33=""),0,IF(AND(BH33=Ergebnisse!BH33,BJ33=Ergebnisse!BJ33),7,MIN(7,(BH33-BJ33=Ergebnisse!BH33-Ergebnisse!BJ33)*4+(AND(BH33-BJ33&lt;&gt;Ergebnisse!BH33-Ergebnisse!BJ33,SIGN(BH33-BJ33)=SIGN(Ergebnisse!BH33-Ergebnisse!BJ33)))*2+(BH33=Ergebnisse!BH33)+(BJ33=Ergebnisse!BJ33)))),INT(RAND()*8))</f>
        <v>0</v>
      </c>
      <c r="CY33" s="17" t="str">
        <f ca="1">IF(Ergebnisse!BK33=Ergebnisse!$B$98,Ergebnisse!BK33,"")</f>
        <v>ok</v>
      </c>
      <c r="DA33" s="167" t="s">
        <v>127</v>
      </c>
      <c r="DB33" s="164">
        <v>4</v>
      </c>
    </row>
    <row r="34" spans="1:106" s="10" customFormat="1">
      <c r="A34" s="2">
        <f>IF(Ergebnisse!A34="","",Ergebnisse!A34)</f>
        <v>15</v>
      </c>
      <c r="B34" s="6">
        <f>IF(Ergebnisse!B34="","",Ergebnisse!B34)</f>
        <v>46188.75</v>
      </c>
      <c r="C34" s="6" t="str">
        <f>IF(Ergebnisse!C34="","",Ergebnisse!C34)</f>
        <v>Los Angeles</v>
      </c>
      <c r="D34" s="56" t="str">
        <f>IF(Ergebnisse!D34="","",Ergebnisse!D34)</f>
        <v>IR Iran</v>
      </c>
      <c r="E34" s="40"/>
      <c r="F34" s="56" t="str">
        <f>IF(Ergebnisse!F34="","",Ergebnisse!F34)</f>
        <v>Neuseeland</v>
      </c>
      <c r="G34" s="53"/>
      <c r="H34" s="57">
        <v>1</v>
      </c>
      <c r="I34" s="11" t="s">
        <v>25</v>
      </c>
      <c r="J34" s="57">
        <v>0</v>
      </c>
      <c r="K34" s="7"/>
      <c r="L34" s="1"/>
      <c r="M34" s="9"/>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17">
        <f ca="1">IF($CX$97="",IF(OR(Ergebnisse!H34="",Ergebnisse!J34=""),0,IF(AND(H34=Ergebnisse!H34,J34=Ergebnisse!J34),7,MIN(7,(H34-J34=Ergebnisse!H34-Ergebnisse!J34)*4+(AND(H34-J34&lt;&gt;Ergebnisse!H34-Ergebnisse!J34,SIGN(H34-J34)=SIGN(Ergebnisse!H34-Ergebnisse!J34)))*2+(H34=Ergebnisse!H34)+(J34=Ergebnisse!J34)))),INT(RAND()*8))</f>
        <v>1</v>
      </c>
      <c r="AY34" s="17" t="str">
        <f ca="1">IF(Ergebnisse!K34=Ergebnisse!$B$98,Ergebnisse!K34,"")</f>
        <v>ok</v>
      </c>
      <c r="AZ34" s="2"/>
      <c r="BA34" s="2">
        <f>IF(Ergebnisse!BA34="","",Ergebnisse!BA34)</f>
        <v>18</v>
      </c>
      <c r="BB34" s="6">
        <f>IF(Ergebnisse!BB34="","",Ergebnisse!BB34)</f>
        <v>46189.75</v>
      </c>
      <c r="BC34" s="6" t="str">
        <f>IF(Ergebnisse!BC34="","",Ergebnisse!BC34)</f>
        <v>Boston</v>
      </c>
      <c r="BD34" s="56" t="str">
        <f>IF(Ergebnisse!BD34="","",Ergebnisse!BD34)</f>
        <v>Österreich</v>
      </c>
      <c r="BE34" s="40"/>
      <c r="BF34" s="56" t="str">
        <f>IF(Ergebnisse!BF34="","",Ergebnisse!BF34)</f>
        <v>Jordanien</v>
      </c>
      <c r="BG34" s="53"/>
      <c r="BH34" s="57">
        <v>1</v>
      </c>
      <c r="BI34" s="11" t="s">
        <v>25</v>
      </c>
      <c r="BJ34" s="57">
        <v>1</v>
      </c>
      <c r="BK34" s="7"/>
      <c r="BL34" s="1"/>
      <c r="BM34" s="9"/>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17">
        <f ca="1">IF($CX$97="",IF(OR(Ergebnisse!BH34="",Ergebnisse!BJ34=""),0,IF(AND(BH34=Ergebnisse!BH34,BJ34=Ergebnisse!BJ34),7,MIN(7,(BH34-BJ34=Ergebnisse!BH34-Ergebnisse!BJ34)*4+(AND(BH34-BJ34&lt;&gt;Ergebnisse!BH34-Ergebnisse!BJ34,SIGN(BH34-BJ34)=SIGN(Ergebnisse!BH34-Ergebnisse!BJ34)))*2+(BH34=Ergebnisse!BH34)+(BJ34=Ergebnisse!BJ34)))),INT(RAND()*8))</f>
        <v>0</v>
      </c>
      <c r="CY34" s="17" t="str">
        <f ca="1">IF(Ergebnisse!BK34=Ergebnisse!$B$98,Ergebnisse!BK34,"")</f>
        <v>ok</v>
      </c>
      <c r="DA34" s="167" t="s">
        <v>123</v>
      </c>
      <c r="DB34" s="164">
        <v>2</v>
      </c>
    </row>
    <row r="35" spans="1:106">
      <c r="A35" s="2">
        <f>IF(Ergebnisse!A35="","",Ergebnisse!A35)</f>
        <v>39</v>
      </c>
      <c r="B35" s="6">
        <f>IF(Ergebnisse!B35="","",Ergebnisse!B35)</f>
        <v>46194.5</v>
      </c>
      <c r="C35" s="6" t="str">
        <f>IF(Ergebnisse!C35="","",Ergebnisse!C35)</f>
        <v>Los Angeles</v>
      </c>
      <c r="D35" s="56" t="str">
        <f>IF(Ergebnisse!D35="","",Ergebnisse!D35)</f>
        <v>Belgien</v>
      </c>
      <c r="E35" s="40"/>
      <c r="F35" s="56" t="str">
        <f>IF(Ergebnisse!F35="","",Ergebnisse!F35)</f>
        <v>IR Iran</v>
      </c>
      <c r="G35" s="53"/>
      <c r="H35" s="57">
        <v>3</v>
      </c>
      <c r="I35" s="11" t="s">
        <v>25</v>
      </c>
      <c r="J35" s="57">
        <v>1</v>
      </c>
      <c r="L35" s="1"/>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17">
        <f ca="1">IF($CX$97="",IF(OR(Ergebnisse!H35="",Ergebnisse!J35=""),0,IF(AND(H35=Ergebnisse!H35,J35=Ergebnisse!J35),7,MIN(7,(H35-J35=Ergebnisse!H35-Ergebnisse!J35)*4+(AND(H35-J35&lt;&gt;Ergebnisse!H35-Ergebnisse!J35,SIGN(H35-J35)=SIGN(Ergebnisse!H35-Ergebnisse!J35)))*2+(H35=Ergebnisse!H35)+(J35=Ergebnisse!J35)))),INT(RAND()*8))</f>
        <v>0</v>
      </c>
      <c r="AY35" s="17" t="str">
        <f ca="1">IF(Ergebnisse!K35=Ergebnisse!$B$98,Ergebnisse!K35,"")</f>
        <v>ok</v>
      </c>
      <c r="AZ35" s="2"/>
      <c r="BA35" s="2">
        <f>IF(Ergebnisse!BA35="","",Ergebnisse!BA35)</f>
        <v>43</v>
      </c>
      <c r="BB35" s="6">
        <f>IF(Ergebnisse!BB35="","",Ergebnisse!BB35)</f>
        <v>46195.5</v>
      </c>
      <c r="BC35" s="6" t="str">
        <f>IF(Ergebnisse!BC35="","",Ergebnisse!BC35)</f>
        <v>Dallas</v>
      </c>
      <c r="BD35" s="56" t="str">
        <f>IF(Ergebnisse!BD35="","",Ergebnisse!BD35)</f>
        <v>Argentinien</v>
      </c>
      <c r="BE35" s="40"/>
      <c r="BF35" s="56" t="str">
        <f>IF(Ergebnisse!BF35="","",Ergebnisse!BF35)</f>
        <v>Österreich</v>
      </c>
      <c r="BG35" s="53"/>
      <c r="BH35" s="57">
        <v>3</v>
      </c>
      <c r="BI35" s="11" t="s">
        <v>25</v>
      </c>
      <c r="BJ35" s="57">
        <v>1</v>
      </c>
      <c r="BL35" s="1"/>
      <c r="BY35" s="2"/>
      <c r="CX35" s="17">
        <f ca="1">IF($CX$97="",IF(OR(Ergebnisse!BH35="",Ergebnisse!BJ35=""),0,IF(AND(BH35=Ergebnisse!BH35,BJ35=Ergebnisse!BJ35),7,MIN(7,(BH35-BJ35=Ergebnisse!BH35-Ergebnisse!BJ35)*4+(AND(BH35-BJ35&lt;&gt;Ergebnisse!BH35-Ergebnisse!BJ35,SIGN(BH35-BJ35)=SIGN(Ergebnisse!BH35-Ergebnisse!BJ35)))*2+(BH35=Ergebnisse!BH35)+(BJ35=Ergebnisse!BJ35)))),INT(RAND()*8))</f>
        <v>2</v>
      </c>
      <c r="CY35" s="17" t="str">
        <f ca="1">IF(Ergebnisse!BK35=Ergebnisse!$B$98,Ergebnisse!BK35,"")</f>
        <v>ok</v>
      </c>
      <c r="DA35" s="171" t="s">
        <v>83</v>
      </c>
      <c r="DB35" s="270">
        <v>7</v>
      </c>
    </row>
    <row r="36" spans="1:106">
      <c r="A36" s="2">
        <f>IF(Ergebnisse!A36="","",Ergebnisse!A36)</f>
        <v>40</v>
      </c>
      <c r="B36" s="6">
        <f>IF(Ergebnisse!B36="","",Ergebnisse!B36)</f>
        <v>46194.75</v>
      </c>
      <c r="C36" s="6" t="str">
        <f>IF(Ergebnisse!C36="","",Ergebnisse!C36)</f>
        <v>Vancouver</v>
      </c>
      <c r="D36" s="56" t="str">
        <f>IF(Ergebnisse!D36="","",Ergebnisse!D36)</f>
        <v>Neuseeland</v>
      </c>
      <c r="E36" s="40"/>
      <c r="F36" s="56" t="str">
        <f>IF(Ergebnisse!F36="","",Ergebnisse!F36)</f>
        <v>Ägypten</v>
      </c>
      <c r="G36" s="53"/>
      <c r="H36" s="57">
        <v>2</v>
      </c>
      <c r="I36" s="11" t="s">
        <v>25</v>
      </c>
      <c r="J36" s="57">
        <v>2</v>
      </c>
      <c r="L36" s="1"/>
      <c r="N36" s="1"/>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17">
        <f ca="1">IF($CX$97="",IF(OR(Ergebnisse!H36="",Ergebnisse!J36=""),0,IF(AND(H36=Ergebnisse!H36,J36=Ergebnisse!J36),7,MIN(7,(H36-J36=Ergebnisse!H36-Ergebnisse!J36)*4+(AND(H36-J36&lt;&gt;Ergebnisse!H36-Ergebnisse!J36,SIGN(H36-J36)=SIGN(Ergebnisse!H36-Ergebnisse!J36)))*2+(H36=Ergebnisse!H36)+(J36=Ergebnisse!J36)))),INT(RAND()*8))</f>
        <v>0</v>
      </c>
      <c r="AY36" s="17" t="str">
        <f ca="1">IF(Ergebnisse!K36=Ergebnisse!$B$98,Ergebnisse!K36,"")</f>
        <v>ok</v>
      </c>
      <c r="AZ36" s="2"/>
      <c r="BA36" s="2">
        <f>IF(Ergebnisse!BA36="","",Ergebnisse!BA36)</f>
        <v>44</v>
      </c>
      <c r="BB36" s="6">
        <f>IF(Ergebnisse!BB36="","",Ergebnisse!BB36)</f>
        <v>46195.833333333336</v>
      </c>
      <c r="BC36" s="6" t="str">
        <f>IF(Ergebnisse!BC36="","",Ergebnisse!BC36)</f>
        <v>San Francisco</v>
      </c>
      <c r="BD36" s="56" t="str">
        <f>IF(Ergebnisse!BD36="","",Ergebnisse!BD36)</f>
        <v>Jordanien</v>
      </c>
      <c r="BE36" s="40"/>
      <c r="BF36" s="56" t="str">
        <f>IF(Ergebnisse!BF36="","",Ergebnisse!BF36)</f>
        <v>Algerien</v>
      </c>
      <c r="BG36" s="53"/>
      <c r="BH36" s="57">
        <v>0</v>
      </c>
      <c r="BI36" s="11" t="s">
        <v>25</v>
      </c>
      <c r="BJ36" s="57">
        <v>1</v>
      </c>
      <c r="BL36" s="1"/>
      <c r="BN36" s="1"/>
      <c r="BY36" s="2"/>
      <c r="CX36" s="17">
        <f ca="1">IF($CX$97="",IF(OR(Ergebnisse!BH36="",Ergebnisse!BJ36=""),0,IF(AND(BH36=Ergebnisse!BH36,BJ36=Ergebnisse!BJ36),7,MIN(7,(BH36-BJ36=Ergebnisse!BH36-Ergebnisse!BJ36)*4+(AND(BH36-BJ36&lt;&gt;Ergebnisse!BH36-Ergebnisse!BJ36,SIGN(BH36-BJ36)=SIGN(Ergebnisse!BH36-Ergebnisse!BJ36)))*2+(BH36=Ergebnisse!BH36)+(BJ36=Ergebnisse!BJ36)))),INT(RAND()*8))</f>
        <v>3</v>
      </c>
      <c r="CY36" s="17" t="str">
        <f ca="1">IF(Ergebnisse!BK36=Ergebnisse!$B$98,Ergebnisse!BK36,"")</f>
        <v>ok</v>
      </c>
      <c r="DA36" s="168" t="s">
        <v>76</v>
      </c>
      <c r="DB36" s="169">
        <v>2</v>
      </c>
    </row>
    <row r="37" spans="1:106">
      <c r="A37" s="2">
        <f>IF(Ergebnisse!A37="","",Ergebnisse!A37)</f>
        <v>64</v>
      </c>
      <c r="B37" s="6">
        <f>IF(Ergebnisse!B37="","",Ergebnisse!B37)</f>
        <v>46199.833333333336</v>
      </c>
      <c r="C37" s="6" t="str">
        <f>IF(Ergebnisse!C37="","",Ergebnisse!C37)</f>
        <v>Vancouver</v>
      </c>
      <c r="D37" s="56" t="str">
        <f>IF(Ergebnisse!D37="","",Ergebnisse!D37)</f>
        <v>Neuseeland</v>
      </c>
      <c r="E37" s="40"/>
      <c r="F37" s="56" t="str">
        <f>IF(Ergebnisse!F37="","",Ergebnisse!F37)</f>
        <v>Belgien</v>
      </c>
      <c r="G37" s="55"/>
      <c r="H37" s="57">
        <v>0</v>
      </c>
      <c r="I37" s="11" t="s">
        <v>25</v>
      </c>
      <c r="J37" s="57">
        <v>4</v>
      </c>
      <c r="M37" s="228" t="s">
        <v>186</v>
      </c>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17">
        <f ca="1">IF($CX$97="",IF(OR(Ergebnisse!H37="",Ergebnisse!J37=""),0,IF(AND(H37=Ergebnisse!H37,J37=Ergebnisse!J37),7,MIN(7,(H37-J37=Ergebnisse!H37-Ergebnisse!J37)*4+(AND(H37-J37&lt;&gt;Ergebnisse!H37-Ergebnisse!J37,SIGN(H37-J37)=SIGN(Ergebnisse!H37-Ergebnisse!J37)))*2+(H37=Ergebnisse!H37)+(J37=Ergebnisse!J37)))),INT(RAND()*8))</f>
        <v>0</v>
      </c>
      <c r="AY37" s="17" t="str">
        <f ca="1">IF(Ergebnisse!K37=Ergebnisse!$B$98,Ergebnisse!K37,"")</f>
        <v>ok</v>
      </c>
      <c r="AZ37" s="2"/>
      <c r="BA37" s="2">
        <f>IF(Ergebnisse!BA37="","",Ergebnisse!BA37)</f>
        <v>70</v>
      </c>
      <c r="BB37" s="6">
        <f>IF(Ergebnisse!BB37="","",Ergebnisse!BB37)</f>
        <v>46200.875</v>
      </c>
      <c r="BC37" s="6" t="str">
        <f>IF(Ergebnisse!BC37="","",Ergebnisse!BC37)</f>
        <v>Dallas</v>
      </c>
      <c r="BD37" s="56" t="str">
        <f>IF(Ergebnisse!BD37="","",Ergebnisse!BD37)</f>
        <v>Jordanien</v>
      </c>
      <c r="BE37" s="40"/>
      <c r="BF37" s="56" t="str">
        <f>IF(Ergebnisse!BF37="","",Ergebnisse!BF37)</f>
        <v>Argentinien</v>
      </c>
      <c r="BG37" s="55"/>
      <c r="BH37" s="57">
        <v>0</v>
      </c>
      <c r="BI37" s="11" t="s">
        <v>25</v>
      </c>
      <c r="BJ37" s="57">
        <v>4</v>
      </c>
      <c r="BM37" s="227" t="s">
        <v>221</v>
      </c>
      <c r="BY37" s="2"/>
      <c r="CX37" s="17">
        <f ca="1">IF($CX$97="",IF(OR(Ergebnisse!BH37="",Ergebnisse!BJ37=""),0,IF(AND(BH37=Ergebnisse!BH37,BJ37=Ergebnisse!BJ37),7,MIN(7,(BH37-BJ37=Ergebnisse!BH37-Ergebnisse!BJ37)*4+(AND(BH37-BJ37&lt;&gt;Ergebnisse!BH37-Ergebnisse!BJ37,SIGN(BH37-BJ37)=SIGN(Ergebnisse!BH37-Ergebnisse!BJ37)))*2+(BH37=Ergebnisse!BH37)+(BJ37=Ergebnisse!BJ37)))),INT(RAND()*8))</f>
        <v>2</v>
      </c>
      <c r="CY37" s="17" t="str">
        <f ca="1">IF(Ergebnisse!BK37=Ergebnisse!$B$98,Ergebnisse!BK37,"")</f>
        <v>ok</v>
      </c>
    </row>
    <row r="38" spans="1:106">
      <c r="A38" s="2">
        <f>IF(Ergebnisse!A38="","",Ergebnisse!A38)</f>
        <v>63</v>
      </c>
      <c r="B38" s="6">
        <f>IF(Ergebnisse!B38="","",Ergebnisse!B38)</f>
        <v>46199.833333333336</v>
      </c>
      <c r="C38" s="6" t="str">
        <f>IF(Ergebnisse!C38="","",Ergebnisse!C38)</f>
        <v>Seattle</v>
      </c>
      <c r="D38" s="56" t="str">
        <f>IF(Ergebnisse!D38="","",Ergebnisse!D38)</f>
        <v>Ägypten</v>
      </c>
      <c r="E38" s="40"/>
      <c r="F38" s="56" t="str">
        <f>IF(Ergebnisse!F38="","",Ergebnisse!F38)</f>
        <v>IR Iran</v>
      </c>
      <c r="G38" s="55"/>
      <c r="H38" s="57">
        <v>1</v>
      </c>
      <c r="I38" s="11" t="s">
        <v>25</v>
      </c>
      <c r="J38" s="57">
        <v>3</v>
      </c>
      <c r="M38" s="228" t="s">
        <v>224</v>
      </c>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17">
        <f ca="1">IF($CX$97="",IF(OR(Ergebnisse!H38="",Ergebnisse!J38=""),0,IF(AND(H38=Ergebnisse!H38,J38=Ergebnisse!J38),7,MIN(7,(H38-J38=Ergebnisse!H38-Ergebnisse!J38)*4+(AND(H38-J38&lt;&gt;Ergebnisse!H38-Ergebnisse!J38,SIGN(H38-J38)=SIGN(Ergebnisse!H38-Ergebnisse!J38)))*2+(H38=Ergebnisse!H38)+(J38=Ergebnisse!J38)))),INT(RAND()*8))</f>
        <v>0</v>
      </c>
      <c r="AY38" s="17" t="str">
        <f ca="1">IF(Ergebnisse!K38=Ergebnisse!$B$98,Ergebnisse!K38,"")</f>
        <v>ok</v>
      </c>
      <c r="AZ38" s="2"/>
      <c r="BA38" s="2">
        <f>IF(Ergebnisse!BA38="","",Ergebnisse!BA38)</f>
        <v>69</v>
      </c>
      <c r="BB38" s="6">
        <f>IF(Ergebnisse!BB38="","",Ergebnisse!BB38)</f>
        <v>46200.875</v>
      </c>
      <c r="BC38" s="6" t="str">
        <f>IF(Ergebnisse!BC38="","",Ergebnisse!BC38)</f>
        <v>Kansas City</v>
      </c>
      <c r="BD38" s="56" t="str">
        <f>IF(Ergebnisse!BD38="","",Ergebnisse!BD38)</f>
        <v>Algerien</v>
      </c>
      <c r="BE38" s="40"/>
      <c r="BF38" s="56" t="str">
        <f>IF(Ergebnisse!BF38="","",Ergebnisse!BF38)</f>
        <v>Österreich</v>
      </c>
      <c r="BG38" s="55"/>
      <c r="BH38" s="57">
        <v>2</v>
      </c>
      <c r="BI38" s="11" t="s">
        <v>25</v>
      </c>
      <c r="BJ38" s="57">
        <v>1</v>
      </c>
      <c r="BM38" s="227" t="s">
        <v>223</v>
      </c>
      <c r="BY38" s="2"/>
      <c r="CX38" s="17">
        <f ca="1">IF($CX$97="",IF(OR(Ergebnisse!BH38="",Ergebnisse!BJ38=""),0,IF(AND(BH38=Ergebnisse!BH38,BJ38=Ergebnisse!BJ38),7,MIN(7,(BH38-BJ38=Ergebnisse!BH38-Ergebnisse!BJ38)*4+(AND(BH38-BJ38&lt;&gt;Ergebnisse!BH38-Ergebnisse!BJ38,SIGN(BH38-BJ38)=SIGN(Ergebnisse!BH38-Ergebnisse!BJ38)))*2+(BH38=Ergebnisse!BH38)+(BJ38=Ergebnisse!BJ38)))),INT(RAND()*8))</f>
        <v>1</v>
      </c>
      <c r="CY38" s="17" t="str">
        <f ca="1">IF(Ergebnisse!BK38=Ergebnisse!$B$98,Ergebnisse!BK38,"")</f>
        <v>ok</v>
      </c>
      <c r="DA38" s="165" t="s">
        <v>84</v>
      </c>
      <c r="DB38" s="166">
        <f>DB41*(DB40+2*DB39)</f>
        <v>30</v>
      </c>
    </row>
    <row r="39" spans="1:106">
      <c r="E39" s="55"/>
      <c r="F39" s="55"/>
      <c r="G39" s="55"/>
      <c r="M39" s="228" t="s">
        <v>222</v>
      </c>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24">
        <f ca="1">IF($CX$97="",2*COUNTIF(Ergebnisse!$D$63:'Ergebnisse'!$F$78,M39),2*INT(RAND()*2))</f>
        <v>0</v>
      </c>
      <c r="AY39" s="17" t="str">
        <f ca="1">IF(COUNTIF(Ergebnisse!K33:'Ergebnisse'!K38,Ergebnisse!$B$98)=6,"ok","")</f>
        <v>ok</v>
      </c>
      <c r="AZ39" s="2"/>
      <c r="BE39" s="55"/>
      <c r="BF39" s="55"/>
      <c r="BG39" s="55"/>
      <c r="BM39" s="227" t="s">
        <v>187</v>
      </c>
      <c r="BY39" s="2"/>
      <c r="CX39" s="226">
        <f ca="1">IF($CX$97="",2*COUNTIF(Ergebnisse!$D$63:'Ergebnisse'!$F$78,BM39),2*INT(RAND()*2))</f>
        <v>0</v>
      </c>
      <c r="CY39" s="17" t="str">
        <f ca="1">IF(COUNTIF(Ergebnisse!BK33:'Ergebnisse'!BK38,Ergebnisse!$B$98)=6,"ok","")</f>
        <v>ok</v>
      </c>
      <c r="DA39" s="167" t="s">
        <v>128</v>
      </c>
      <c r="DB39" s="164">
        <v>4</v>
      </c>
    </row>
    <row r="40" spans="1:106">
      <c r="D40" s="55"/>
      <c r="E40" s="58"/>
      <c r="F40" s="59"/>
      <c r="G40" s="59"/>
      <c r="H40" s="55"/>
      <c r="I40" s="55"/>
      <c r="J40" s="55"/>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17"/>
      <c r="AZ40" s="2"/>
      <c r="BD40" s="55"/>
      <c r="BE40" s="58"/>
      <c r="BF40" s="59"/>
      <c r="BG40" s="59"/>
      <c r="BH40" s="55"/>
      <c r="BI40" s="55"/>
      <c r="BJ40" s="55"/>
      <c r="BY40" s="2"/>
      <c r="DA40" s="171" t="s">
        <v>83</v>
      </c>
      <c r="DB40" s="271">
        <v>7</v>
      </c>
    </row>
    <row r="41" spans="1:106">
      <c r="A41" s="10"/>
      <c r="B41" s="229" t="s">
        <v>0</v>
      </c>
      <c r="C41" s="230" t="s">
        <v>233</v>
      </c>
      <c r="D41" s="53" t="s">
        <v>2</v>
      </c>
      <c r="E41" s="54"/>
      <c r="F41" s="53"/>
      <c r="G41" s="53"/>
      <c r="H41" s="20"/>
      <c r="I41" s="19"/>
      <c r="J41" s="20"/>
      <c r="K41" s="180"/>
      <c r="L41" s="17"/>
      <c r="M41" s="35"/>
      <c r="N41" s="17"/>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10"/>
      <c r="AX41" s="229">
        <f ca="1">IF($CX$97="",2*COUNTIF(Ergebnisse!$D$63:'Ergebnisse'!$F$78,M47),2*INT(RAND()*2))</f>
        <v>2</v>
      </c>
      <c r="AY41" s="17" t="str">
        <f ca="1">IF(COUNTIF(Ergebnisse!K43:'Ergebnisse'!K48,Ergebnisse!$B$98)=6,"ok","")</f>
        <v>ok</v>
      </c>
      <c r="AZ41" s="10"/>
      <c r="BA41" s="10"/>
      <c r="BB41" s="231" t="s">
        <v>0</v>
      </c>
      <c r="BC41" s="232" t="s">
        <v>234</v>
      </c>
      <c r="BD41" s="53" t="s">
        <v>2</v>
      </c>
      <c r="BE41" s="54"/>
      <c r="BF41" s="53"/>
      <c r="BG41" s="53"/>
      <c r="BH41" s="20"/>
      <c r="BI41" s="19"/>
      <c r="BJ41" s="20"/>
      <c r="BK41" s="180"/>
      <c r="BL41" s="17"/>
      <c r="BM41" s="35"/>
      <c r="BN41" s="17"/>
      <c r="BY41" s="2"/>
      <c r="CX41" s="231">
        <f ca="1">IF($CX$97="",2*COUNTIF(Ergebnisse!$D$63:'Ergebnisse'!$F$78,BM47),2*INT(RAND()*2))</f>
        <v>2</v>
      </c>
      <c r="CY41" s="17" t="str">
        <f ca="1">IF(COUNTIF(Ergebnisse!BK43:'Ergebnisse'!BK48,Ergebnisse!$B$98)=6,"ok","")</f>
        <v>ok</v>
      </c>
      <c r="DA41" s="168" t="s">
        <v>76</v>
      </c>
      <c r="DB41" s="169">
        <v>2</v>
      </c>
    </row>
    <row r="42" spans="1:106">
      <c r="B42" s="6" t="s">
        <v>22</v>
      </c>
      <c r="C42" s="6" t="s">
        <v>23</v>
      </c>
      <c r="D42" s="56"/>
      <c r="E42" s="40"/>
      <c r="F42" s="56"/>
      <c r="G42" s="53"/>
      <c r="H42" s="20"/>
      <c r="I42" s="19"/>
      <c r="J42" s="20"/>
      <c r="L42" s="1"/>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29">
        <f ca="1">IF($CX$97="",2*COUNTIF(Ergebnisse!$D$63:'Ergebnisse'!$F$78,M48),2*INT(RAND()*2))</f>
        <v>2</v>
      </c>
      <c r="AY42" s="17" t="str">
        <f ca="1">IF(COUNTIF(Ergebnisse!K43:'Ergebnisse'!K48,Ergebnisse!$B$98)=6,"ok","")</f>
        <v>ok</v>
      </c>
      <c r="AZ42" s="2"/>
      <c r="BB42" s="6" t="s">
        <v>22</v>
      </c>
      <c r="BC42" s="6" t="s">
        <v>23</v>
      </c>
      <c r="BD42" s="56"/>
      <c r="BE42" s="40"/>
      <c r="BF42" s="56"/>
      <c r="BG42" s="53"/>
      <c r="BH42" s="20"/>
      <c r="BI42" s="19"/>
      <c r="BJ42" s="20"/>
      <c r="BL42" s="1"/>
      <c r="BY42" s="2"/>
      <c r="CX42" s="231">
        <f ca="1">IF($CX$97="",2*COUNTIF(Ergebnisse!$D$63:'Ergebnisse'!$F$78,BM48),2*INT(RAND()*2))</f>
        <v>0</v>
      </c>
      <c r="CY42" s="17" t="str">
        <f ca="1">IF(COUNTIF(Ergebnisse!BK43:'Ergebnisse'!BK48,Ergebnisse!$B$98)=6,"ok","")</f>
        <v>ok</v>
      </c>
    </row>
    <row r="43" spans="1:106">
      <c r="A43" s="2">
        <f>IF(Ergebnisse!A43="","",Ergebnisse!A43)</f>
        <v>14</v>
      </c>
      <c r="B43" s="6">
        <f>IF(Ergebnisse!B43="","",Ergebnisse!B43)</f>
        <v>46188.5</v>
      </c>
      <c r="C43" s="6" t="str">
        <f>IF(Ergebnisse!C43="","",Ergebnisse!C43)</f>
        <v>Atlanta</v>
      </c>
      <c r="D43" s="56" t="str">
        <f>IF(Ergebnisse!D43="","",Ergebnisse!D43)</f>
        <v>Spanien</v>
      </c>
      <c r="E43" s="40"/>
      <c r="F43" s="56" t="str">
        <f>IF(Ergebnisse!F43="","",Ergebnisse!F43)</f>
        <v>Kap Verde</v>
      </c>
      <c r="G43" s="53"/>
      <c r="H43" s="57">
        <v>3</v>
      </c>
      <c r="I43" s="11" t="s">
        <v>25</v>
      </c>
      <c r="J43" s="57">
        <v>0</v>
      </c>
      <c r="L43" s="1"/>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17">
        <f ca="1">IF($CX$97="",IF(OR(Ergebnisse!H43="",Ergebnisse!J43=""),0,IF(AND(H43=Ergebnisse!H43,J43=Ergebnisse!J43),7,MIN(7,(H43-J43=Ergebnisse!H43-Ergebnisse!J43)*4+(AND(H43-J43&lt;&gt;Ergebnisse!H43-Ergebnisse!J43,SIGN(H43-J43)=SIGN(Ergebnisse!H43-Ergebnisse!J43)))*2+(H43=Ergebnisse!H43)+(J43=Ergebnisse!J43)))),INT(RAND()*8))</f>
        <v>2</v>
      </c>
      <c r="AY43" s="17" t="str">
        <f ca="1">IF(Ergebnisse!K43=Ergebnisse!$B$98,Ergebnisse!K43,"")</f>
        <v>ok</v>
      </c>
      <c r="AZ43" s="2"/>
      <c r="BA43" s="2">
        <f>IF(Ergebnisse!BA43="","",Ergebnisse!BA43)</f>
        <v>23</v>
      </c>
      <c r="BB43" s="6">
        <f>IF(Ergebnisse!BB43="","",Ergebnisse!BB43)</f>
        <v>46190.5</v>
      </c>
      <c r="BC43" s="6" t="str">
        <f>IF(Ergebnisse!BC43="","",Ergebnisse!BC43)</f>
        <v>Houston</v>
      </c>
      <c r="BD43" s="56" t="str">
        <f>IF(Ergebnisse!BD43="","",Ergebnisse!BD43)</f>
        <v>Portugal</v>
      </c>
      <c r="BE43" s="40"/>
      <c r="BF43" s="56" t="str">
        <f>IF(Ergebnisse!BF43="","",Ergebnisse!BF43)</f>
        <v>DR Kongo</v>
      </c>
      <c r="BG43" s="53"/>
      <c r="BH43" s="57">
        <v>1</v>
      </c>
      <c r="BI43" s="11" t="s">
        <v>25</v>
      </c>
      <c r="BJ43" s="57">
        <v>1</v>
      </c>
      <c r="BL43" s="1"/>
      <c r="BY43" s="2"/>
      <c r="CX43" s="17">
        <f ca="1">IF($CX$97="",IF(OR(Ergebnisse!BH43="",Ergebnisse!BJ43=""),0,IF(AND(BH43=Ergebnisse!BH43,BJ43=Ergebnisse!BJ43),7,MIN(7,(BH43-BJ43=Ergebnisse!BH43-Ergebnisse!BJ43)*4+(AND(BH43-BJ43&lt;&gt;Ergebnisse!BH43-Ergebnisse!BJ43,SIGN(BH43-BJ43)=SIGN(Ergebnisse!BH43-Ergebnisse!BJ43)))*2+(BH43=Ergebnisse!BH43)+(BJ43=Ergebnisse!BJ43)))),INT(RAND()*8))</f>
        <v>1</v>
      </c>
      <c r="CY43" s="17" t="str">
        <f ca="1">IF(Ergebnisse!BK43=Ergebnisse!$B$98,Ergebnisse!BK43,"")</f>
        <v>ok</v>
      </c>
      <c r="DA43" s="165" t="s">
        <v>63</v>
      </c>
      <c r="DB43" s="272">
        <v>24</v>
      </c>
    </row>
    <row r="44" spans="1:106">
      <c r="A44" s="2">
        <f>IF(Ergebnisse!A44="","",Ergebnisse!A44)</f>
        <v>13</v>
      </c>
      <c r="B44" s="6">
        <f>IF(Ergebnisse!B44="","",Ergebnisse!B44)</f>
        <v>46188.75</v>
      </c>
      <c r="C44" s="6" t="str">
        <f>IF(Ergebnisse!C44="","",Ergebnisse!C44)</f>
        <v>Miami</v>
      </c>
      <c r="D44" s="56" t="str">
        <f>IF(Ergebnisse!D44="","",Ergebnisse!D44)</f>
        <v>Saudiarabien</v>
      </c>
      <c r="E44" s="40"/>
      <c r="F44" s="56" t="str">
        <f>IF(Ergebnisse!F44="","",Ergebnisse!F44)</f>
        <v>Uruguay</v>
      </c>
      <c r="G44" s="53"/>
      <c r="H44" s="57">
        <v>1</v>
      </c>
      <c r="I44" s="11" t="s">
        <v>25</v>
      </c>
      <c r="J44" s="57">
        <v>2</v>
      </c>
      <c r="L44" s="1"/>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17">
        <f ca="1">IF($CX$97="",IF(OR(Ergebnisse!H44="",Ergebnisse!J44=""),0,IF(AND(H44=Ergebnisse!H44,J44=Ergebnisse!J44),7,MIN(7,(H44-J44=Ergebnisse!H44-Ergebnisse!J44)*4+(AND(H44-J44&lt;&gt;Ergebnisse!H44-Ergebnisse!J44,SIGN(H44-J44)=SIGN(Ergebnisse!H44-Ergebnisse!J44)))*2+(H44=Ergebnisse!H44)+(J44=Ergebnisse!J44)))),INT(RAND()*8))</f>
        <v>3</v>
      </c>
      <c r="AY44" s="17" t="str">
        <f ca="1">IF(Ergebnisse!K44=Ergebnisse!$B$98,Ergebnisse!K44,"")</f>
        <v>ok</v>
      </c>
      <c r="AZ44" s="2"/>
      <c r="BA44" s="2">
        <f>IF(Ergebnisse!BA44="","",Ergebnisse!BA44)</f>
        <v>24</v>
      </c>
      <c r="BB44" s="6">
        <f>IF(Ergebnisse!BB44="","",Ergebnisse!BB44)</f>
        <v>46190.875</v>
      </c>
      <c r="BC44" s="6" t="str">
        <f>IF(Ergebnisse!BC44="","",Ergebnisse!BC44)</f>
        <v>Mexico City</v>
      </c>
      <c r="BD44" s="56" t="str">
        <f>IF(Ergebnisse!BD44="","",Ergebnisse!BD44)</f>
        <v>Usbekistan</v>
      </c>
      <c r="BE44" s="40"/>
      <c r="BF44" s="56" t="str">
        <f>IF(Ergebnisse!BF44="","",Ergebnisse!BF44)</f>
        <v>Kolumbien</v>
      </c>
      <c r="BG44" s="53"/>
      <c r="BH44" s="57">
        <v>1</v>
      </c>
      <c r="BI44" s="11" t="s">
        <v>25</v>
      </c>
      <c r="BJ44" s="57">
        <v>3</v>
      </c>
      <c r="BL44" s="1"/>
      <c r="BY44" s="2"/>
      <c r="CX44" s="17">
        <f ca="1">IF($CX$97="",IF(OR(Ergebnisse!BH44="",Ergebnisse!BJ44=""),0,IF(AND(BH44=Ergebnisse!BH44,BJ44=Ergebnisse!BJ44),7,MIN(7,(BH44-BJ44=Ergebnisse!BH44-Ergebnisse!BJ44)*4+(AND(BH44-BJ44&lt;&gt;Ergebnisse!BH44-Ergebnisse!BJ44,SIGN(BH44-BJ44)=SIGN(Ergebnisse!BH44-Ergebnisse!BJ44)))*2+(BH44=Ergebnisse!BH44)+(BJ44=Ergebnisse!BJ44)))),INT(RAND()*8))</f>
        <v>1</v>
      </c>
      <c r="CY44" s="17" t="str">
        <f ca="1">IF(Ergebnisse!BK44=Ergebnisse!$B$98,Ergebnisse!BK44,"")</f>
        <v>ok</v>
      </c>
    </row>
    <row r="45" spans="1:106">
      <c r="A45" s="2">
        <f>IF(Ergebnisse!A45="","",Ergebnisse!A45)</f>
        <v>38</v>
      </c>
      <c r="B45" s="6">
        <f>IF(Ergebnisse!B45="","",Ergebnisse!B45)</f>
        <v>46194.5</v>
      </c>
      <c r="C45" s="6" t="str">
        <f>IF(Ergebnisse!C45="","",Ergebnisse!C45)</f>
        <v>Atlanta</v>
      </c>
      <c r="D45" s="56" t="str">
        <f>IF(Ergebnisse!D45="","",Ergebnisse!D45)</f>
        <v>Spanien</v>
      </c>
      <c r="E45" s="40"/>
      <c r="F45" s="56" t="str">
        <f>IF(Ergebnisse!F45="","",Ergebnisse!F45)</f>
        <v>Saudiarabien</v>
      </c>
      <c r="G45" s="53"/>
      <c r="H45" s="57">
        <v>4</v>
      </c>
      <c r="I45" s="11" t="s">
        <v>25</v>
      </c>
      <c r="J45" s="57">
        <v>0</v>
      </c>
      <c r="L45" s="1"/>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17">
        <f ca="1">IF($CX$97="",IF(OR(Ergebnisse!H45="",Ergebnisse!J45=""),0,IF(AND(H45=Ergebnisse!H45,J45=Ergebnisse!J45),7,MIN(7,(H45-J45=Ergebnisse!H45-Ergebnisse!J45)*4+(AND(H45-J45&lt;&gt;Ergebnisse!H45-Ergebnisse!J45,SIGN(H45-J45)=SIGN(Ergebnisse!H45-Ergebnisse!J45)))*2+(H45=Ergebnisse!H45)+(J45=Ergebnisse!J45)))),INT(RAND()*8))</f>
        <v>0</v>
      </c>
      <c r="AY45" s="17" t="str">
        <f ca="1">IF(Ergebnisse!K45=Ergebnisse!$B$98,Ergebnisse!K45,"")</f>
        <v>ok</v>
      </c>
      <c r="AZ45" s="2"/>
      <c r="BA45" s="2">
        <f>IF(Ergebnisse!BA45="","",Ergebnisse!BA45)</f>
        <v>47</v>
      </c>
      <c r="BB45" s="6">
        <f>IF(Ergebnisse!BB45="","",Ergebnisse!BB45)</f>
        <v>46196.5</v>
      </c>
      <c r="BC45" s="6" t="str">
        <f>IF(Ergebnisse!BC45="","",Ergebnisse!BC45)</f>
        <v>Houston</v>
      </c>
      <c r="BD45" s="56" t="str">
        <f>IF(Ergebnisse!BD45="","",Ergebnisse!BD45)</f>
        <v>Portugal</v>
      </c>
      <c r="BE45" s="40"/>
      <c r="BF45" s="56" t="str">
        <f>IF(Ergebnisse!BF45="","",Ergebnisse!BF45)</f>
        <v>Usbekistan</v>
      </c>
      <c r="BG45" s="53"/>
      <c r="BH45" s="57">
        <v>3</v>
      </c>
      <c r="BI45" s="11" t="s">
        <v>25</v>
      </c>
      <c r="BJ45" s="57">
        <v>1</v>
      </c>
      <c r="BL45" s="1"/>
      <c r="BY45" s="2"/>
      <c r="CX45" s="17">
        <f ca="1">IF($CX$97="",IF(OR(Ergebnisse!BH45="",Ergebnisse!BJ45=""),0,IF(AND(BH45=Ergebnisse!BH45,BJ45=Ergebnisse!BJ45),7,MIN(7,(BH45-BJ45=Ergebnisse!BH45-Ergebnisse!BJ45)*4+(AND(BH45-BJ45&lt;&gt;Ergebnisse!BH45-Ergebnisse!BJ45,SIGN(BH45-BJ45)=SIGN(Ergebnisse!BH45-Ergebnisse!BJ45)))*2+(BH45=Ergebnisse!BH45)+(BJ45=Ergebnisse!BJ45)))),INT(RAND()*8))</f>
        <v>0</v>
      </c>
      <c r="CY45" s="17" t="str">
        <f ca="1">IF(Ergebnisse!BK45=Ergebnisse!$B$98,Ergebnisse!BK45,"")</f>
        <v>ok</v>
      </c>
      <c r="DA45" s="165" t="s">
        <v>180</v>
      </c>
      <c r="DB45" s="186">
        <f>DB47*(2*DB46)</f>
        <v>64</v>
      </c>
    </row>
    <row r="46" spans="1:106">
      <c r="A46" s="2">
        <f>IF(Ergebnisse!A46="","",Ergebnisse!A46)</f>
        <v>37</v>
      </c>
      <c r="B46" s="6">
        <f>IF(Ergebnisse!B46="","",Ergebnisse!B46)</f>
        <v>46194.75</v>
      </c>
      <c r="C46" s="6" t="str">
        <f>IF(Ergebnisse!C46="","",Ergebnisse!C46)</f>
        <v>Miami</v>
      </c>
      <c r="D46" s="56" t="str">
        <f>IF(Ergebnisse!D46="","",Ergebnisse!D46)</f>
        <v>Uruguay</v>
      </c>
      <c r="E46" s="40"/>
      <c r="F46" s="56" t="str">
        <f>IF(Ergebnisse!F46="","",Ergebnisse!F46)</f>
        <v>Kap Verde</v>
      </c>
      <c r="G46" s="53"/>
      <c r="H46" s="57">
        <v>2</v>
      </c>
      <c r="I46" s="11" t="s">
        <v>25</v>
      </c>
      <c r="J46" s="57">
        <v>0</v>
      </c>
      <c r="L46" s="1"/>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17">
        <f ca="1">IF($CX$97="",IF(OR(Ergebnisse!H46="",Ergebnisse!J46=""),0,IF(AND(H46=Ergebnisse!H46,J46=Ergebnisse!J46),7,MIN(7,(H46-J46=Ergebnisse!H46-Ergebnisse!J46)*4+(AND(H46-J46&lt;&gt;Ergebnisse!H46-Ergebnisse!J46,SIGN(H46-J46)=SIGN(Ergebnisse!H46-Ergebnisse!J46)))*2+(H46=Ergebnisse!H46)+(J46=Ergebnisse!J46)))),INT(RAND()*8))</f>
        <v>2</v>
      </c>
      <c r="AY46" s="17" t="str">
        <f ca="1">IF(Ergebnisse!K46=Ergebnisse!$B$98,Ergebnisse!K46,"")</f>
        <v>ok</v>
      </c>
      <c r="AZ46" s="2"/>
      <c r="BA46" s="2">
        <f>IF(Ergebnisse!BA46="","",Ergebnisse!BA46)</f>
        <v>48</v>
      </c>
      <c r="BB46" s="6">
        <f>IF(Ergebnisse!BB46="","",Ergebnisse!BB46)</f>
        <v>46196.875</v>
      </c>
      <c r="BC46" s="6" t="str">
        <f>IF(Ergebnisse!BC46="","",Ergebnisse!BC46)</f>
        <v>Guadalajara</v>
      </c>
      <c r="BD46" s="56" t="str">
        <f>IF(Ergebnisse!BD46="","",Ergebnisse!BD46)</f>
        <v>Kolumbien</v>
      </c>
      <c r="BE46" s="40"/>
      <c r="BF46" s="56" t="str">
        <f>IF(Ergebnisse!BF46="","",Ergebnisse!BF46)</f>
        <v>DR Kongo</v>
      </c>
      <c r="BG46" s="53"/>
      <c r="BH46" s="57">
        <v>1</v>
      </c>
      <c r="BI46" s="11" t="s">
        <v>25</v>
      </c>
      <c r="BJ46" s="57">
        <v>0</v>
      </c>
      <c r="BL46" s="1"/>
      <c r="BY46" s="2"/>
      <c r="CX46" s="17">
        <f ca="1">IF($CX$97="",IF(OR(Ergebnisse!BH46="",Ergebnisse!BJ46=""),0,IF(AND(BH46=Ergebnisse!BH46,BJ46=Ergebnisse!BJ46),7,MIN(7,(BH46-BJ46=Ergebnisse!BH46-Ergebnisse!BJ46)*4+(AND(BH46-BJ46&lt;&gt;Ergebnisse!BH46-Ergebnisse!BJ46,SIGN(BH46-BJ46)=SIGN(Ergebnisse!BH46-Ergebnisse!BJ46)))*2+(BH46=Ergebnisse!BH46)+(BJ46=Ergebnisse!BJ46)))),INT(RAND()*8))</f>
        <v>0</v>
      </c>
      <c r="CY46" s="17" t="str">
        <f ca="1">IF(Ergebnisse!BK46=Ergebnisse!$B$98,Ergebnisse!BK46,"")</f>
        <v>ok</v>
      </c>
      <c r="DA46" s="167" t="s">
        <v>181</v>
      </c>
      <c r="DB46" s="270">
        <v>1</v>
      </c>
    </row>
    <row r="47" spans="1:106">
      <c r="A47" s="2">
        <f>IF(Ergebnisse!A47="","",Ergebnisse!A47)</f>
        <v>66</v>
      </c>
      <c r="B47" s="6">
        <f>IF(Ergebnisse!B47="","",Ergebnisse!B47)</f>
        <v>46199.791666666672</v>
      </c>
      <c r="C47" s="6" t="str">
        <f>IF(Ergebnisse!C47="","",Ergebnisse!C47)</f>
        <v>Guadalajara</v>
      </c>
      <c r="D47" s="56" t="str">
        <f>IF(Ergebnisse!D47="","",Ergebnisse!D47)</f>
        <v>Uruguay</v>
      </c>
      <c r="E47" s="40"/>
      <c r="F47" s="56" t="str">
        <f>IF(Ergebnisse!F47="","",Ergebnisse!F47)</f>
        <v>Spanien</v>
      </c>
      <c r="G47" s="53"/>
      <c r="H47" s="57">
        <v>2</v>
      </c>
      <c r="I47" s="11" t="s">
        <v>25</v>
      </c>
      <c r="J47" s="57">
        <v>3</v>
      </c>
      <c r="L47" s="1"/>
      <c r="M47" s="233" t="s">
        <v>66</v>
      </c>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17">
        <f ca="1">IF($CX$97="",IF(OR(Ergebnisse!H47="",Ergebnisse!J47=""),0,IF(AND(H47=Ergebnisse!H47,J47=Ergebnisse!J47),7,MIN(7,(H47-J47=Ergebnisse!H47-Ergebnisse!J47)*4+(AND(H47-J47&lt;&gt;Ergebnisse!H47-Ergebnisse!J47,SIGN(H47-J47)=SIGN(Ergebnisse!H47-Ergebnisse!J47)))*2+(H47=Ergebnisse!H47)+(J47=Ergebnisse!J47)))),INT(RAND()*8))</f>
        <v>0</v>
      </c>
      <c r="AY47" s="17" t="str">
        <f ca="1">IF(Ergebnisse!K47=Ergebnisse!$B$98,Ergebnisse!K47,"")</f>
        <v>ok</v>
      </c>
      <c r="AZ47" s="2"/>
      <c r="BA47" s="2">
        <f>IF(Ergebnisse!BA47="","",Ergebnisse!BA47)</f>
        <v>72</v>
      </c>
      <c r="BB47" s="6">
        <f>IF(Ergebnisse!BB47="","",Ergebnisse!BB47)</f>
        <v>46200.8125</v>
      </c>
      <c r="BC47" s="6" t="str">
        <f>IF(Ergebnisse!BC47="","",Ergebnisse!BC47)</f>
        <v>Atlanta</v>
      </c>
      <c r="BD47" s="56" t="str">
        <f>IF(Ergebnisse!BD47="","",Ergebnisse!BD47)</f>
        <v>Kolumbien</v>
      </c>
      <c r="BE47" s="40"/>
      <c r="BF47" s="56" t="str">
        <f>IF(Ergebnisse!BF47="","",Ergebnisse!BF47)</f>
        <v>Portugal</v>
      </c>
      <c r="BG47" s="53"/>
      <c r="BH47" s="57">
        <v>1</v>
      </c>
      <c r="BI47" s="11" t="s">
        <v>25</v>
      </c>
      <c r="BJ47" s="57">
        <v>2</v>
      </c>
      <c r="BL47" s="1"/>
      <c r="BM47" s="232" t="s">
        <v>190</v>
      </c>
      <c r="BY47" s="2"/>
      <c r="CX47" s="17">
        <f ca="1">IF($CX$97="",IF(OR(Ergebnisse!BH47="",Ergebnisse!BJ47=""),0,IF(AND(BH47=Ergebnisse!BH47,BJ47=Ergebnisse!BJ47),7,MIN(7,(BH47-BJ47=Ergebnisse!BH47-Ergebnisse!BJ47)*4+(AND(BH47-BJ47&lt;&gt;Ergebnisse!BH47-Ergebnisse!BJ47,SIGN(BH47-BJ47)=SIGN(Ergebnisse!BH47-Ergebnisse!BJ47)))*2+(BH47=Ergebnisse!BH47)+(BJ47=Ergebnisse!BJ47)))),INT(RAND()*8))</f>
        <v>2</v>
      </c>
      <c r="CY47" s="17" t="str">
        <f ca="1">IF(Ergebnisse!BK47=Ergebnisse!$B$98,Ergebnisse!BK47,"")</f>
        <v>ok</v>
      </c>
      <c r="CZ47" s="55"/>
      <c r="DA47" s="168" t="s">
        <v>182</v>
      </c>
      <c r="DB47" s="188">
        <v>32</v>
      </c>
    </row>
    <row r="48" spans="1:106">
      <c r="A48" s="2">
        <f>IF(Ergebnisse!A48="","",Ergebnisse!A48)</f>
        <v>65</v>
      </c>
      <c r="B48" s="6">
        <f>IF(Ergebnisse!B48="","",Ergebnisse!B48)</f>
        <v>46199.791666666672</v>
      </c>
      <c r="C48" s="6" t="str">
        <f>IF(Ergebnisse!C48="","",Ergebnisse!C48)</f>
        <v>Houston</v>
      </c>
      <c r="D48" s="56" t="str">
        <f>IF(Ergebnisse!D48="","",Ergebnisse!D48)</f>
        <v>Kap Verde</v>
      </c>
      <c r="E48" s="40"/>
      <c r="F48" s="56" t="str">
        <f>IF(Ergebnisse!F48="","",Ergebnisse!F48)</f>
        <v>Saudiarabien</v>
      </c>
      <c r="G48" s="53"/>
      <c r="H48" s="57">
        <v>1</v>
      </c>
      <c r="I48" s="11" t="s">
        <v>25</v>
      </c>
      <c r="J48" s="57">
        <v>2</v>
      </c>
      <c r="L48" s="1"/>
      <c r="M48" s="233" t="s">
        <v>239</v>
      </c>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17">
        <f ca="1">IF($CX$97="",IF(OR(Ergebnisse!H48="",Ergebnisse!J48=""),0,IF(AND(H48=Ergebnisse!H48,J48=Ergebnisse!J48),7,MIN(7,(H48-J48=Ergebnisse!H48-Ergebnisse!J48)*4+(AND(H48-J48&lt;&gt;Ergebnisse!H48-Ergebnisse!J48,SIGN(H48-J48)=SIGN(Ergebnisse!H48-Ergebnisse!J48)))*2+(H48=Ergebnisse!H48)+(J48=Ergebnisse!J48)))),INT(RAND()*8))</f>
        <v>0</v>
      </c>
      <c r="AY48" s="17" t="str">
        <f ca="1">IF(Ergebnisse!K48=Ergebnisse!$B$98,Ergebnisse!K48,"")</f>
        <v>ok</v>
      </c>
      <c r="AZ48" s="2"/>
      <c r="BA48" s="2">
        <f>IF(Ergebnisse!BA48="","",Ergebnisse!BA48)</f>
        <v>71</v>
      </c>
      <c r="BB48" s="6">
        <f>IF(Ergebnisse!BB48="","",Ergebnisse!BB48)</f>
        <v>46200.8125</v>
      </c>
      <c r="BC48" s="6" t="str">
        <f>IF(Ergebnisse!BC48="","",Ergebnisse!BC48)</f>
        <v>Miami</v>
      </c>
      <c r="BD48" s="56" t="str">
        <f>IF(Ergebnisse!BD48="","",Ergebnisse!BD48)</f>
        <v>DR Kongo</v>
      </c>
      <c r="BE48" s="40"/>
      <c r="BF48" s="56" t="str">
        <f>IF(Ergebnisse!BF48="","",Ergebnisse!BF48)</f>
        <v>Usbekistan</v>
      </c>
      <c r="BG48" s="53"/>
      <c r="BH48" s="57">
        <v>3</v>
      </c>
      <c r="BI48" s="11" t="s">
        <v>25</v>
      </c>
      <c r="BJ48" s="57">
        <v>0</v>
      </c>
      <c r="BL48" s="1"/>
      <c r="BM48" s="232" t="s">
        <v>240</v>
      </c>
      <c r="BY48" s="2"/>
      <c r="CX48" s="17">
        <f ca="1">IF($CX$97="",IF(OR(Ergebnisse!BH48="",Ergebnisse!BJ48=""),0,IF(AND(BH48=Ergebnisse!BH48,BJ48=Ergebnisse!BJ48),7,MIN(7,(BH48-BJ48=Ergebnisse!BH48-Ergebnisse!BJ48)*4+(AND(BH48-BJ48&lt;&gt;Ergebnisse!BH48-Ergebnisse!BJ48,SIGN(BH48-BJ48)=SIGN(Ergebnisse!BH48-Ergebnisse!BJ48)))*2+(BH48=Ergebnisse!BH48)+(BJ48=Ergebnisse!BJ48)))),INT(RAND()*8))</f>
        <v>2</v>
      </c>
      <c r="CY48" s="17" t="str">
        <f ca="1">IF(Ergebnisse!BK48=Ergebnisse!$B$98,Ergebnisse!BK48,"")</f>
        <v>ok</v>
      </c>
      <c r="CZ48" s="55"/>
      <c r="DA48" s="163"/>
      <c r="DB48" s="187"/>
    </row>
    <row r="49" spans="1:106">
      <c r="E49" s="55"/>
      <c r="F49" s="55"/>
      <c r="G49" s="55"/>
      <c r="M49" s="233" t="s">
        <v>237</v>
      </c>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29">
        <f ca="1">IF($CX$97="",2*COUNTIF(Ergebnisse!$D$63:'Ergebnisse'!$F$78,M49),2*INT(RAND()*2))</f>
        <v>0</v>
      </c>
      <c r="AY49" s="17" t="str">
        <f ca="1">IF(COUNTIF(Ergebnisse!K43:'Ergebnisse'!K48,Ergebnisse!$B$98)=6,"ok","")</f>
        <v>ok</v>
      </c>
      <c r="AZ49" s="2"/>
      <c r="BE49" s="55"/>
      <c r="BF49" s="55"/>
      <c r="BG49" s="55"/>
      <c r="BM49" s="232" t="s">
        <v>236</v>
      </c>
      <c r="BY49" s="2"/>
      <c r="CX49" s="231">
        <f ca="1">IF($CX$97="",2*COUNTIF(Ergebnisse!$D$63:'Ergebnisse'!$F$78,BM49),2*INT(RAND()*2))</f>
        <v>2</v>
      </c>
      <c r="CY49" s="17" t="str">
        <f ca="1">IF(COUNTIF(Ergebnisse!BK43:'Ergebnisse'!BK48,Ergebnisse!$B$98)=6,"ok","")</f>
        <v>ok</v>
      </c>
      <c r="CZ49" s="55"/>
      <c r="DA49" s="165" t="s">
        <v>74</v>
      </c>
      <c r="DB49" s="186">
        <f>DB3+DB9+DB14+DB19+DB25+DB32+DB38+DB43+DB45</f>
        <v>1000</v>
      </c>
    </row>
    <row r="50" spans="1:106">
      <c r="D50" s="55"/>
      <c r="E50" s="58"/>
      <c r="F50" s="59"/>
      <c r="G50" s="59"/>
      <c r="H50" s="55"/>
      <c r="I50" s="55"/>
      <c r="J50" s="55"/>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Z50" s="2"/>
      <c r="BD50" s="55"/>
      <c r="BE50" s="58"/>
      <c r="BF50" s="59"/>
      <c r="BG50" s="59"/>
      <c r="BH50" s="55"/>
      <c r="BI50" s="55"/>
      <c r="BJ50" s="55"/>
      <c r="BY50" s="2"/>
      <c r="CX50" s="1"/>
      <c r="CZ50" s="55"/>
    </row>
    <row r="51" spans="1:106">
      <c r="A51" s="10"/>
      <c r="B51" s="234" t="s">
        <v>0</v>
      </c>
      <c r="C51" s="235" t="s">
        <v>247</v>
      </c>
      <c r="D51" s="53" t="s">
        <v>2</v>
      </c>
      <c r="E51" s="54"/>
      <c r="F51" s="53"/>
      <c r="G51" s="53"/>
      <c r="H51" s="20"/>
      <c r="I51" s="19"/>
      <c r="J51" s="20"/>
      <c r="K51" s="180"/>
      <c r="L51" s="17"/>
      <c r="M51" s="35"/>
      <c r="N51" s="17"/>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10"/>
      <c r="AX51" s="234">
        <f ca="1">IF($CX$97="",2*COUNTIF(Ergebnisse!$D$63:'Ergebnisse'!$F$78,M57),2*INT(RAND()*2))</f>
        <v>0</v>
      </c>
      <c r="AY51" s="17" t="str">
        <f ca="1">IF(COUNTIF(Ergebnisse!K53:'Ergebnisse'!K58,Ergebnisse!$B$98)=6,"ok","")</f>
        <v>ok</v>
      </c>
      <c r="AZ51" s="10"/>
      <c r="BA51" s="10"/>
      <c r="BB51" s="236" t="s">
        <v>0</v>
      </c>
      <c r="BC51" s="237" t="s">
        <v>248</v>
      </c>
      <c r="BD51" s="53" t="s">
        <v>2</v>
      </c>
      <c r="BE51" s="54"/>
      <c r="BF51" s="53"/>
      <c r="BG51" s="53"/>
      <c r="BH51" s="20"/>
      <c r="BI51" s="19"/>
      <c r="BJ51" s="20"/>
      <c r="BK51" s="180"/>
      <c r="BL51" s="17"/>
      <c r="BM51" s="35"/>
      <c r="BN51" s="17"/>
      <c r="BY51" s="2"/>
      <c r="CX51" s="236">
        <f ca="1">IF($CX$97="",2*COUNTIF(Ergebnisse!$D$63:'Ergebnisse'!$F$78,BM57),2*INT(RAND()*2))</f>
        <v>2</v>
      </c>
      <c r="CY51" s="17" t="str">
        <f ca="1">IF(COUNTIF(Ergebnisse!BK53:'Ergebnisse'!BK58,Ergebnisse!$B$98)=6,"ok","")</f>
        <v>ok</v>
      </c>
      <c r="CZ51" s="55"/>
    </row>
    <row r="52" spans="1:106">
      <c r="B52" s="3" t="s">
        <v>22</v>
      </c>
      <c r="C52" s="3" t="s">
        <v>23</v>
      </c>
      <c r="D52" s="55"/>
      <c r="E52" s="55"/>
      <c r="F52" s="55"/>
      <c r="G52" s="55"/>
      <c r="L52" s="1"/>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34">
        <f ca="1">IF($CX$97="",2*COUNTIF(Ergebnisse!$D$63:'Ergebnisse'!$F$78,M58),2*INT(RAND()*2))</f>
        <v>2</v>
      </c>
      <c r="AY52" s="17" t="str">
        <f ca="1">IF(COUNTIF(Ergebnisse!K53:'Ergebnisse'!K58,Ergebnisse!$B$98)=6,"ok","")</f>
        <v>ok</v>
      </c>
      <c r="AZ52" s="2"/>
      <c r="BB52" s="3" t="s">
        <v>22</v>
      </c>
      <c r="BC52" s="3" t="s">
        <v>23</v>
      </c>
      <c r="BD52" s="55"/>
      <c r="BE52" s="55"/>
      <c r="BF52" s="55"/>
      <c r="BG52" s="55"/>
      <c r="BL52" s="1"/>
      <c r="BY52" s="2"/>
      <c r="CX52" s="236">
        <f ca="1">IF($CX$97="",2*COUNTIF(Ergebnisse!$D$63:'Ergebnisse'!$F$78,BM58),2*INT(RAND()*2))</f>
        <v>0</v>
      </c>
      <c r="CY52" s="17" t="str">
        <f ca="1">IF(COUNTIF(Ergebnisse!BK53:'Ergebnisse'!BK58,Ergebnisse!$B$98)=6,"ok","")</f>
        <v>ok</v>
      </c>
      <c r="CZ52" s="55"/>
      <c r="DA52" s="2" t="s">
        <v>456</v>
      </c>
    </row>
    <row r="53" spans="1:106">
      <c r="A53" s="2">
        <f>IF(Ergebnisse!A53="","",Ergebnisse!A53)</f>
        <v>17</v>
      </c>
      <c r="B53" s="6">
        <f>IF(Ergebnisse!B53="","",Ergebnisse!B53)</f>
        <v>46189.625</v>
      </c>
      <c r="C53" s="6" t="str">
        <f>IF(Ergebnisse!C53="","",Ergebnisse!C53)</f>
        <v>New York</v>
      </c>
      <c r="D53" s="56" t="str">
        <f>IF(Ergebnisse!D53="","",Ergebnisse!D53)</f>
        <v>Frankreich</v>
      </c>
      <c r="E53" s="40"/>
      <c r="F53" s="56" t="str">
        <f>IF(Ergebnisse!F53="","",Ergebnisse!F53)</f>
        <v>Senegal</v>
      </c>
      <c r="G53" s="53"/>
      <c r="H53" s="57">
        <v>2</v>
      </c>
      <c r="I53" s="11" t="s">
        <v>25</v>
      </c>
      <c r="J53" s="57">
        <v>1</v>
      </c>
      <c r="L53" s="1"/>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17">
        <f ca="1">IF($CX$97="",IF(OR(Ergebnisse!H53="",Ergebnisse!J53=""),0,IF(AND(H53=Ergebnisse!H53,J53=Ergebnisse!J53),7,MIN(7,(H53-J53=Ergebnisse!H53-Ergebnisse!J53)*4+(AND(H53-J53&lt;&gt;Ergebnisse!H53-Ergebnisse!J53,SIGN(H53-J53)=SIGN(Ergebnisse!H53-Ergebnisse!J53)))*2+(H53=Ergebnisse!H53)+(J53=Ergebnisse!J53)))),INT(RAND()*8))</f>
        <v>4</v>
      </c>
      <c r="AY53" s="17" t="str">
        <f ca="1">IF(Ergebnisse!K53=Ergebnisse!$B$98,Ergebnisse!K53,"")</f>
        <v>ok</v>
      </c>
      <c r="AZ53" s="2"/>
      <c r="BA53" s="2">
        <f>IF(Ergebnisse!BA53="","",Ergebnisse!BA53)</f>
        <v>22</v>
      </c>
      <c r="BB53" s="6">
        <f>IF(Ergebnisse!BB53="","",Ergebnisse!BB53)</f>
        <v>46190.625</v>
      </c>
      <c r="BC53" s="6" t="str">
        <f>IF(Ergebnisse!BC53="","",Ergebnisse!BC53)</f>
        <v>Dallas</v>
      </c>
      <c r="BD53" s="56" t="str">
        <f>IF(Ergebnisse!BD53="","",Ergebnisse!BD53)</f>
        <v>England</v>
      </c>
      <c r="BE53" s="40"/>
      <c r="BF53" s="56" t="str">
        <f>IF(Ergebnisse!BF53="","",Ergebnisse!BF53)</f>
        <v>Kroatien</v>
      </c>
      <c r="BG53" s="53"/>
      <c r="BH53" s="57">
        <v>2</v>
      </c>
      <c r="BI53" s="11" t="s">
        <v>25</v>
      </c>
      <c r="BJ53" s="57">
        <v>2</v>
      </c>
      <c r="BL53" s="1"/>
      <c r="BY53" s="2"/>
      <c r="CX53" s="17">
        <f ca="1">IF($CX$97="",IF(OR(Ergebnisse!BH53="",Ergebnisse!BJ53=""),0,IF(AND(BH53=Ergebnisse!BH53,BJ53=Ergebnisse!BJ53),7,MIN(7,(BH53-BJ53=Ergebnisse!BH53-Ergebnisse!BJ53)*4+(AND(BH53-BJ53&lt;&gt;Ergebnisse!BH53-Ergebnisse!BJ53,SIGN(BH53-BJ53)=SIGN(Ergebnisse!BH53-Ergebnisse!BJ53)))*2+(BH53=Ergebnisse!BH53)+(BJ53=Ergebnisse!BJ53)))),INT(RAND()*8))</f>
        <v>1</v>
      </c>
      <c r="CY53" s="17" t="str">
        <f ca="1">IF(Ergebnisse!BK53=Ergebnisse!$B$98,Ergebnisse!BK53,"")</f>
        <v>ok</v>
      </c>
      <c r="CZ53" s="55"/>
    </row>
    <row r="54" spans="1:106">
      <c r="A54" s="2">
        <f>IF(Ergebnisse!A54="","",Ergebnisse!A54)</f>
        <v>18</v>
      </c>
      <c r="B54" s="6">
        <f>IF(Ergebnisse!B54="","",Ergebnisse!B54)</f>
        <v>46189.75</v>
      </c>
      <c r="C54" s="6" t="str">
        <f>IF(Ergebnisse!C54="","",Ergebnisse!C54)</f>
        <v>Boston</v>
      </c>
      <c r="D54" s="56" t="str">
        <f>IF(Ergebnisse!D54="","",Ergebnisse!D54)</f>
        <v>Irak</v>
      </c>
      <c r="E54" s="40"/>
      <c r="F54" s="56" t="str">
        <f>IF(Ergebnisse!F54="","",Ergebnisse!F54)</f>
        <v>Norwegen</v>
      </c>
      <c r="G54" s="53"/>
      <c r="H54" s="57">
        <v>2</v>
      </c>
      <c r="I54" s="11" t="s">
        <v>25</v>
      </c>
      <c r="J54" s="57">
        <v>1</v>
      </c>
      <c r="L54" s="1"/>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17">
        <f ca="1">IF($CX$97="",IF(OR(Ergebnisse!H54="",Ergebnisse!J54=""),0,IF(AND(H54=Ergebnisse!H54,J54=Ergebnisse!J54),7,MIN(7,(H54-J54=Ergebnisse!H54-Ergebnisse!J54)*4+(AND(H54-J54&lt;&gt;Ergebnisse!H54-Ergebnisse!J54,SIGN(H54-J54)=SIGN(Ergebnisse!H54-Ergebnisse!J54)))*2+(H54=Ergebnisse!H54)+(J54=Ergebnisse!J54)))),INT(RAND()*8))</f>
        <v>3</v>
      </c>
      <c r="AY54" s="17" t="str">
        <f ca="1">IF(Ergebnisse!K54=Ergebnisse!$B$98,Ergebnisse!K54,"")</f>
        <v>ok</v>
      </c>
      <c r="AZ54" s="2"/>
      <c r="BA54" s="2">
        <f>IF(Ergebnisse!BA54="","",Ergebnisse!BA54)</f>
        <v>21</v>
      </c>
      <c r="BB54" s="6">
        <f>IF(Ergebnisse!BB54="","",Ergebnisse!BB54)</f>
        <v>46190.791666666664</v>
      </c>
      <c r="BC54" s="6" t="str">
        <f>IF(Ergebnisse!BC54="","",Ergebnisse!BC54)</f>
        <v>Toronto</v>
      </c>
      <c r="BD54" s="56" t="str">
        <f>IF(Ergebnisse!BD54="","",Ergebnisse!BD54)</f>
        <v>Ghana</v>
      </c>
      <c r="BE54" s="40"/>
      <c r="BF54" s="56" t="str">
        <f>IF(Ergebnisse!BF54="","",Ergebnisse!BF54)</f>
        <v>Panama</v>
      </c>
      <c r="BG54" s="53"/>
      <c r="BH54" s="57">
        <v>2</v>
      </c>
      <c r="BI54" s="11" t="s">
        <v>25</v>
      </c>
      <c r="BJ54" s="57">
        <v>1</v>
      </c>
      <c r="BL54" s="1"/>
      <c r="BY54" s="2"/>
      <c r="CX54" s="17">
        <f ca="1">IF($CX$97="",IF(OR(Ergebnisse!BH54="",Ergebnisse!BJ54=""),0,IF(AND(BH54=Ergebnisse!BH54,BJ54=Ergebnisse!BJ54),7,MIN(7,(BH54-BJ54=Ergebnisse!BH54-Ergebnisse!BJ54)*4+(AND(BH54-BJ54&lt;&gt;Ergebnisse!BH54-Ergebnisse!BJ54,SIGN(BH54-BJ54)=SIGN(Ergebnisse!BH54-Ergebnisse!BJ54)))*2+(BH54=Ergebnisse!BH54)+(BJ54=Ergebnisse!BJ54)))),INT(RAND()*8))</f>
        <v>3</v>
      </c>
      <c r="CY54" s="17" t="str">
        <f ca="1">IF(Ergebnisse!BK54=Ergebnisse!$B$98,Ergebnisse!BK54,"")</f>
        <v>ok</v>
      </c>
      <c r="CZ54" s="55"/>
    </row>
    <row r="55" spans="1:106">
      <c r="A55" s="2">
        <f>IF(Ergebnisse!A55="","",Ergebnisse!A55)</f>
        <v>42</v>
      </c>
      <c r="B55" s="6">
        <f>IF(Ergebnisse!B55="","",Ergebnisse!B55)</f>
        <v>46195.708333333336</v>
      </c>
      <c r="C55" s="6" t="str">
        <f>IF(Ergebnisse!C55="","",Ergebnisse!C55)</f>
        <v>Philadelphia</v>
      </c>
      <c r="D55" s="56" t="str">
        <f>IF(Ergebnisse!D55="","",Ergebnisse!D55)</f>
        <v>Frankreich</v>
      </c>
      <c r="E55" s="40"/>
      <c r="F55" s="56" t="str">
        <f>IF(Ergebnisse!F55="","",Ergebnisse!F55)</f>
        <v>Irak</v>
      </c>
      <c r="G55" s="53"/>
      <c r="H55" s="57">
        <v>2</v>
      </c>
      <c r="I55" s="11" t="s">
        <v>25</v>
      </c>
      <c r="J55" s="57">
        <v>1</v>
      </c>
      <c r="L55" s="1"/>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17">
        <f ca="1">IF($CX$97="",IF(OR(Ergebnisse!H55="",Ergebnisse!J55=""),0,IF(AND(H55=Ergebnisse!H55,J55=Ergebnisse!J55),7,MIN(7,(H55-J55=Ergebnisse!H55-Ergebnisse!J55)*4+(AND(H55-J55&lt;&gt;Ergebnisse!H55-Ergebnisse!J55,SIGN(H55-J55)=SIGN(Ergebnisse!H55-Ergebnisse!J55)))*2+(H55=Ergebnisse!H55)+(J55=Ergebnisse!J55)))),INT(RAND()*8))</f>
        <v>0</v>
      </c>
      <c r="AY55" s="17" t="str">
        <f ca="1">IF(Ergebnisse!K55=Ergebnisse!$B$98,Ergebnisse!K55,"")</f>
        <v>ok</v>
      </c>
      <c r="AZ55" s="2"/>
      <c r="BA55" s="2">
        <f>IF(Ergebnisse!BA55="","",Ergebnisse!BA55)</f>
        <v>45</v>
      </c>
      <c r="BB55" s="6">
        <f>IF(Ergebnisse!BB55="","",Ergebnisse!BB55)</f>
        <v>46196.666666666664</v>
      </c>
      <c r="BC55" s="6" t="str">
        <f>IF(Ergebnisse!BC55="","",Ergebnisse!BC55)</f>
        <v>Boston</v>
      </c>
      <c r="BD55" s="56" t="str">
        <f>IF(Ergebnisse!BD55="","",Ergebnisse!BD55)</f>
        <v>England</v>
      </c>
      <c r="BE55" s="40"/>
      <c r="BF55" s="56" t="str">
        <f>IF(Ergebnisse!BF55="","",Ergebnisse!BF55)</f>
        <v>Ghana</v>
      </c>
      <c r="BG55" s="53"/>
      <c r="BH55" s="57">
        <v>1</v>
      </c>
      <c r="BI55" s="11" t="s">
        <v>25</v>
      </c>
      <c r="BJ55" s="57">
        <v>0</v>
      </c>
      <c r="BL55" s="1"/>
      <c r="BY55" s="2"/>
      <c r="CX55" s="17">
        <f ca="1">IF($CX$97="",IF(OR(Ergebnisse!BH55="",Ergebnisse!BJ55=""),0,IF(AND(BH55=Ergebnisse!BH55,BJ55=Ergebnisse!BJ55),7,MIN(7,(BH55-BJ55=Ergebnisse!BH55-Ergebnisse!BJ55)*4+(AND(BH55-BJ55&lt;&gt;Ergebnisse!BH55-Ergebnisse!BJ55,SIGN(BH55-BJ55)=SIGN(Ergebnisse!BH55-Ergebnisse!BJ55)))*2+(BH55=Ergebnisse!BH55)+(BJ55=Ergebnisse!BJ55)))),INT(RAND()*8))</f>
        <v>0</v>
      </c>
      <c r="CY55" s="17" t="str">
        <f ca="1">IF(Ergebnisse!BK55=Ergebnisse!$B$98,Ergebnisse!BK55,"")</f>
        <v>ok</v>
      </c>
      <c r="CZ55" s="55"/>
    </row>
    <row r="56" spans="1:106">
      <c r="A56" s="2">
        <f>IF(Ergebnisse!A56="","",Ergebnisse!A56)</f>
        <v>41</v>
      </c>
      <c r="B56" s="6">
        <f>IF(Ergebnisse!B56="","",Ergebnisse!B56)</f>
        <v>46195.833333333336</v>
      </c>
      <c r="C56" s="6" t="str">
        <f>IF(Ergebnisse!C56="","",Ergebnisse!C56)</f>
        <v>New York</v>
      </c>
      <c r="D56" s="56" t="str">
        <f>IF(Ergebnisse!D56="","",Ergebnisse!D56)</f>
        <v>Norwegen</v>
      </c>
      <c r="E56" s="40"/>
      <c r="F56" s="56" t="str">
        <f>IF(Ergebnisse!F56="","",Ergebnisse!F56)</f>
        <v>Senegal</v>
      </c>
      <c r="G56" s="53"/>
      <c r="H56" s="57">
        <v>2</v>
      </c>
      <c r="I56" s="11" t="s">
        <v>25</v>
      </c>
      <c r="J56" s="57">
        <v>1</v>
      </c>
      <c r="L56" s="1"/>
      <c r="N56" s="1"/>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17">
        <f ca="1">IF($CX$97="",IF(OR(Ergebnisse!H56="",Ergebnisse!J56=""),0,IF(AND(H56=Ergebnisse!H56,J56=Ergebnisse!J56),7,MIN(7,(H56-J56=Ergebnisse!H56-Ergebnisse!J56)*4+(AND(H56-J56&lt;&gt;Ergebnisse!H56-Ergebnisse!J56,SIGN(H56-J56)=SIGN(Ergebnisse!H56-Ergebnisse!J56)))*2+(H56=Ergebnisse!H56)+(J56=Ergebnisse!J56)))),INT(RAND()*8))</f>
        <v>0</v>
      </c>
      <c r="AY56" s="17" t="str">
        <f ca="1">IF(Ergebnisse!K56=Ergebnisse!$B$98,Ergebnisse!K56,"")</f>
        <v>ok</v>
      </c>
      <c r="AZ56" s="2"/>
      <c r="BA56" s="2">
        <f>IF(Ergebnisse!BA56="","",Ergebnisse!BA56)</f>
        <v>46</v>
      </c>
      <c r="BB56" s="6">
        <f>IF(Ergebnisse!BB56="","",Ergebnisse!BB56)</f>
        <v>46196.791666666664</v>
      </c>
      <c r="BC56" s="6" t="str">
        <f>IF(Ergebnisse!BC56="","",Ergebnisse!BC56)</f>
        <v>Toronto</v>
      </c>
      <c r="BD56" s="56" t="str">
        <f>IF(Ergebnisse!BD56="","",Ergebnisse!BD56)</f>
        <v>Panama</v>
      </c>
      <c r="BE56" s="40"/>
      <c r="BF56" s="56" t="str">
        <f>IF(Ergebnisse!BF56="","",Ergebnisse!BF56)</f>
        <v>Kroatien</v>
      </c>
      <c r="BG56" s="53"/>
      <c r="BH56" s="57">
        <v>1</v>
      </c>
      <c r="BI56" s="11" t="s">
        <v>25</v>
      </c>
      <c r="BJ56" s="57">
        <v>4</v>
      </c>
      <c r="BL56" s="1"/>
      <c r="BN56" s="1"/>
      <c r="BY56" s="2"/>
      <c r="CX56" s="17">
        <f ca="1">IF($CX$97="",IF(OR(Ergebnisse!BH56="",Ergebnisse!BJ56=""),0,IF(AND(BH56=Ergebnisse!BH56,BJ56=Ergebnisse!BJ56),7,MIN(7,(BH56-BJ56=Ergebnisse!BH56-Ergebnisse!BJ56)*4+(AND(BH56-BJ56&lt;&gt;Ergebnisse!BH56-Ergebnisse!BJ56,SIGN(BH56-BJ56)=SIGN(Ergebnisse!BH56-Ergebnisse!BJ56)))*2+(BH56=Ergebnisse!BH56)+(BJ56=Ergebnisse!BJ56)))),INT(RAND()*8))</f>
        <v>0</v>
      </c>
      <c r="CY56" s="17" t="str">
        <f ca="1">IF(Ergebnisse!BK56=Ergebnisse!$B$98,Ergebnisse!BK56,"")</f>
        <v>ok</v>
      </c>
      <c r="CZ56" s="55"/>
    </row>
    <row r="57" spans="1:106">
      <c r="A57" s="2">
        <f>IF(Ergebnisse!A57="","",Ergebnisse!A57)</f>
        <v>61</v>
      </c>
      <c r="B57" s="6">
        <f>IF(Ergebnisse!B57="","",Ergebnisse!B57)</f>
        <v>46199.625</v>
      </c>
      <c r="C57" s="6" t="str">
        <f>IF(Ergebnisse!C57="","",Ergebnisse!C57)</f>
        <v>Boston</v>
      </c>
      <c r="D57" s="56" t="str">
        <f>IF(Ergebnisse!D57="","",Ergebnisse!D57)</f>
        <v>Norwegen</v>
      </c>
      <c r="E57" s="40"/>
      <c r="F57" s="56" t="str">
        <f>IF(Ergebnisse!F57="","",Ergebnisse!F57)</f>
        <v>Frankreich</v>
      </c>
      <c r="G57" s="55"/>
      <c r="H57" s="57">
        <v>2</v>
      </c>
      <c r="I57" s="11" t="s">
        <v>25</v>
      </c>
      <c r="J57" s="57">
        <v>1</v>
      </c>
      <c r="M57" s="238" t="s">
        <v>252</v>
      </c>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17">
        <f ca="1">IF($CX$97="",IF(OR(Ergebnisse!H57="",Ergebnisse!J57=""),0,IF(AND(H57=Ergebnisse!H57,J57=Ergebnisse!J57),7,MIN(7,(H57-J57=Ergebnisse!H57-Ergebnisse!J57)*4+(AND(H57-J57&lt;&gt;Ergebnisse!H57-Ergebnisse!J57,SIGN(H57-J57)=SIGN(Ergebnisse!H57-Ergebnisse!J57)))*2+(H57=Ergebnisse!H57)+(J57=Ergebnisse!J57)))),INT(RAND()*8))</f>
        <v>0</v>
      </c>
      <c r="AY57" s="17" t="str">
        <f ca="1">IF(Ergebnisse!K57=Ergebnisse!$B$98,Ergebnisse!K57,"")</f>
        <v>ok</v>
      </c>
      <c r="AZ57" s="2"/>
      <c r="BA57" s="2">
        <f>IF(Ergebnisse!BA57="","",Ergebnisse!BA57)</f>
        <v>68</v>
      </c>
      <c r="BB57" s="6">
        <f>IF(Ergebnisse!BB57="","",Ergebnisse!BB57)</f>
        <v>46200.708333333336</v>
      </c>
      <c r="BC57" s="6" t="str">
        <f>IF(Ergebnisse!BC57="","",Ergebnisse!BC57)</f>
        <v>Philadelphia</v>
      </c>
      <c r="BD57" s="56" t="str">
        <f>IF(Ergebnisse!BD57="","",Ergebnisse!BD57)</f>
        <v>Panama</v>
      </c>
      <c r="BE57" s="40"/>
      <c r="BF57" s="56" t="str">
        <f>IF(Ergebnisse!BF57="","",Ergebnisse!BF57)</f>
        <v>England</v>
      </c>
      <c r="BG57" s="55"/>
      <c r="BH57" s="57">
        <v>0</v>
      </c>
      <c r="BI57" s="11" t="s">
        <v>25</v>
      </c>
      <c r="BJ57" s="57">
        <v>2</v>
      </c>
      <c r="BM57" s="237" t="s">
        <v>188</v>
      </c>
      <c r="BY57" s="2"/>
      <c r="CX57" s="17">
        <f ca="1">IF($CX$97="",IF(OR(Ergebnisse!BH57="",Ergebnisse!BJ57=""),0,IF(AND(BH57=Ergebnisse!BH57,BJ57=Ergebnisse!BJ57),7,MIN(7,(BH57-BJ57=Ergebnisse!BH57-Ergebnisse!BJ57)*4+(AND(BH57-BJ57&lt;&gt;Ergebnisse!BH57-Ergebnisse!BJ57,SIGN(BH57-BJ57)=SIGN(Ergebnisse!BH57-Ergebnisse!BJ57)))*2+(BH57=Ergebnisse!BH57)+(BJ57=Ergebnisse!BJ57)))),INT(RAND()*8))</f>
        <v>0</v>
      </c>
      <c r="CY57" s="17" t="str">
        <f ca="1">IF(Ergebnisse!BK57=Ergebnisse!$B$98,Ergebnisse!BK57,"")</f>
        <v>ok</v>
      </c>
      <c r="CZ57" s="55"/>
    </row>
    <row r="58" spans="1:106">
      <c r="A58" s="2">
        <f>IF(Ergebnisse!A58="","",Ergebnisse!A58)</f>
        <v>62</v>
      </c>
      <c r="B58" s="6">
        <f>IF(Ergebnisse!B58="","",Ergebnisse!B58)</f>
        <v>46199.625</v>
      </c>
      <c r="C58" s="6" t="str">
        <f>IF(Ergebnisse!C58="","",Ergebnisse!C58)</f>
        <v>Toronto</v>
      </c>
      <c r="D58" s="56" t="str">
        <f>IF(Ergebnisse!D58="","",Ergebnisse!D58)</f>
        <v>Senegal</v>
      </c>
      <c r="E58" s="40"/>
      <c r="F58" s="56" t="str">
        <f>IF(Ergebnisse!F58="","",Ergebnisse!F58)</f>
        <v>Irak</v>
      </c>
      <c r="G58" s="55"/>
      <c r="H58" s="57">
        <v>2</v>
      </c>
      <c r="I58" s="11" t="s">
        <v>25</v>
      </c>
      <c r="J58" s="57">
        <v>1</v>
      </c>
      <c r="M58" s="238" t="s">
        <v>69</v>
      </c>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17">
        <f ca="1">IF($CX$97="",IF(OR(Ergebnisse!H58="",Ergebnisse!J58=""),0,IF(AND(H58=Ergebnisse!H58,J58=Ergebnisse!J58),7,MIN(7,(H58-J58=Ergebnisse!H58-Ergebnisse!J58)*4+(AND(H58-J58&lt;&gt;Ergebnisse!H58-Ergebnisse!J58,SIGN(H58-J58)=SIGN(Ergebnisse!H58-Ergebnisse!J58)))*2+(H58=Ergebnisse!H58)+(J58=Ergebnisse!J58)))),INT(RAND()*8))</f>
        <v>4</v>
      </c>
      <c r="AY58" s="17" t="str">
        <f ca="1">IF(Ergebnisse!K58=Ergebnisse!$B$98,Ergebnisse!K58,"")</f>
        <v>ok</v>
      </c>
      <c r="AZ58" s="2"/>
      <c r="BA58" s="2">
        <f>IF(Ergebnisse!BA58="","",Ergebnisse!BA58)</f>
        <v>67</v>
      </c>
      <c r="BB58" s="6">
        <f>IF(Ergebnisse!BB58="","",Ergebnisse!BB58)</f>
        <v>46200.708333333336</v>
      </c>
      <c r="BC58" s="6" t="str">
        <f>IF(Ergebnisse!BC58="","",Ergebnisse!BC58)</f>
        <v>New York</v>
      </c>
      <c r="BD58" s="56" t="str">
        <f>IF(Ergebnisse!BD58="","",Ergebnisse!BD58)</f>
        <v>Kroatien</v>
      </c>
      <c r="BE58" s="40"/>
      <c r="BF58" s="56" t="str">
        <f>IF(Ergebnisse!BF58="","",Ergebnisse!BF58)</f>
        <v>Ghana</v>
      </c>
      <c r="BG58" s="55"/>
      <c r="BH58" s="57">
        <v>3</v>
      </c>
      <c r="BI58" s="11" t="s">
        <v>25</v>
      </c>
      <c r="BJ58" s="57">
        <v>2</v>
      </c>
      <c r="BM58" s="237" t="s">
        <v>70</v>
      </c>
      <c r="BY58" s="2"/>
      <c r="CX58" s="17">
        <f ca="1">IF($CX$97="",IF(OR(Ergebnisse!BH58="",Ergebnisse!BJ58=""),0,IF(AND(BH58=Ergebnisse!BH58,BJ58=Ergebnisse!BJ58),7,MIN(7,(BH58-BJ58=Ergebnisse!BH58-Ergebnisse!BJ58)*4+(AND(BH58-BJ58&lt;&gt;Ergebnisse!BH58-Ergebnisse!BJ58,SIGN(BH58-BJ58)=SIGN(Ergebnisse!BH58-Ergebnisse!BJ58)))*2+(BH58=Ergebnisse!BH58)+(BJ58=Ergebnisse!BJ58)))),INT(RAND()*8))</f>
        <v>1</v>
      </c>
      <c r="CY58" s="17" t="str">
        <f ca="1">IF(Ergebnisse!BK58=Ergebnisse!$B$98,Ergebnisse!BK58,"")</f>
        <v>ok</v>
      </c>
      <c r="CZ58" s="55"/>
    </row>
    <row r="59" spans="1:106">
      <c r="E59" s="55"/>
      <c r="F59" s="55"/>
      <c r="G59" s="55"/>
      <c r="M59" s="238" t="s">
        <v>249</v>
      </c>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34">
        <f ca="1">IF($CX$97="",2*COUNTIF(Ergebnisse!$D$63:'Ergebnisse'!$F$78,M59),2*INT(RAND()*2))</f>
        <v>2</v>
      </c>
      <c r="AY59" s="17" t="str">
        <f ca="1">IF(COUNTIF(Ergebnisse!K53:'Ergebnisse'!K58,Ergebnisse!$B$98)=6,"ok","")</f>
        <v>ok</v>
      </c>
      <c r="AZ59" s="2"/>
      <c r="BE59" s="55"/>
      <c r="BF59" s="55"/>
      <c r="BG59" s="55"/>
      <c r="BM59" s="237" t="s">
        <v>251</v>
      </c>
      <c r="BY59" s="2"/>
      <c r="CX59" s="236">
        <f ca="1">IF($CX$97="",2*COUNTIF(Ergebnisse!$D$63:'Ergebnisse'!$F$78,BM59),2*INT(RAND()*2))</f>
        <v>2</v>
      </c>
      <c r="CY59" s="17" t="str">
        <f ca="1">IF(COUNTIF(Ergebnisse!BK53:'Ergebnisse'!BK58,Ergebnisse!$B$98)=6,"ok","")</f>
        <v>ok</v>
      </c>
      <c r="CZ59" s="55"/>
    </row>
    <row r="60" spans="1:106">
      <c r="D60" s="55"/>
      <c r="E60" s="58"/>
      <c r="F60" s="59"/>
      <c r="G60" s="59"/>
      <c r="H60" s="55"/>
      <c r="I60" s="55"/>
      <c r="J60" s="55"/>
      <c r="AE60" s="108"/>
      <c r="AF60" s="219"/>
      <c r="AG60" s="219"/>
      <c r="AH60" s="219"/>
      <c r="AI60" s="219"/>
      <c r="AJ60" s="219"/>
      <c r="AK60" s="219"/>
      <c r="AL60" s="219"/>
      <c r="AM60" s="219"/>
      <c r="AN60" s="219"/>
      <c r="AO60" s="219"/>
      <c r="AP60" s="219"/>
      <c r="AQ60" s="219"/>
      <c r="AR60" s="219"/>
      <c r="AS60" s="219"/>
      <c r="AT60" s="219"/>
      <c r="AV60" s="219"/>
      <c r="AW60" s="2"/>
      <c r="AY60" s="17"/>
      <c r="AZ60" s="2"/>
      <c r="BD60" s="55"/>
      <c r="BE60" s="58"/>
      <c r="BF60" s="59"/>
      <c r="BG60" s="59"/>
      <c r="BH60" s="55"/>
      <c r="BI60" s="55"/>
      <c r="BJ60" s="55"/>
      <c r="BY60" s="2"/>
      <c r="CX60" s="1"/>
      <c r="CZ60" s="55"/>
    </row>
    <row r="61" spans="1:106">
      <c r="A61" s="10"/>
      <c r="B61" s="21" t="s">
        <v>260</v>
      </c>
      <c r="C61" s="21"/>
      <c r="D61" s="17"/>
      <c r="E61" s="14"/>
      <c r="F61" s="17"/>
      <c r="G61" s="17"/>
      <c r="H61" s="20"/>
      <c r="I61" s="19"/>
      <c r="J61" s="20"/>
      <c r="K61" s="181"/>
      <c r="L61" s="17"/>
      <c r="M61" s="21"/>
      <c r="N61" s="17"/>
      <c r="O61" s="17"/>
      <c r="P61" s="17"/>
      <c r="Q61" s="17"/>
      <c r="R61" s="17"/>
      <c r="S61" s="53"/>
      <c r="T61" s="53"/>
      <c r="U61" s="53"/>
      <c r="V61" s="53"/>
      <c r="W61" s="53"/>
      <c r="X61" s="53"/>
      <c r="Y61" s="56"/>
      <c r="Z61" s="53"/>
      <c r="AA61" s="53"/>
      <c r="AB61" s="53"/>
      <c r="AC61" s="53"/>
      <c r="AD61" s="176"/>
      <c r="AE61" s="19"/>
      <c r="AF61" s="53"/>
      <c r="AG61" s="53"/>
      <c r="AH61" s="53"/>
      <c r="AI61" s="59"/>
      <c r="AJ61" s="59"/>
      <c r="AK61" s="59"/>
      <c r="AL61" s="59"/>
      <c r="AM61" s="59"/>
      <c r="AN61" s="59"/>
      <c r="AO61" s="59"/>
      <c r="AP61" s="59"/>
      <c r="AQ61" s="59"/>
      <c r="AR61" s="59"/>
      <c r="AS61" s="59"/>
      <c r="AT61" s="59"/>
      <c r="AU61" s="59"/>
      <c r="AV61" s="59"/>
      <c r="AZ61" s="206"/>
      <c r="BA61" s="10"/>
      <c r="BB61" s="10"/>
      <c r="BC61" s="10"/>
      <c r="BD61" s="10"/>
      <c r="BE61" s="10"/>
      <c r="BF61" s="10"/>
      <c r="BG61" s="10"/>
      <c r="BH61" s="10"/>
      <c r="BI61" s="10"/>
      <c r="BJ61" s="10"/>
      <c r="BK61" s="10"/>
      <c r="BL61" s="10"/>
      <c r="BM61" s="10"/>
      <c r="BN61" s="10"/>
      <c r="BO61" s="10"/>
      <c r="BP61" s="10"/>
      <c r="BQ61" s="1"/>
      <c r="BR61" s="1"/>
      <c r="BS61" s="62"/>
      <c r="BT61" s="62"/>
      <c r="BU61" s="62"/>
      <c r="BV61" s="62"/>
      <c r="BW61" s="62"/>
      <c r="BX61" s="62"/>
      <c r="BY61" s="63"/>
      <c r="BZ61" s="62"/>
      <c r="CA61" s="62"/>
      <c r="CB61" s="62"/>
      <c r="CC61" s="62"/>
      <c r="CD61" s="62"/>
      <c r="CE61" s="66"/>
      <c r="CF61" s="66"/>
      <c r="CG61" s="66"/>
      <c r="CH61" s="66"/>
      <c r="CI61" s="66"/>
      <c r="CJ61" s="66"/>
      <c r="CK61" s="66"/>
      <c r="CL61" s="55"/>
      <c r="CM61" s="55"/>
      <c r="CN61" s="55"/>
      <c r="CO61" s="62"/>
      <c r="CP61" s="55"/>
      <c r="CQ61" s="55"/>
      <c r="CR61" s="55"/>
      <c r="CS61" s="55"/>
      <c r="CT61" s="55"/>
      <c r="CU61" s="55"/>
      <c r="CV61" s="55"/>
      <c r="CW61" s="55"/>
      <c r="CX61" s="1"/>
      <c r="CZ61" s="55"/>
      <c r="DA61" s="163"/>
      <c r="DB61" s="164"/>
    </row>
    <row r="62" spans="1:106">
      <c r="B62" s="3" t="s">
        <v>22</v>
      </c>
      <c r="C62" s="3" t="s">
        <v>23</v>
      </c>
      <c r="D62" s="17"/>
      <c r="E62" s="14"/>
      <c r="F62" s="17"/>
      <c r="G62" s="17"/>
      <c r="H62" s="20"/>
      <c r="I62" s="11"/>
      <c r="J62" s="20"/>
      <c r="K62" s="181"/>
      <c r="L62" s="1"/>
      <c r="M62" s="3"/>
      <c r="N62" s="1"/>
      <c r="O62" s="1"/>
      <c r="P62" s="1"/>
      <c r="Q62" s="1"/>
      <c r="R62" s="1"/>
      <c r="V62" s="62"/>
      <c r="W62" s="62"/>
      <c r="Z62" s="62"/>
      <c r="AA62" s="58"/>
      <c r="AB62" s="62"/>
      <c r="AC62" s="58"/>
      <c r="AE62" s="19"/>
      <c r="AF62" s="62"/>
      <c r="AG62" s="62"/>
      <c r="AH62" s="62"/>
      <c r="AZ62" s="206"/>
      <c r="BA62" s="206"/>
      <c r="BB62" s="206"/>
      <c r="BC62" s="206"/>
      <c r="BD62" s="206"/>
      <c r="BE62" s="206"/>
      <c r="BF62" s="206"/>
      <c r="BG62" s="206"/>
      <c r="BH62" s="206"/>
      <c r="BI62" s="206"/>
      <c r="BJ62" s="206"/>
      <c r="BK62" s="206"/>
      <c r="BL62" s="206"/>
      <c r="BM62" s="206"/>
      <c r="BN62" s="206"/>
      <c r="BO62" s="206"/>
      <c r="BP62" s="206"/>
      <c r="BQ62" s="206"/>
      <c r="BR62" s="206"/>
      <c r="BS62" s="206"/>
      <c r="BT62" s="206"/>
      <c r="BU62" s="206"/>
      <c r="BV62" s="55"/>
      <c r="BW62" s="55"/>
      <c r="BX62" s="55"/>
      <c r="BZ62" s="55"/>
      <c r="CA62" s="55"/>
      <c r="CB62" s="55"/>
      <c r="CC62" s="55"/>
      <c r="CD62" s="55"/>
      <c r="CE62" s="66"/>
      <c r="CF62" s="66"/>
      <c r="CG62" s="66"/>
      <c r="CH62" s="66"/>
      <c r="CI62" s="66"/>
      <c r="CJ62" s="66"/>
      <c r="CK62" s="66"/>
      <c r="CL62" s="55"/>
      <c r="CM62" s="55"/>
      <c r="CN62" s="55"/>
      <c r="CO62" s="55"/>
      <c r="CP62" s="55"/>
      <c r="CQ62" s="55"/>
      <c r="CR62" s="55"/>
      <c r="CS62" s="55"/>
      <c r="CT62" s="55"/>
      <c r="CU62" s="55"/>
      <c r="CV62" s="55"/>
      <c r="CW62" s="55"/>
      <c r="CZ62" s="55"/>
    </row>
    <row r="63" spans="1:106">
      <c r="A63" s="2">
        <f>IF(Ergebnisse!A63="","",Ergebnisse!A63)</f>
        <v>73</v>
      </c>
      <c r="B63" s="6">
        <f>IF(Ergebnisse!B63="","",Ergebnisse!B63)</f>
        <v>46201.5</v>
      </c>
      <c r="C63" s="6" t="str">
        <f>IF(Ergebnisse!C63="","",Ergebnisse!C63)</f>
        <v>Los Angeles</v>
      </c>
      <c r="D63" s="26" t="s">
        <v>189</v>
      </c>
      <c r="E63" s="15"/>
      <c r="F63" s="37" t="s">
        <v>68</v>
      </c>
      <c r="G63" s="17"/>
      <c r="H63" s="107">
        <v>1</v>
      </c>
      <c r="I63" s="11" t="s">
        <v>25</v>
      </c>
      <c r="J63" s="107">
        <v>3</v>
      </c>
      <c r="L63" s="1"/>
      <c r="M63" s="240" t="s">
        <v>68</v>
      </c>
      <c r="N63" s="1"/>
      <c r="O63" s="1"/>
      <c r="P63" s="1"/>
      <c r="Q63" s="1"/>
      <c r="R63" s="1"/>
      <c r="V63" s="62"/>
      <c r="W63" s="62"/>
      <c r="Z63" s="62"/>
      <c r="AB63" s="62"/>
      <c r="AE63" s="2"/>
      <c r="AF63" s="206"/>
      <c r="AG63" s="206"/>
      <c r="AH63" s="206"/>
      <c r="AI63" s="206"/>
      <c r="AJ63" s="206"/>
      <c r="AK63" s="206"/>
      <c r="AL63" s="206"/>
      <c r="AM63" s="206"/>
      <c r="AN63" s="206"/>
      <c r="AO63" s="206"/>
      <c r="AP63" s="206"/>
      <c r="AX63" s="17">
        <f ca="1">IF(AY63="",0,IF($CX$97="",(D63=Ergebnisse!D63)+(F63=Ergebnisse!F63)+(SIGN(H63-J63)=SIGN(Ergebnisse!H63-Ergebnisse!J63))*7+(H63=Ergebnisse!H63)+(J63=Ergebnisse!J63),INT(RAND()*12)))</f>
        <v>9</v>
      </c>
      <c r="AY63" s="17" t="str">
        <f ca="1">IF(Ergebnisse!K63=Ergebnisse!$B$98,Ergebnisse!K63,"")</f>
        <v>ok</v>
      </c>
      <c r="AZ63" s="206"/>
      <c r="BA63" s="206"/>
      <c r="BB63" s="206"/>
      <c r="BC63" s="206"/>
      <c r="BD63" s="206"/>
      <c r="BE63" s="206"/>
      <c r="BF63" s="206"/>
      <c r="BG63" s="206"/>
      <c r="BH63" s="206"/>
      <c r="BI63" s="206"/>
      <c r="BJ63" s="206"/>
      <c r="BK63" s="206"/>
      <c r="BL63" s="206"/>
      <c r="BM63" s="206"/>
      <c r="BN63" s="206"/>
      <c r="BO63" s="206"/>
      <c r="BP63" s="206"/>
      <c r="BQ63" s="206"/>
      <c r="BR63" s="206"/>
      <c r="BS63" s="206"/>
      <c r="BT63" s="206"/>
      <c r="BU63" s="206"/>
      <c r="BV63" s="55"/>
      <c r="BW63" s="55"/>
      <c r="BX63" s="55"/>
      <c r="BZ63" s="55"/>
      <c r="CA63" s="55"/>
      <c r="CB63" s="55"/>
      <c r="CC63" s="55"/>
      <c r="CD63" s="55"/>
      <c r="CE63" s="66"/>
      <c r="CF63" s="66"/>
      <c r="CG63" s="66"/>
      <c r="CH63" s="66"/>
      <c r="CI63" s="66"/>
      <c r="CJ63" s="66"/>
      <c r="CK63" s="66"/>
      <c r="CL63" s="55"/>
      <c r="CM63" s="55"/>
      <c r="CN63" s="55"/>
      <c r="CO63" s="55"/>
      <c r="CP63" s="55"/>
      <c r="CQ63" s="55"/>
      <c r="CR63" s="55"/>
      <c r="CS63" s="55"/>
      <c r="CT63" s="55"/>
      <c r="CU63" s="55"/>
      <c r="CV63" s="55"/>
      <c r="CW63" s="55"/>
    </row>
    <row r="64" spans="1:106">
      <c r="A64" s="2">
        <f>IF(Ergebnisse!A64="","",Ergebnisse!A64)</f>
        <v>76</v>
      </c>
      <c r="B64" s="6">
        <f>IF(Ergebnisse!B64="","",Ergebnisse!B64)</f>
        <v>46202.5</v>
      </c>
      <c r="C64" s="6" t="str">
        <f>IF(Ergebnisse!C64="","",Ergebnisse!C64)</f>
        <v>Houston</v>
      </c>
      <c r="D64" s="38" t="s">
        <v>213</v>
      </c>
      <c r="E64" s="15"/>
      <c r="F64" s="223" t="s">
        <v>71</v>
      </c>
      <c r="G64" s="17"/>
      <c r="H64" s="107">
        <v>5</v>
      </c>
      <c r="I64" s="11" t="s">
        <v>25</v>
      </c>
      <c r="J64" s="107">
        <v>4</v>
      </c>
      <c r="L64" s="1"/>
      <c r="M64" s="240" t="s">
        <v>213</v>
      </c>
      <c r="N64" s="1"/>
      <c r="O64" s="1"/>
      <c r="P64" s="1"/>
      <c r="Q64" s="1"/>
      <c r="R64" s="1"/>
      <c r="V64" s="62"/>
      <c r="W64" s="62"/>
      <c r="AA64" s="201"/>
      <c r="AC64" s="58"/>
      <c r="AE64" s="2"/>
      <c r="AF64" s="206"/>
      <c r="AG64" s="206"/>
      <c r="AH64" s="206"/>
      <c r="AI64" s="206"/>
      <c r="AJ64" s="206"/>
      <c r="AK64" s="206"/>
      <c r="AL64" s="206"/>
      <c r="AM64" s="206"/>
      <c r="AN64" s="206"/>
      <c r="AO64" s="206"/>
      <c r="AP64" s="206"/>
      <c r="AX64" s="17">
        <f ca="1">IF(AY64="",0,IF($CX$97="",(D64=Ergebnisse!D64)+(F64=Ergebnisse!F64)+(SIGN(H64-J64)=SIGN(Ergebnisse!H64-Ergebnisse!J64))*7+(H64=Ergebnisse!H64)+(J64=Ergebnisse!J64),INT(RAND()*12)))</f>
        <v>1</v>
      </c>
      <c r="AY64" s="17" t="str">
        <f ca="1">IF(Ergebnisse!K64=Ergebnisse!$B$98,Ergebnisse!K64,"")</f>
        <v>ok</v>
      </c>
      <c r="AZ64" s="206"/>
      <c r="BA64" s="206"/>
      <c r="BB64" s="206"/>
      <c r="BC64" s="206"/>
      <c r="BD64" s="206"/>
      <c r="BE64" s="206"/>
      <c r="BF64" s="206"/>
      <c r="BG64" s="206"/>
      <c r="BH64" s="206"/>
      <c r="BI64" s="206"/>
      <c r="BJ64" s="206"/>
      <c r="BK64" s="206"/>
      <c r="BL64" s="206"/>
      <c r="BM64" s="206"/>
      <c r="BN64" s="206"/>
      <c r="BO64" s="206"/>
      <c r="BP64" s="206"/>
      <c r="BQ64" s="206"/>
      <c r="BR64" s="206"/>
      <c r="BS64" s="206"/>
      <c r="BT64" s="206"/>
      <c r="BU64" s="206"/>
      <c r="BV64" s="55"/>
      <c r="BW64" s="55"/>
      <c r="BX64" s="55"/>
      <c r="BZ64" s="55"/>
      <c r="CA64" s="55"/>
      <c r="CB64" s="55"/>
      <c r="CC64" s="55"/>
      <c r="CD64" s="55"/>
      <c r="CE64" s="66"/>
      <c r="CF64" s="66"/>
      <c r="CG64" s="66"/>
      <c r="CH64" s="66"/>
      <c r="CI64" s="66"/>
      <c r="CJ64" s="66"/>
      <c r="CK64" s="66"/>
      <c r="CL64" s="55"/>
      <c r="CM64" s="55"/>
      <c r="CN64" s="55"/>
      <c r="CO64" s="55"/>
      <c r="CP64" s="55"/>
      <c r="CQ64" s="55"/>
      <c r="CR64" s="55"/>
      <c r="CS64" s="55"/>
      <c r="CT64" s="55"/>
      <c r="CU64" s="55"/>
      <c r="CV64" s="55"/>
      <c r="CW64" s="55"/>
    </row>
    <row r="65" spans="1:101">
      <c r="A65" s="2">
        <f>IF(Ergebnisse!A65="","",Ergebnisse!A65)</f>
        <v>74</v>
      </c>
      <c r="B65" s="6">
        <f>IF(Ergebnisse!B65="","",Ergebnisse!B65)</f>
        <v>46202.6875</v>
      </c>
      <c r="C65" s="6" t="str">
        <f>IF(Ergebnisse!C65="","",Ergebnisse!C65)</f>
        <v>Boston</v>
      </c>
      <c r="D65" s="73" t="s">
        <v>67</v>
      </c>
      <c r="E65" s="15"/>
      <c r="F65" s="34" t="s">
        <v>185</v>
      </c>
      <c r="G65" s="17"/>
      <c r="H65" s="107">
        <v>1</v>
      </c>
      <c r="I65" s="11" t="s">
        <v>25</v>
      </c>
      <c r="J65" s="107">
        <v>0</v>
      </c>
      <c r="L65" s="1"/>
      <c r="M65" s="242" t="s">
        <v>67</v>
      </c>
      <c r="N65" s="1"/>
      <c r="O65" s="1"/>
      <c r="P65" s="1"/>
      <c r="Q65" s="1"/>
      <c r="R65" s="1"/>
      <c r="V65" s="62"/>
      <c r="W65" s="62"/>
      <c r="Z65" s="62"/>
      <c r="AC65" s="58"/>
      <c r="AE65" s="2"/>
      <c r="AF65" s="206"/>
      <c r="AG65" s="206"/>
      <c r="AH65" s="206"/>
      <c r="AI65" s="206"/>
      <c r="AJ65" s="206"/>
      <c r="AK65" s="206"/>
      <c r="AL65" s="206"/>
      <c r="AM65" s="206"/>
      <c r="AN65" s="206"/>
      <c r="AO65" s="206"/>
      <c r="AP65" s="206"/>
      <c r="AX65" s="17">
        <f ca="1">IF(AY65="",0,IF($CX$97="",(D65=Ergebnisse!D65)+(F65=Ergebnisse!F65)+(SIGN(H65-J65)=SIGN(Ergebnisse!H65-Ergebnisse!J65))*7+(H65=Ergebnisse!H65)+(J65=Ergebnisse!J65),INT(RAND()*12)))</f>
        <v>7</v>
      </c>
      <c r="AY65" s="17" t="str">
        <f ca="1">IF(Ergebnisse!K65=Ergebnisse!$B$98,Ergebnisse!K65,"")</f>
        <v>ok</v>
      </c>
      <c r="AZ65" s="206"/>
      <c r="BA65" s="206"/>
      <c r="BB65" s="206"/>
      <c r="BC65" s="206"/>
      <c r="BD65" s="206"/>
      <c r="BE65" s="206"/>
      <c r="BF65" s="206"/>
      <c r="BG65" s="206"/>
      <c r="BH65" s="206"/>
      <c r="BI65" s="206"/>
      <c r="BJ65" s="206"/>
      <c r="BK65" s="206"/>
      <c r="BL65" s="206"/>
      <c r="BM65" s="206"/>
      <c r="BN65" s="206"/>
      <c r="BO65" s="206"/>
      <c r="BP65" s="206"/>
      <c r="BQ65" s="206"/>
      <c r="BR65" s="206"/>
      <c r="BS65" s="206"/>
      <c r="BT65" s="206"/>
      <c r="BU65" s="206"/>
      <c r="BV65" s="59"/>
      <c r="BW65" s="59"/>
      <c r="BX65" s="53"/>
      <c r="BY65" s="59"/>
      <c r="BZ65" s="59"/>
      <c r="CA65" s="59"/>
      <c r="CB65" s="59"/>
      <c r="CC65" s="59"/>
      <c r="CD65" s="59"/>
      <c r="CE65" s="66"/>
      <c r="CF65" s="66"/>
      <c r="CG65" s="66"/>
      <c r="CH65" s="66"/>
      <c r="CI65" s="66"/>
      <c r="CJ65" s="66"/>
      <c r="CK65" s="66"/>
      <c r="CL65" s="59"/>
      <c r="CM65" s="59"/>
      <c r="CN65" s="59"/>
      <c r="CO65" s="59"/>
      <c r="CP65" s="59"/>
      <c r="CQ65" s="59"/>
      <c r="CR65" s="59"/>
      <c r="CS65" s="59"/>
      <c r="CT65" s="59"/>
      <c r="CU65" s="59"/>
      <c r="CW65" s="55"/>
    </row>
    <row r="66" spans="1:101">
      <c r="A66" s="2">
        <f>IF(Ergebnisse!A66="","",Ergebnisse!A66)</f>
        <v>75</v>
      </c>
      <c r="B66" s="6">
        <f>IF(Ergebnisse!B66="","",Ergebnisse!B66)</f>
        <v>46202.833333333336</v>
      </c>
      <c r="C66" s="6" t="str">
        <f>IF(Ergebnisse!C66="","",Ergebnisse!C66)</f>
        <v>Monterrey</v>
      </c>
      <c r="D66" s="223" t="s">
        <v>215</v>
      </c>
      <c r="E66" s="15"/>
      <c r="F66" s="38" t="s">
        <v>214</v>
      </c>
      <c r="G66" s="17"/>
      <c r="H66" s="107">
        <v>2</v>
      </c>
      <c r="I66" s="11" t="s">
        <v>25</v>
      </c>
      <c r="J66" s="107">
        <v>1</v>
      </c>
      <c r="L66" s="1"/>
      <c r="M66" s="242" t="s">
        <v>215</v>
      </c>
      <c r="N66" s="1"/>
      <c r="O66" s="1"/>
      <c r="P66" s="1"/>
      <c r="Q66" s="1"/>
      <c r="R66" s="1"/>
      <c r="V66" s="62"/>
      <c r="W66" s="62"/>
      <c r="Z66" s="62"/>
      <c r="AC66" s="58"/>
      <c r="AE66" s="2"/>
      <c r="AF66" s="206"/>
      <c r="AG66" s="206"/>
      <c r="AH66" s="206"/>
      <c r="AI66" s="206"/>
      <c r="AJ66" s="206"/>
      <c r="AK66" s="206"/>
      <c r="AL66" s="206"/>
      <c r="AM66" s="206"/>
      <c r="AN66" s="206"/>
      <c r="AO66" s="206"/>
      <c r="AP66" s="206"/>
      <c r="AX66" s="17">
        <f ca="1">IF(AY66="",0,IF($CX$97="",(D66=Ergebnisse!D66)+(F66=Ergebnisse!F66)+(SIGN(H66-J66)=SIGN(Ergebnisse!H66-Ergebnisse!J66))*7+(H66=Ergebnisse!H66)+(J66=Ergebnisse!J66),INT(RAND()*12)))</f>
        <v>0</v>
      </c>
      <c r="AY66" s="17" t="str">
        <f ca="1">IF(Ergebnisse!K66=Ergebnisse!$B$98,Ergebnisse!K66,"")</f>
        <v>ok</v>
      </c>
      <c r="AZ66" s="206"/>
      <c r="BA66" s="206"/>
      <c r="BB66" s="206"/>
      <c r="BC66" s="206"/>
      <c r="BD66" s="206"/>
      <c r="BE66" s="206"/>
      <c r="BF66" s="206"/>
      <c r="BG66" s="206"/>
      <c r="BH66" s="206"/>
      <c r="BI66" s="206"/>
      <c r="BJ66" s="206"/>
      <c r="BK66" s="206"/>
      <c r="BL66" s="206"/>
      <c r="BM66" s="206"/>
      <c r="BN66" s="206"/>
      <c r="BO66" s="206"/>
      <c r="BP66" s="206"/>
      <c r="BQ66" s="206"/>
      <c r="BR66" s="206"/>
      <c r="BS66" s="206"/>
      <c r="BT66" s="206"/>
      <c r="BU66" s="206"/>
      <c r="BV66" s="55"/>
      <c r="BW66" s="55"/>
      <c r="BX66" s="62"/>
      <c r="BY66" s="153"/>
      <c r="BZ66" s="55"/>
      <c r="CA66" s="55"/>
      <c r="CB66" s="55"/>
      <c r="CC66" s="55"/>
      <c r="CD66" s="174"/>
      <c r="CE66" s="66"/>
      <c r="CF66" s="66"/>
      <c r="CG66" s="66"/>
      <c r="CH66" s="66"/>
      <c r="CI66" s="66"/>
      <c r="CJ66" s="66"/>
      <c r="CK66" s="66"/>
      <c r="CL66" s="55"/>
      <c r="CM66" s="55"/>
      <c r="CN66" s="55"/>
      <c r="CO66" s="55"/>
      <c r="CP66" s="55"/>
      <c r="CQ66" s="55"/>
      <c r="CR66" s="55"/>
      <c r="CS66" s="55"/>
      <c r="CT66" s="55"/>
      <c r="CU66" s="55"/>
      <c r="CW66" s="55"/>
    </row>
    <row r="67" spans="1:101">
      <c r="A67" s="2">
        <f>IF(Ergebnisse!A67="","",Ergebnisse!A67)</f>
        <v>78</v>
      </c>
      <c r="B67" s="6">
        <f>IF(Ergebnisse!B67="","",Ergebnisse!B67)</f>
        <v>46203.5</v>
      </c>
      <c r="C67" s="6" t="str">
        <f>IF(Ergebnisse!C67="","",Ergebnisse!C67)</f>
        <v>Dallas</v>
      </c>
      <c r="D67" s="73" t="s">
        <v>212</v>
      </c>
      <c r="E67" s="15"/>
      <c r="F67" s="238" t="s">
        <v>69</v>
      </c>
      <c r="G67" s="17"/>
      <c r="H67" s="107">
        <v>1</v>
      </c>
      <c r="I67" s="11" t="s">
        <v>25</v>
      </c>
      <c r="J67" s="107">
        <v>3</v>
      </c>
      <c r="L67" s="1"/>
      <c r="M67" s="249" t="s">
        <v>69</v>
      </c>
      <c r="N67" s="1"/>
      <c r="O67" s="1"/>
      <c r="P67" s="1"/>
      <c r="Q67" s="1"/>
      <c r="R67" s="1"/>
      <c r="V67" s="62"/>
      <c r="W67" s="62"/>
      <c r="Z67" s="62"/>
      <c r="AC67" s="58"/>
      <c r="AE67" s="2"/>
      <c r="AF67" s="206"/>
      <c r="AG67" s="206"/>
      <c r="AH67" s="206"/>
      <c r="AI67" s="206"/>
      <c r="AJ67" s="206"/>
      <c r="AK67" s="206"/>
      <c r="AL67" s="206"/>
      <c r="AM67" s="206"/>
      <c r="AN67" s="206"/>
      <c r="AO67" s="206"/>
      <c r="AP67" s="206"/>
      <c r="AX67" s="17">
        <f ca="1">IF(AY67="",0,IF($CX$97="",(D67=Ergebnisse!D67)+(F67=Ergebnisse!F67)+(SIGN(H67-J67)=SIGN(Ergebnisse!H67-Ergebnisse!J67))*7+(H67=Ergebnisse!H67)+(J67=Ergebnisse!J67),INT(RAND()*12)))</f>
        <v>1</v>
      </c>
      <c r="AY67" s="17" t="str">
        <f ca="1">IF(Ergebnisse!K67=Ergebnisse!$B$98,Ergebnisse!K67,"")</f>
        <v>ok</v>
      </c>
      <c r="AZ67" s="206"/>
      <c r="BA67" s="206"/>
      <c r="BB67" s="206"/>
      <c r="BC67" s="206"/>
      <c r="BD67" s="206"/>
      <c r="BE67" s="206"/>
      <c r="BF67" s="206"/>
      <c r="BG67" s="206"/>
      <c r="BH67" s="206"/>
      <c r="BI67" s="206"/>
      <c r="BJ67" s="206"/>
      <c r="BK67" s="206"/>
      <c r="BL67" s="206"/>
      <c r="BM67" s="206"/>
      <c r="BN67" s="206"/>
      <c r="BO67" s="206"/>
      <c r="BP67" s="206"/>
      <c r="BQ67" s="206"/>
      <c r="BR67" s="206"/>
      <c r="BS67" s="206"/>
      <c r="BT67" s="206"/>
      <c r="BU67" s="206"/>
      <c r="BV67" s="55"/>
      <c r="BW67" s="55"/>
      <c r="BX67" s="62"/>
      <c r="BY67" s="153"/>
      <c r="BZ67" s="55"/>
      <c r="CA67" s="55"/>
      <c r="CB67" s="55"/>
      <c r="CC67" s="55"/>
      <c r="CD67" s="174"/>
      <c r="CE67" s="66"/>
      <c r="CF67" s="66"/>
      <c r="CG67" s="66"/>
      <c r="CH67" s="66"/>
      <c r="CI67" s="66"/>
      <c r="CJ67" s="66"/>
      <c r="CK67" s="66"/>
      <c r="CL67" s="55"/>
      <c r="CM67" s="55"/>
      <c r="CN67" s="55"/>
      <c r="CO67" s="55"/>
      <c r="CP67" s="55"/>
      <c r="CQ67" s="55"/>
      <c r="CR67" s="55"/>
      <c r="CS67" s="55"/>
      <c r="CT67" s="55"/>
      <c r="CU67" s="55"/>
      <c r="CW67" s="55"/>
    </row>
    <row r="68" spans="1:101">
      <c r="A68" s="2">
        <f>IF(Ergebnisse!A68="","",Ergebnisse!A68)</f>
        <v>77</v>
      </c>
      <c r="B68" s="6">
        <f>IF(Ergebnisse!B68="","",Ergebnisse!B68)</f>
        <v>46203.708333333336</v>
      </c>
      <c r="C68" s="6" t="str">
        <f>IF(Ergebnisse!C68="","",Ergebnisse!C68)</f>
        <v>New York</v>
      </c>
      <c r="D68" s="238" t="s">
        <v>252</v>
      </c>
      <c r="E68" s="15"/>
      <c r="F68" s="34" t="s">
        <v>217</v>
      </c>
      <c r="G68" s="17"/>
      <c r="H68" s="107">
        <v>1</v>
      </c>
      <c r="I68" s="11" t="s">
        <v>25</v>
      </c>
      <c r="J68" s="107">
        <v>0</v>
      </c>
      <c r="L68" s="1"/>
      <c r="M68" s="249" t="s">
        <v>252</v>
      </c>
      <c r="N68" s="1"/>
      <c r="O68" s="1"/>
      <c r="P68" s="1"/>
      <c r="Q68" s="1"/>
      <c r="R68" s="1"/>
      <c r="V68" s="62"/>
      <c r="W68" s="62"/>
      <c r="Z68" s="62"/>
      <c r="AC68" s="58"/>
      <c r="AE68" s="2"/>
      <c r="AF68" s="206"/>
      <c r="AG68" s="206"/>
      <c r="AH68" s="206"/>
      <c r="AI68" s="206"/>
      <c r="AJ68" s="206"/>
      <c r="AK68" s="206"/>
      <c r="AL68" s="206"/>
      <c r="AM68" s="206"/>
      <c r="AN68" s="206"/>
      <c r="AO68" s="206"/>
      <c r="AP68" s="206"/>
      <c r="AX68" s="17">
        <f ca="1">IF(AY68="",0,IF($CX$97="",(D68=Ergebnisse!D68)+(F68=Ergebnisse!F68)+(SIGN(H68-J68)=SIGN(Ergebnisse!H68-Ergebnisse!J68))*7+(H68=Ergebnisse!H68)+(J68=Ergebnisse!J68),INT(RAND()*12)))</f>
        <v>7</v>
      </c>
      <c r="AY68" s="17" t="str">
        <f ca="1">IF(Ergebnisse!K68=Ergebnisse!$B$98,Ergebnisse!K68,"")</f>
        <v>ok</v>
      </c>
      <c r="AZ68" s="206"/>
      <c r="BA68" s="206"/>
      <c r="BB68" s="206"/>
      <c r="BC68" s="206"/>
      <c r="BD68" s="206"/>
      <c r="BE68" s="206"/>
      <c r="BF68" s="206"/>
      <c r="BG68" s="206"/>
      <c r="BH68" s="206"/>
      <c r="BI68" s="206"/>
      <c r="BJ68" s="206"/>
      <c r="BK68" s="206"/>
      <c r="BL68" s="206"/>
      <c r="BM68" s="206"/>
      <c r="BN68" s="206"/>
      <c r="BO68" s="206"/>
      <c r="BP68" s="206"/>
      <c r="BQ68" s="206"/>
      <c r="BR68" s="206"/>
      <c r="BS68" s="206"/>
      <c r="BT68" s="206"/>
      <c r="BU68" s="206"/>
      <c r="BV68" s="55"/>
      <c r="BW68" s="55"/>
      <c r="BX68" s="62"/>
      <c r="BY68" s="153"/>
      <c r="BZ68" s="55"/>
      <c r="CA68" s="55"/>
      <c r="CB68" s="55"/>
      <c r="CC68" s="55"/>
      <c r="CD68" s="174"/>
      <c r="CE68" s="66"/>
      <c r="CF68" s="66"/>
      <c r="CG68" s="66"/>
      <c r="CH68" s="66"/>
      <c r="CI68" s="66"/>
      <c r="CJ68" s="66"/>
      <c r="CK68" s="66"/>
      <c r="CL68" s="55"/>
      <c r="CM68" s="55"/>
      <c r="CN68" s="55"/>
      <c r="CO68" s="55"/>
      <c r="CP68" s="55"/>
      <c r="CQ68" s="55"/>
      <c r="CR68" s="55"/>
      <c r="CS68" s="55"/>
      <c r="CT68" s="55"/>
      <c r="CU68" s="55"/>
      <c r="CW68" s="55"/>
    </row>
    <row r="69" spans="1:101">
      <c r="A69" s="2">
        <f>IF(Ergebnisse!A69="","",Ergebnisse!A69)</f>
        <v>79</v>
      </c>
      <c r="B69" s="6">
        <f>IF(Ergebnisse!B69="","",Ergebnisse!B69)</f>
        <v>46203.833333333336</v>
      </c>
      <c r="C69" s="6" t="str">
        <f>IF(Ergebnisse!C69="","",Ergebnisse!C69)</f>
        <v>Mexico City</v>
      </c>
      <c r="D69" s="251" t="s">
        <v>201</v>
      </c>
      <c r="E69" s="15"/>
      <c r="F69" s="34" t="s">
        <v>184</v>
      </c>
      <c r="G69" s="17"/>
      <c r="H69" s="107">
        <v>2</v>
      </c>
      <c r="I69" s="11" t="s">
        <v>25</v>
      </c>
      <c r="J69" s="107">
        <v>0</v>
      </c>
      <c r="L69" s="1"/>
      <c r="M69" s="252" t="s">
        <v>201</v>
      </c>
      <c r="N69" s="1"/>
      <c r="O69" s="1"/>
      <c r="P69" s="1"/>
      <c r="Q69" s="1"/>
      <c r="R69" s="1"/>
      <c r="V69" s="62"/>
      <c r="W69" s="62"/>
      <c r="Z69" s="62"/>
      <c r="AC69" s="58"/>
      <c r="AE69" s="2"/>
      <c r="AF69" s="206"/>
      <c r="AG69" s="206"/>
      <c r="AH69" s="206"/>
      <c r="AI69" s="206"/>
      <c r="AJ69" s="206"/>
      <c r="AK69" s="206"/>
      <c r="AL69" s="206"/>
      <c r="AM69" s="206"/>
      <c r="AN69" s="206"/>
      <c r="AO69" s="206"/>
      <c r="AP69" s="206"/>
      <c r="AX69" s="17">
        <f ca="1">IF(AY69="",0,IF($CX$97="",(D69=Ergebnisse!D69)+(F69=Ergebnisse!F69)+(SIGN(H69-J69)=SIGN(Ergebnisse!H69-Ergebnisse!J69))*7+(H69=Ergebnisse!H69)+(J69=Ergebnisse!J69),INT(RAND()*12)))</f>
        <v>7</v>
      </c>
      <c r="AY69" s="17" t="str">
        <f ca="1">IF(Ergebnisse!K69=Ergebnisse!$B$98,Ergebnisse!K69,"")</f>
        <v>ok</v>
      </c>
      <c r="AZ69" s="206"/>
      <c r="BA69" s="206"/>
      <c r="BB69" s="206"/>
      <c r="BC69" s="206"/>
      <c r="BD69" s="206"/>
      <c r="BE69" s="206"/>
      <c r="BF69" s="206"/>
      <c r="BG69" s="206"/>
      <c r="BH69" s="206"/>
      <c r="BI69" s="206"/>
      <c r="BJ69" s="206"/>
      <c r="BK69" s="206"/>
      <c r="BL69" s="206"/>
      <c r="BM69" s="206"/>
      <c r="BN69" s="206"/>
      <c r="BO69" s="206"/>
      <c r="BP69" s="206"/>
      <c r="BQ69" s="206"/>
      <c r="BR69" s="206"/>
      <c r="BS69" s="206"/>
      <c r="BT69" s="206"/>
      <c r="BU69" s="206"/>
      <c r="BV69" s="55"/>
      <c r="BW69" s="55"/>
      <c r="BX69" s="62"/>
      <c r="BY69" s="153"/>
      <c r="BZ69" s="55"/>
      <c r="CA69" s="55"/>
      <c r="CB69" s="55"/>
      <c r="CC69" s="55"/>
      <c r="CD69" s="174"/>
      <c r="CE69" s="66"/>
      <c r="CF69" s="66"/>
      <c r="CG69" s="66"/>
      <c r="CH69" s="66"/>
      <c r="CI69" s="66"/>
      <c r="CJ69" s="66"/>
      <c r="CK69" s="66"/>
      <c r="CL69" s="55"/>
      <c r="CM69" s="55"/>
      <c r="CN69" s="55"/>
      <c r="CO69" s="55"/>
      <c r="CP69" s="55"/>
      <c r="CQ69" s="55"/>
      <c r="CR69" s="55"/>
      <c r="CS69" s="55"/>
      <c r="CT69" s="55"/>
      <c r="CU69" s="55"/>
      <c r="CW69" s="55"/>
    </row>
    <row r="70" spans="1:101">
      <c r="A70" s="2">
        <f>IF(Ergebnisse!A70="","",Ergebnisse!A70)</f>
        <v>80</v>
      </c>
      <c r="B70" s="6">
        <f>IF(Ergebnisse!B70="","",Ergebnisse!B70)</f>
        <v>46204.5</v>
      </c>
      <c r="C70" s="6" t="str">
        <f>IF(Ergebnisse!C70="","",Ergebnisse!C70)</f>
        <v>Atlanta</v>
      </c>
      <c r="D70" s="237" t="s">
        <v>188</v>
      </c>
      <c r="E70" s="15"/>
      <c r="F70" s="34" t="s">
        <v>236</v>
      </c>
      <c r="G70" s="17"/>
      <c r="H70" s="107">
        <v>3</v>
      </c>
      <c r="I70" s="11" t="s">
        <v>25</v>
      </c>
      <c r="J70" s="107">
        <v>1</v>
      </c>
      <c r="L70" s="1"/>
      <c r="M70" s="252" t="s">
        <v>188</v>
      </c>
      <c r="N70" s="1"/>
      <c r="O70" s="1"/>
      <c r="P70" s="1"/>
      <c r="Q70" s="1"/>
      <c r="R70" s="1"/>
      <c r="V70" s="62"/>
      <c r="W70" s="62"/>
      <c r="Z70" s="62"/>
      <c r="AC70" s="58"/>
      <c r="AE70" s="2"/>
      <c r="AF70" s="206"/>
      <c r="AG70" s="206"/>
      <c r="AH70" s="206"/>
      <c r="AI70" s="206"/>
      <c r="AJ70" s="206"/>
      <c r="AK70" s="206"/>
      <c r="AL70" s="206"/>
      <c r="AM70" s="206"/>
      <c r="AN70" s="206"/>
      <c r="AO70" s="206"/>
      <c r="AP70" s="206"/>
      <c r="AX70" s="17">
        <f ca="1">IF(AY70="",0,IF($CX$97="",(D70=Ergebnisse!D70)+(F70=Ergebnisse!F70)+(SIGN(H70-J70)=SIGN(Ergebnisse!H70-Ergebnisse!J70))*7+(H70=Ergebnisse!H70)+(J70=Ergebnisse!J70),INT(RAND()*12)))</f>
        <v>2</v>
      </c>
      <c r="AY70" s="17" t="str">
        <f ca="1">IF(Ergebnisse!K70=Ergebnisse!$B$98,Ergebnisse!K70,"")</f>
        <v>ok</v>
      </c>
      <c r="AZ70" s="206"/>
      <c r="BA70" s="206"/>
      <c r="BB70" s="206"/>
      <c r="BC70" s="206"/>
      <c r="BD70" s="206"/>
      <c r="BE70" s="206"/>
      <c r="BF70" s="206"/>
      <c r="BG70" s="206"/>
      <c r="BH70" s="206"/>
      <c r="BI70" s="206"/>
      <c r="BJ70" s="206"/>
      <c r="BK70" s="206"/>
      <c r="BL70" s="206"/>
      <c r="BM70" s="206"/>
      <c r="BN70" s="206"/>
      <c r="BO70" s="206"/>
      <c r="BP70" s="206"/>
      <c r="BQ70" s="206"/>
      <c r="BR70" s="206"/>
      <c r="BS70" s="206"/>
      <c r="BT70" s="206"/>
      <c r="BU70" s="206"/>
      <c r="BV70" s="55"/>
      <c r="BW70" s="55"/>
      <c r="BX70" s="62"/>
      <c r="BY70" s="153"/>
      <c r="BZ70" s="55"/>
      <c r="CA70" s="55"/>
      <c r="CB70" s="55"/>
      <c r="CC70" s="55"/>
      <c r="CD70" s="174"/>
      <c r="CE70" s="66"/>
      <c r="CF70" s="66"/>
      <c r="CG70" s="66"/>
      <c r="CH70" s="66"/>
      <c r="CI70" s="66"/>
      <c r="CJ70" s="66"/>
      <c r="CK70" s="66"/>
      <c r="CL70" s="55"/>
      <c r="CM70" s="55"/>
      <c r="CN70" s="55"/>
      <c r="CO70" s="55"/>
      <c r="CP70" s="55"/>
      <c r="CQ70" s="55"/>
      <c r="CR70" s="55"/>
      <c r="CS70" s="55"/>
      <c r="CT70" s="55"/>
      <c r="CU70" s="55"/>
      <c r="CW70" s="55"/>
    </row>
    <row r="71" spans="1:101">
      <c r="A71" s="2">
        <f>IF(Ergebnisse!A71="","",Ergebnisse!A71)</f>
        <v>82</v>
      </c>
      <c r="B71" s="6">
        <f>IF(Ergebnisse!B71="","",Ergebnisse!B71)</f>
        <v>46204.541666666664</v>
      </c>
      <c r="C71" s="6" t="str">
        <f>IF(Ergebnisse!C71="","",Ergebnisse!C71)</f>
        <v>Seattle</v>
      </c>
      <c r="D71" s="228" t="s">
        <v>186</v>
      </c>
      <c r="E71" s="15"/>
      <c r="F71" s="34" t="s">
        <v>205</v>
      </c>
      <c r="G71" s="17"/>
      <c r="H71" s="107">
        <v>4</v>
      </c>
      <c r="I71" s="11" t="s">
        <v>25</v>
      </c>
      <c r="J71" s="107">
        <v>3</v>
      </c>
      <c r="L71" s="1"/>
      <c r="M71" s="240" t="s">
        <v>186</v>
      </c>
      <c r="N71" s="1"/>
      <c r="O71" s="1"/>
      <c r="P71" s="1"/>
      <c r="Q71" s="1"/>
      <c r="R71" s="1"/>
      <c r="S71" s="4"/>
      <c r="T71" s="4"/>
      <c r="U71" s="4"/>
      <c r="V71" s="4"/>
      <c r="W71" s="4"/>
      <c r="X71" s="4"/>
      <c r="Z71" s="62"/>
      <c r="AC71" s="58"/>
      <c r="AE71" s="2"/>
      <c r="AF71" s="206"/>
      <c r="AG71" s="206"/>
      <c r="AH71" s="206"/>
      <c r="AI71" s="206"/>
      <c r="AJ71" s="206"/>
      <c r="AK71" s="206"/>
      <c r="AL71" s="206"/>
      <c r="AM71" s="206"/>
      <c r="AN71" s="206"/>
      <c r="AO71" s="206"/>
      <c r="AP71" s="206"/>
      <c r="AX71" s="17">
        <f ca="1">IF(AY71="",0,IF($CX$97="",(D71=Ergebnisse!D71)+(F71=Ergebnisse!F71)+(SIGN(H71-J71)=SIGN(Ergebnisse!H71-Ergebnisse!J71))*7+(H71=Ergebnisse!H71)+(J71=Ergebnisse!J71),INT(RAND()*12)))</f>
        <v>8</v>
      </c>
      <c r="AY71" s="17" t="str">
        <f ca="1">IF(Ergebnisse!K71=Ergebnisse!$B$98,Ergebnisse!K71,"")</f>
        <v>ok</v>
      </c>
      <c r="AZ71" s="206"/>
      <c r="BA71" s="206"/>
      <c r="BB71" s="206"/>
      <c r="BC71" s="206"/>
      <c r="BD71" s="206"/>
      <c r="BE71" s="206"/>
      <c r="BF71" s="206"/>
      <c r="BG71" s="206"/>
      <c r="BH71" s="206"/>
      <c r="BI71" s="206"/>
      <c r="BJ71" s="206"/>
      <c r="BK71" s="206"/>
      <c r="BL71" s="206"/>
      <c r="BM71" s="206"/>
      <c r="BN71" s="206"/>
      <c r="BO71" s="206"/>
      <c r="BP71" s="206"/>
      <c r="BQ71" s="206"/>
      <c r="BR71" s="206"/>
      <c r="BS71" s="206"/>
      <c r="BT71" s="206"/>
      <c r="BU71" s="206"/>
      <c r="BV71" s="55"/>
      <c r="BW71" s="55"/>
      <c r="BX71" s="62"/>
      <c r="BY71" s="153"/>
      <c r="BZ71" s="55"/>
      <c r="CA71" s="55"/>
      <c r="CB71" s="55"/>
      <c r="CC71" s="55"/>
      <c r="CD71" s="174"/>
      <c r="CE71" s="66"/>
      <c r="CF71" s="66"/>
      <c r="CG71" s="66"/>
      <c r="CH71" s="66"/>
      <c r="CI71" s="66"/>
      <c r="CJ71" s="66"/>
      <c r="CK71" s="66"/>
      <c r="CL71" s="55"/>
      <c r="CM71" s="55"/>
      <c r="CN71" s="55"/>
      <c r="CO71" s="55"/>
      <c r="CP71" s="55"/>
      <c r="CQ71" s="55"/>
      <c r="CR71" s="55"/>
      <c r="CS71" s="55"/>
      <c r="CT71" s="55"/>
      <c r="CU71" s="55"/>
      <c r="CW71" s="55"/>
    </row>
    <row r="72" spans="1:101">
      <c r="A72" s="2">
        <f>IF(Ergebnisse!A72="","",Ergebnisse!A72)</f>
        <v>81</v>
      </c>
      <c r="B72" s="6">
        <f>IF(Ergebnisse!B72="","",Ergebnisse!B72)</f>
        <v>46204.708333333336</v>
      </c>
      <c r="C72" s="6" t="str">
        <f>IF(Ergebnisse!C72="","",Ergebnisse!C72)</f>
        <v>San Francisco</v>
      </c>
      <c r="D72" s="177" t="s">
        <v>204</v>
      </c>
      <c r="E72" s="15"/>
      <c r="F72" s="34" t="s">
        <v>249</v>
      </c>
      <c r="G72" s="17"/>
      <c r="H72" s="107">
        <v>1</v>
      </c>
      <c r="I72" s="11" t="s">
        <v>25</v>
      </c>
      <c r="J72" s="107">
        <v>2</v>
      </c>
      <c r="L72" s="1"/>
      <c r="M72" s="240" t="s">
        <v>249</v>
      </c>
      <c r="N72" s="1"/>
      <c r="O72" s="1"/>
      <c r="P72" s="1"/>
      <c r="Q72" s="1"/>
      <c r="R72" s="1"/>
      <c r="S72" s="4"/>
      <c r="T72" s="4"/>
      <c r="U72" s="4"/>
      <c r="V72" s="4"/>
      <c r="W72" s="4"/>
      <c r="X72" s="4"/>
      <c r="AC72" s="58"/>
      <c r="AE72" s="2"/>
      <c r="AF72" s="206"/>
      <c r="AG72" s="206"/>
      <c r="AH72" s="206"/>
      <c r="AI72" s="206"/>
      <c r="AJ72" s="206"/>
      <c r="AK72" s="206"/>
      <c r="AL72" s="206"/>
      <c r="AM72" s="206"/>
      <c r="AN72" s="206"/>
      <c r="AO72" s="206"/>
      <c r="AP72" s="206"/>
      <c r="AX72" s="17">
        <f ca="1">IF(AY72="",0,IF($CX$97="",(D72=Ergebnisse!D72)+(F72=Ergebnisse!F72)+(SIGN(H72-J72)=SIGN(Ergebnisse!H72-Ergebnisse!J72))*7+(H72=Ergebnisse!H72)+(J72=Ergebnisse!J72),INT(RAND()*12)))</f>
        <v>0</v>
      </c>
      <c r="AY72" s="17" t="str">
        <f ca="1">IF(Ergebnisse!K72=Ergebnisse!$B$98,Ergebnisse!K72,"")</f>
        <v>ok</v>
      </c>
      <c r="AZ72" s="206"/>
      <c r="BA72" s="206"/>
      <c r="BB72" s="206"/>
      <c r="BC72" s="206"/>
      <c r="BD72" s="206"/>
      <c r="BE72" s="206"/>
      <c r="BF72" s="206"/>
      <c r="BG72" s="206"/>
      <c r="BH72" s="206"/>
      <c r="BI72" s="206"/>
      <c r="BJ72" s="206"/>
      <c r="BK72" s="206"/>
      <c r="BL72" s="206"/>
      <c r="BM72" s="206"/>
      <c r="BN72" s="206"/>
      <c r="BO72" s="206"/>
      <c r="BP72" s="206"/>
      <c r="BQ72" s="206"/>
      <c r="BR72" s="206"/>
      <c r="BS72" s="206"/>
      <c r="BT72" s="206"/>
      <c r="BU72" s="206"/>
      <c r="BV72" s="55"/>
      <c r="BW72" s="55"/>
      <c r="BX72" s="62"/>
      <c r="BY72" s="253"/>
      <c r="BZ72" s="55"/>
      <c r="CA72" s="55"/>
      <c r="CB72" s="55"/>
      <c r="CC72" s="55"/>
      <c r="CD72" s="174"/>
      <c r="CE72" s="66"/>
      <c r="CF72" s="66"/>
      <c r="CG72" s="66"/>
      <c r="CH72" s="66"/>
      <c r="CI72" s="66"/>
      <c r="CJ72" s="66"/>
      <c r="CK72" s="66"/>
      <c r="CL72" s="55"/>
      <c r="CM72" s="55"/>
      <c r="CN72" s="55"/>
      <c r="CO72" s="55"/>
      <c r="CP72" s="55"/>
      <c r="CQ72" s="55"/>
      <c r="CR72" s="55"/>
      <c r="CS72" s="55"/>
      <c r="CT72" s="55"/>
      <c r="CU72" s="55"/>
      <c r="CW72" s="55"/>
    </row>
    <row r="73" spans="1:101">
      <c r="A73" s="2">
        <f>IF(Ergebnisse!A73="","",Ergebnisse!A73)</f>
        <v>84</v>
      </c>
      <c r="B73" s="6">
        <f>IF(Ergebnisse!B73="","",Ergebnisse!B73)</f>
        <v>46205.5</v>
      </c>
      <c r="C73" s="6" t="str">
        <f>IF(Ergebnisse!C73="","",Ergebnisse!C73)</f>
        <v>Los Angeles</v>
      </c>
      <c r="D73" s="233" t="s">
        <v>66</v>
      </c>
      <c r="E73" s="15"/>
      <c r="F73" s="227" t="s">
        <v>223</v>
      </c>
      <c r="G73" s="17"/>
      <c r="H73" s="107">
        <v>4</v>
      </c>
      <c r="I73" s="11" t="s">
        <v>25</v>
      </c>
      <c r="J73" s="107">
        <v>1</v>
      </c>
      <c r="L73" s="1"/>
      <c r="M73" s="242" t="s">
        <v>66</v>
      </c>
      <c r="N73" s="1"/>
      <c r="O73" s="1"/>
      <c r="P73" s="1"/>
      <c r="Q73" s="1"/>
      <c r="R73" s="1"/>
      <c r="S73" s="4"/>
      <c r="T73" s="4"/>
      <c r="U73" s="4"/>
      <c r="V73" s="4"/>
      <c r="W73" s="4"/>
      <c r="X73" s="4"/>
      <c r="Z73" s="62"/>
      <c r="AC73" s="58"/>
      <c r="AE73" s="2"/>
      <c r="AF73" s="206"/>
      <c r="AG73" s="206"/>
      <c r="AH73" s="206"/>
      <c r="AI73" s="206"/>
      <c r="AJ73" s="206"/>
      <c r="AK73" s="206"/>
      <c r="AL73" s="206"/>
      <c r="AM73" s="206"/>
      <c r="AN73" s="206"/>
      <c r="AO73" s="206"/>
      <c r="AP73" s="206"/>
      <c r="AX73" s="17">
        <f ca="1">IF(AY73="",0,IF($CX$97="",(D73=Ergebnisse!D73)+(F73=Ergebnisse!F73)+(SIGN(H73-J73)=SIGN(Ergebnisse!H73-Ergebnisse!J73))*7+(H73=Ergebnisse!H73)+(J73=Ergebnisse!J73),INT(RAND()*12)))</f>
        <v>2</v>
      </c>
      <c r="AY73" s="17" t="str">
        <f ca="1">IF(Ergebnisse!K73=Ergebnisse!$B$98,Ergebnisse!K73,"")</f>
        <v>ok</v>
      </c>
      <c r="AZ73" s="206"/>
      <c r="BA73" s="206"/>
      <c r="BB73" s="206"/>
      <c r="BC73" s="206"/>
      <c r="BD73" s="206"/>
      <c r="BE73" s="206"/>
      <c r="BF73" s="206"/>
      <c r="BG73" s="206"/>
      <c r="BH73" s="206"/>
      <c r="BI73" s="206"/>
      <c r="BJ73" s="206"/>
      <c r="BK73" s="206"/>
      <c r="BL73" s="206"/>
      <c r="BM73" s="206"/>
      <c r="BN73" s="206"/>
      <c r="BO73" s="206"/>
      <c r="BP73" s="206"/>
      <c r="BQ73" s="206"/>
      <c r="BR73" s="206"/>
      <c r="BS73" s="206"/>
      <c r="BT73" s="206"/>
      <c r="BU73" s="206"/>
      <c r="BV73" s="55"/>
      <c r="BW73" s="55"/>
      <c r="BX73" s="62"/>
      <c r="BY73" s="153"/>
      <c r="BZ73" s="55"/>
      <c r="CA73" s="55"/>
      <c r="CB73" s="55"/>
      <c r="CC73" s="55"/>
      <c r="CD73" s="174"/>
      <c r="CE73" s="66"/>
      <c r="CF73" s="66"/>
      <c r="CG73" s="66"/>
      <c r="CH73" s="66"/>
      <c r="CI73" s="66"/>
      <c r="CJ73" s="66"/>
      <c r="CK73" s="66"/>
      <c r="CL73" s="55"/>
      <c r="CM73" s="55"/>
      <c r="CN73" s="55"/>
      <c r="CO73" s="55"/>
      <c r="CP73" s="55"/>
      <c r="CQ73" s="55"/>
      <c r="CR73" s="55"/>
      <c r="CS73" s="55"/>
      <c r="CT73" s="55"/>
      <c r="CU73" s="55"/>
      <c r="CW73" s="55"/>
    </row>
    <row r="74" spans="1:101">
      <c r="A74" s="2">
        <f>IF(Ergebnisse!A74="","",Ergebnisse!A74)</f>
        <v>83</v>
      </c>
      <c r="B74" s="6">
        <f>IF(Ergebnisse!B74="","",Ergebnisse!B74)</f>
        <v>46205.791666666664</v>
      </c>
      <c r="C74" s="6" t="str">
        <f>IF(Ergebnisse!C74="","",Ergebnisse!C74)</f>
        <v>Toronto</v>
      </c>
      <c r="D74" s="232" t="s">
        <v>240</v>
      </c>
      <c r="E74" s="15"/>
      <c r="F74" s="237" t="s">
        <v>70</v>
      </c>
      <c r="G74" s="17"/>
      <c r="H74" s="107">
        <v>1</v>
      </c>
      <c r="I74" s="11" t="s">
        <v>25</v>
      </c>
      <c r="J74" s="107">
        <v>2</v>
      </c>
      <c r="L74" s="1"/>
      <c r="M74" s="242" t="s">
        <v>70</v>
      </c>
      <c r="N74" s="1"/>
      <c r="O74" s="1"/>
      <c r="P74" s="1"/>
      <c r="Q74" s="1"/>
      <c r="R74" s="1"/>
      <c r="S74" s="4"/>
      <c r="T74" s="4"/>
      <c r="U74" s="4"/>
      <c r="V74" s="4"/>
      <c r="W74" s="4"/>
      <c r="X74" s="4"/>
      <c r="Z74" s="62"/>
      <c r="AC74" s="58"/>
      <c r="AE74" s="2"/>
      <c r="AF74" s="206"/>
      <c r="AG74" s="206"/>
      <c r="AH74" s="206"/>
      <c r="AI74" s="206"/>
      <c r="AJ74" s="206"/>
      <c r="AK74" s="206"/>
      <c r="AL74" s="206"/>
      <c r="AM74" s="206"/>
      <c r="AN74" s="206"/>
      <c r="AO74" s="206"/>
      <c r="AP74" s="206"/>
      <c r="AX74" s="17">
        <f ca="1">IF(AY74="",0,IF($CX$97="",(D74=Ergebnisse!D74)+(F74=Ergebnisse!F74)+(SIGN(H74-J74)=SIGN(Ergebnisse!H74-Ergebnisse!J74))*7+(H74=Ergebnisse!H74)+(J74=Ergebnisse!J74),INT(RAND()*12)))</f>
        <v>7</v>
      </c>
      <c r="AY74" s="17" t="str">
        <f ca="1">IF(Ergebnisse!K74=Ergebnisse!$B$98,Ergebnisse!K74,"")</f>
        <v>ok</v>
      </c>
      <c r="AZ74" s="206"/>
      <c r="BA74" s="206"/>
      <c r="BB74" s="206"/>
      <c r="BC74" s="206"/>
      <c r="BD74" s="206"/>
      <c r="BE74" s="206"/>
      <c r="BF74" s="206"/>
      <c r="BG74" s="206"/>
      <c r="BH74" s="206"/>
      <c r="BI74" s="206"/>
      <c r="BJ74" s="206"/>
      <c r="BK74" s="206"/>
      <c r="BL74" s="206"/>
      <c r="BM74" s="206"/>
      <c r="BN74" s="206"/>
      <c r="BO74" s="206"/>
      <c r="BP74" s="206"/>
      <c r="BQ74" s="206"/>
      <c r="BR74" s="206"/>
      <c r="BS74" s="206"/>
      <c r="BT74" s="206"/>
      <c r="BU74" s="206"/>
      <c r="BV74" s="55"/>
      <c r="BW74" s="55"/>
      <c r="BX74" s="62"/>
      <c r="BY74" s="153"/>
      <c r="BZ74" s="55"/>
      <c r="CA74" s="55"/>
      <c r="CB74" s="55"/>
      <c r="CC74" s="55"/>
      <c r="CD74" s="174"/>
      <c r="CE74" s="66"/>
      <c r="CF74" s="66"/>
      <c r="CG74" s="66"/>
      <c r="CH74" s="66"/>
      <c r="CI74" s="66"/>
      <c r="CJ74" s="66"/>
      <c r="CK74" s="66"/>
      <c r="CL74" s="55"/>
      <c r="CM74" s="55"/>
      <c r="CN74" s="55"/>
      <c r="CO74" s="55"/>
      <c r="CP74" s="55"/>
      <c r="CQ74" s="55"/>
      <c r="CR74" s="55"/>
      <c r="CS74" s="55"/>
      <c r="CT74" s="55"/>
      <c r="CU74" s="55"/>
      <c r="CW74" s="55"/>
    </row>
    <row r="75" spans="1:101">
      <c r="A75" s="2">
        <f>IF(Ergebnisse!A75="","",Ergebnisse!A75)</f>
        <v>85</v>
      </c>
      <c r="B75" s="6">
        <f>IF(Ergebnisse!B75="","",Ergebnisse!B75)</f>
        <v>46205.833333333336</v>
      </c>
      <c r="C75" s="6" t="str">
        <f>IF(Ergebnisse!C75="","",Ergebnisse!C75)</f>
        <v>Vancouver</v>
      </c>
      <c r="D75" s="37" t="s">
        <v>207</v>
      </c>
      <c r="E75" s="15"/>
      <c r="F75" s="34" t="s">
        <v>211</v>
      </c>
      <c r="G75" s="17"/>
      <c r="H75" s="107">
        <v>7</v>
      </c>
      <c r="I75" s="11" t="s">
        <v>25</v>
      </c>
      <c r="J75" s="107">
        <v>6</v>
      </c>
      <c r="L75" s="1"/>
      <c r="M75" s="249" t="s">
        <v>207</v>
      </c>
      <c r="N75" s="1"/>
      <c r="O75" s="1"/>
      <c r="P75" s="1"/>
      <c r="Q75" s="1"/>
      <c r="R75" s="1"/>
      <c r="S75" s="4"/>
      <c r="T75" s="4"/>
      <c r="U75" s="4"/>
      <c r="V75" s="4"/>
      <c r="W75" s="4"/>
      <c r="X75" s="4"/>
      <c r="Z75" s="62"/>
      <c r="AC75" s="58"/>
      <c r="AE75" s="2"/>
      <c r="AF75" s="206"/>
      <c r="AG75" s="206"/>
      <c r="AH75" s="206"/>
      <c r="AI75" s="206"/>
      <c r="AJ75" s="206"/>
      <c r="AK75" s="206"/>
      <c r="AL75" s="206"/>
      <c r="AM75" s="206"/>
      <c r="AN75" s="206"/>
      <c r="AO75" s="206"/>
      <c r="AP75" s="206"/>
      <c r="AX75" s="17">
        <f ca="1">IF(AY75="",0,IF($CX$97="",(D75=Ergebnisse!D75)+(F75=Ergebnisse!F75)+(SIGN(H75-J75)=SIGN(Ergebnisse!H75-Ergebnisse!J75))*7+(H75=Ergebnisse!H75)+(J75=Ergebnisse!J75),INT(RAND()*12)))</f>
        <v>1</v>
      </c>
      <c r="AY75" s="17" t="str">
        <f ca="1">IF(Ergebnisse!K75=Ergebnisse!$B$98,Ergebnisse!K75,"")</f>
        <v>ok</v>
      </c>
      <c r="AZ75" s="206"/>
      <c r="BA75" s="206"/>
      <c r="BB75" s="206"/>
      <c r="BC75" s="206"/>
      <c r="BD75" s="206"/>
      <c r="BE75" s="206"/>
      <c r="BF75" s="206"/>
      <c r="BG75" s="206"/>
      <c r="BH75" s="206"/>
      <c r="BI75" s="206"/>
      <c r="BJ75" s="206"/>
      <c r="BK75" s="206"/>
      <c r="BL75" s="206"/>
      <c r="BM75" s="206"/>
      <c r="BN75" s="206"/>
      <c r="BO75" s="206"/>
      <c r="BP75" s="206"/>
      <c r="BQ75" s="206"/>
      <c r="BR75" s="206"/>
      <c r="BS75" s="206"/>
      <c r="BT75" s="206"/>
      <c r="BU75" s="206"/>
      <c r="BV75" s="55"/>
      <c r="BW75" s="55"/>
      <c r="BX75" s="62"/>
      <c r="BY75" s="153"/>
      <c r="BZ75" s="55"/>
      <c r="CA75" s="55"/>
      <c r="CB75" s="55"/>
      <c r="CC75" s="55"/>
      <c r="CD75" s="174"/>
      <c r="CE75" s="66"/>
      <c r="CF75" s="66"/>
      <c r="CG75" s="66"/>
      <c r="CH75" s="66"/>
      <c r="CI75" s="66"/>
      <c r="CJ75" s="66"/>
      <c r="CK75" s="66"/>
      <c r="CL75" s="55"/>
      <c r="CM75" s="55"/>
      <c r="CN75" s="55"/>
      <c r="CO75" s="55"/>
      <c r="CP75" s="55"/>
      <c r="CQ75" s="55"/>
      <c r="CR75" s="55"/>
      <c r="CS75" s="55"/>
      <c r="CT75" s="55"/>
      <c r="CU75" s="55"/>
      <c r="CW75" s="55"/>
    </row>
    <row r="76" spans="1:101">
      <c r="A76" s="2">
        <f>IF(Ergebnisse!A76="","",Ergebnisse!A76)</f>
        <v>88</v>
      </c>
      <c r="B76" s="6">
        <f>IF(Ergebnisse!B76="","",Ergebnisse!B76)</f>
        <v>46206.541666666672</v>
      </c>
      <c r="C76" s="6" t="str">
        <f>IF(Ergebnisse!C76="","",Ergebnisse!C76)</f>
        <v>Dallas</v>
      </c>
      <c r="D76" s="177" t="s">
        <v>202</v>
      </c>
      <c r="E76" s="15"/>
      <c r="F76" s="228" t="s">
        <v>224</v>
      </c>
      <c r="G76" s="17"/>
      <c r="H76" s="107">
        <v>1</v>
      </c>
      <c r="I76" s="11" t="s">
        <v>25</v>
      </c>
      <c r="J76" s="107">
        <v>0</v>
      </c>
      <c r="L76" s="1"/>
      <c r="M76" s="249" t="s">
        <v>202</v>
      </c>
      <c r="N76" s="1"/>
      <c r="O76" s="1"/>
      <c r="P76" s="1"/>
      <c r="Q76" s="1"/>
      <c r="R76" s="1"/>
      <c r="S76" s="4"/>
      <c r="T76" s="4"/>
      <c r="U76" s="4"/>
      <c r="V76" s="4"/>
      <c r="W76" s="4"/>
      <c r="X76" s="4"/>
      <c r="Z76" s="62"/>
      <c r="AC76" s="58"/>
      <c r="AE76" s="2"/>
      <c r="AF76" s="206"/>
      <c r="AG76" s="206"/>
      <c r="AH76" s="206"/>
      <c r="AI76" s="206"/>
      <c r="AJ76" s="206"/>
      <c r="AK76" s="206"/>
      <c r="AL76" s="206"/>
      <c r="AM76" s="206"/>
      <c r="AN76" s="206"/>
      <c r="AO76" s="206"/>
      <c r="AP76" s="206"/>
      <c r="AX76" s="17">
        <f ca="1">IF(AY76="",0,IF($CX$97="",(D76=Ergebnisse!D76)+(F76=Ergebnisse!F76)+(SIGN(H76-J76)=SIGN(Ergebnisse!H76-Ergebnisse!J76))*7+(H76=Ergebnisse!H76)+(J76=Ergebnisse!J76),INT(RAND()*12)))</f>
        <v>8</v>
      </c>
      <c r="AY76" s="17" t="str">
        <f ca="1">IF(Ergebnisse!K76=Ergebnisse!$B$98,Ergebnisse!K76,"")</f>
        <v>ok</v>
      </c>
      <c r="AZ76" s="206"/>
      <c r="BA76" s="206"/>
      <c r="BB76" s="206"/>
      <c r="BC76" s="206"/>
      <c r="BD76" s="206"/>
      <c r="BE76" s="206"/>
      <c r="BF76" s="206"/>
      <c r="BG76" s="206"/>
      <c r="BH76" s="206"/>
      <c r="BI76" s="206"/>
      <c r="BJ76" s="206"/>
      <c r="BK76" s="206"/>
      <c r="BL76" s="206"/>
      <c r="BM76" s="206"/>
      <c r="BN76" s="206"/>
      <c r="BO76" s="206"/>
      <c r="BP76" s="206"/>
      <c r="BQ76" s="206"/>
      <c r="BR76" s="206"/>
      <c r="BS76" s="206"/>
      <c r="BT76" s="206"/>
      <c r="BU76" s="206"/>
      <c r="BV76" s="55"/>
      <c r="BW76" s="55"/>
      <c r="BX76" s="62"/>
      <c r="BY76" s="153"/>
      <c r="BZ76" s="55"/>
      <c r="CA76" s="55"/>
      <c r="CB76" s="55"/>
      <c r="CC76" s="55"/>
      <c r="CD76" s="174"/>
      <c r="CE76" s="66"/>
      <c r="CF76" s="66"/>
      <c r="CG76" s="66"/>
      <c r="CH76" s="66"/>
      <c r="CI76" s="66"/>
      <c r="CJ76" s="66"/>
      <c r="CK76" s="66"/>
      <c r="CL76" s="55"/>
      <c r="CM76" s="55"/>
      <c r="CN76" s="55"/>
      <c r="CO76" s="55"/>
      <c r="CP76" s="55"/>
      <c r="CQ76" s="55"/>
      <c r="CR76" s="55"/>
      <c r="CS76" s="55"/>
      <c r="CT76" s="55"/>
      <c r="CU76" s="55"/>
      <c r="CW76" s="55"/>
    </row>
    <row r="77" spans="1:101">
      <c r="A77" s="2">
        <f>IF(Ergebnisse!A77="","",Ergebnisse!A77)</f>
        <v>86</v>
      </c>
      <c r="B77" s="6">
        <f>IF(Ergebnisse!B77="","",Ergebnisse!B77)</f>
        <v>46206.75</v>
      </c>
      <c r="C77" s="6" t="str">
        <f>IF(Ergebnisse!C77="","",Ergebnisse!C77)</f>
        <v>Miami</v>
      </c>
      <c r="D77" s="227" t="s">
        <v>221</v>
      </c>
      <c r="E77" s="15"/>
      <c r="F77" s="233" t="s">
        <v>239</v>
      </c>
      <c r="G77" s="17"/>
      <c r="H77" s="107">
        <v>2</v>
      </c>
      <c r="I77" s="11" t="s">
        <v>25</v>
      </c>
      <c r="J77" s="107">
        <v>1</v>
      </c>
      <c r="L77" s="1"/>
      <c r="M77" s="252" t="s">
        <v>221</v>
      </c>
      <c r="N77" s="1"/>
      <c r="O77" s="1"/>
      <c r="P77" s="1"/>
      <c r="Q77" s="1"/>
      <c r="R77" s="1"/>
      <c r="S77" s="4"/>
      <c r="T77" s="4"/>
      <c r="U77" s="4"/>
      <c r="V77" s="4"/>
      <c r="W77" s="4"/>
      <c r="X77" s="4"/>
      <c r="Z77" s="62"/>
      <c r="AC77" s="58"/>
      <c r="AE77" s="2"/>
      <c r="AF77" s="206"/>
      <c r="AG77" s="206"/>
      <c r="AH77" s="206"/>
      <c r="AI77" s="206"/>
      <c r="AJ77" s="206"/>
      <c r="AK77" s="206"/>
      <c r="AL77" s="206"/>
      <c r="AM77" s="206"/>
      <c r="AN77" s="206"/>
      <c r="AO77" s="206"/>
      <c r="AP77" s="206"/>
      <c r="AX77" s="17">
        <f ca="1">IF(AY77="",0,IF($CX$97="",(D77=Ergebnisse!D77)+(F77=Ergebnisse!F77)+(SIGN(H77-J77)=SIGN(Ergebnisse!H77-Ergebnisse!J77))*7+(H77=Ergebnisse!H77)+(J77=Ergebnisse!J77),INT(RAND()*12)))</f>
        <v>8</v>
      </c>
      <c r="AY77" s="17" t="str">
        <f ca="1">IF(Ergebnisse!K77=Ergebnisse!$B$98,Ergebnisse!K77,"")</f>
        <v>ok</v>
      </c>
      <c r="AZ77" s="206"/>
      <c r="BA77" s="206"/>
      <c r="BB77" s="206"/>
      <c r="BC77" s="206"/>
      <c r="BD77" s="206"/>
      <c r="BE77" s="206"/>
      <c r="BF77" s="206"/>
      <c r="BG77" s="206"/>
      <c r="BH77" s="206"/>
      <c r="BI77" s="206"/>
      <c r="BJ77" s="206"/>
      <c r="BK77" s="206"/>
      <c r="BL77" s="206"/>
      <c r="BM77" s="206"/>
      <c r="BN77" s="206"/>
      <c r="BO77" s="206"/>
      <c r="BP77" s="206"/>
      <c r="BQ77" s="206"/>
      <c r="BR77" s="206"/>
      <c r="BS77" s="206"/>
      <c r="BT77" s="206"/>
      <c r="BU77" s="206"/>
      <c r="BV77" s="55"/>
      <c r="BW77" s="55"/>
      <c r="BX77" s="62"/>
      <c r="BY77" s="153"/>
      <c r="BZ77" s="55"/>
      <c r="CA77" s="55"/>
      <c r="CB77" s="55"/>
      <c r="CC77" s="55"/>
      <c r="CD77" s="174"/>
      <c r="CE77" s="66"/>
      <c r="CF77" s="66"/>
      <c r="CG77" s="66"/>
      <c r="CH77" s="66"/>
      <c r="CI77" s="66"/>
      <c r="CJ77" s="66"/>
      <c r="CK77" s="66"/>
      <c r="CL77" s="55"/>
      <c r="CM77" s="55"/>
      <c r="CN77" s="55"/>
      <c r="CO77" s="55"/>
      <c r="CP77" s="55"/>
      <c r="CQ77" s="55"/>
      <c r="CR77" s="55"/>
      <c r="CS77" s="55"/>
      <c r="CT77" s="55"/>
      <c r="CU77" s="55"/>
      <c r="CW77" s="55"/>
    </row>
    <row r="78" spans="1:101">
      <c r="A78" s="2">
        <f>IF(Ergebnisse!A78="","",Ergebnisse!A78)</f>
        <v>87</v>
      </c>
      <c r="B78" s="6">
        <f>IF(Ergebnisse!B78="","",Ergebnisse!B78)</f>
        <v>46206.854166666672</v>
      </c>
      <c r="C78" s="6" t="str">
        <f>IF(Ergebnisse!C78="","",Ergebnisse!C78)</f>
        <v>Kansas City</v>
      </c>
      <c r="D78" s="232" t="s">
        <v>190</v>
      </c>
      <c r="E78" s="15"/>
      <c r="F78" s="34" t="s">
        <v>251</v>
      </c>
      <c r="G78" s="17"/>
      <c r="H78" s="107">
        <v>3</v>
      </c>
      <c r="I78" s="11" t="s">
        <v>25</v>
      </c>
      <c r="J78" s="107">
        <v>2</v>
      </c>
      <c r="L78" s="1"/>
      <c r="M78" s="252" t="s">
        <v>190</v>
      </c>
      <c r="N78" s="1"/>
      <c r="O78" s="1"/>
      <c r="P78" s="1"/>
      <c r="Q78" s="1"/>
      <c r="R78" s="1"/>
      <c r="S78" s="4"/>
      <c r="T78" s="4"/>
      <c r="U78" s="4"/>
      <c r="V78" s="4"/>
      <c r="W78" s="4"/>
      <c r="X78" s="4"/>
      <c r="Z78" s="62"/>
      <c r="AC78" s="58"/>
      <c r="AE78" s="2"/>
      <c r="AF78" s="206"/>
      <c r="AG78" s="206"/>
      <c r="AH78" s="206"/>
      <c r="AI78" s="206"/>
      <c r="AJ78" s="206"/>
      <c r="AK78" s="206"/>
      <c r="AL78" s="206"/>
      <c r="AM78" s="206"/>
      <c r="AN78" s="206"/>
      <c r="AO78" s="206"/>
      <c r="AP78" s="206"/>
      <c r="AX78" s="17">
        <f ca="1">IF(AY78="",0,IF($CX$97="",(D78=Ergebnisse!D78)+(F78=Ergebnisse!F78)+(SIGN(H78-J78)=SIGN(Ergebnisse!H78-Ergebnisse!J78))*7+(H78=Ergebnisse!H78)+(J78=Ergebnisse!J78),INT(RAND()*12)))</f>
        <v>2</v>
      </c>
      <c r="AY78" s="17" t="str">
        <f ca="1">IF(Ergebnisse!K78=Ergebnisse!$B$98,Ergebnisse!K78,"")</f>
        <v>ok</v>
      </c>
      <c r="AZ78" s="206"/>
      <c r="BA78" s="206"/>
      <c r="BB78" s="206"/>
      <c r="BC78" s="206"/>
      <c r="BD78" s="206"/>
      <c r="BE78" s="206"/>
      <c r="BF78" s="206"/>
      <c r="BG78" s="206"/>
      <c r="BH78" s="206"/>
      <c r="BI78" s="206"/>
      <c r="BJ78" s="206"/>
      <c r="BK78" s="206"/>
      <c r="BL78" s="206"/>
      <c r="BM78" s="206"/>
      <c r="BN78" s="206"/>
      <c r="BO78" s="206"/>
      <c r="BP78" s="206"/>
      <c r="BQ78" s="206"/>
      <c r="BR78" s="206"/>
      <c r="BS78" s="206"/>
      <c r="BT78" s="206"/>
      <c r="BU78" s="206"/>
      <c r="BV78" s="55"/>
      <c r="BW78" s="55"/>
      <c r="BX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c r="CW78" s="55"/>
    </row>
    <row r="79" spans="1:101">
      <c r="B79" s="6"/>
      <c r="C79" s="6"/>
      <c r="D79" s="4"/>
      <c r="E79" s="15"/>
      <c r="F79" s="4"/>
      <c r="G79" s="4"/>
      <c r="H79" s="4"/>
      <c r="I79" s="4"/>
      <c r="J79" s="4"/>
      <c r="K79" s="4"/>
      <c r="L79" s="4"/>
      <c r="M79" s="4"/>
      <c r="N79" s="4"/>
      <c r="O79" s="4"/>
      <c r="P79" s="4"/>
      <c r="Q79" s="4"/>
      <c r="R79" s="4"/>
      <c r="S79" s="4"/>
      <c r="T79" s="4"/>
      <c r="U79" s="4"/>
      <c r="V79" s="4"/>
      <c r="W79" s="4"/>
      <c r="X79" s="4"/>
      <c r="Y79" s="4"/>
      <c r="Z79" s="4"/>
      <c r="AA79" s="4"/>
      <c r="AB79" s="4"/>
      <c r="AC79" s="58"/>
      <c r="AF79" s="206"/>
      <c r="AG79" s="206"/>
      <c r="AH79" s="206"/>
      <c r="AI79" s="206"/>
      <c r="AJ79" s="206"/>
      <c r="AK79" s="206"/>
      <c r="AL79" s="206"/>
      <c r="AM79" s="206"/>
      <c r="AN79" s="206"/>
      <c r="AO79" s="206"/>
      <c r="AP79" s="206"/>
      <c r="AZ79" s="206"/>
      <c r="BB79" s="58"/>
      <c r="BH79" s="2"/>
      <c r="BI79" s="2"/>
      <c r="BJ79" s="1"/>
      <c r="BK79" s="2"/>
      <c r="BM79" s="2"/>
      <c r="BS79" s="55"/>
      <c r="BT79" s="55"/>
      <c r="BU79" s="55"/>
      <c r="BV79" s="55"/>
      <c r="BW79" s="55"/>
      <c r="BX79" s="55"/>
      <c r="BZ79" s="55"/>
      <c r="CA79" s="55"/>
      <c r="CB79" s="55"/>
      <c r="CC79" s="55"/>
      <c r="CD79" s="55"/>
      <c r="CE79" s="55"/>
      <c r="CF79" s="55"/>
      <c r="CG79" s="55"/>
      <c r="CH79" s="55"/>
      <c r="CI79" s="55"/>
      <c r="CJ79" s="55"/>
      <c r="CK79" s="55"/>
      <c r="CL79" s="55"/>
      <c r="CM79" s="55"/>
      <c r="CN79" s="55"/>
      <c r="CO79" s="55"/>
      <c r="CP79" s="55"/>
      <c r="CQ79" s="55"/>
      <c r="CR79" s="55"/>
      <c r="CS79" s="55"/>
      <c r="CT79" s="55"/>
      <c r="CU79" s="55"/>
      <c r="CV79" s="55"/>
      <c r="CW79" s="55"/>
    </row>
    <row r="80" spans="1:101">
      <c r="B80" s="17" t="s">
        <v>43</v>
      </c>
      <c r="C80" s="21"/>
      <c r="D80" s="17"/>
      <c r="E80" s="15"/>
      <c r="F80" s="17"/>
      <c r="G80" s="17"/>
      <c r="H80" s="20"/>
      <c r="I80" s="19"/>
      <c r="J80" s="20"/>
      <c r="K80" s="181"/>
      <c r="L80" s="17"/>
      <c r="M80" s="21"/>
      <c r="N80" s="17"/>
      <c r="O80" s="17"/>
      <c r="P80" s="17"/>
      <c r="Q80" s="17"/>
      <c r="R80" s="17"/>
      <c r="S80" s="62"/>
      <c r="T80" s="62"/>
      <c r="U80" s="62"/>
      <c r="V80" s="62"/>
      <c r="W80" s="62"/>
      <c r="Y80" s="206"/>
      <c r="Z80" s="206"/>
      <c r="AA80" s="206"/>
      <c r="AB80" s="206"/>
      <c r="AC80" s="206"/>
      <c r="AE80" s="108"/>
      <c r="AF80" s="206"/>
      <c r="AG80" s="206"/>
      <c r="AH80" s="206"/>
      <c r="AI80" s="206"/>
      <c r="AJ80" s="206"/>
      <c r="AK80" s="206"/>
      <c r="AL80" s="206"/>
      <c r="AM80" s="206"/>
      <c r="AN80" s="206"/>
      <c r="AO80" s="206"/>
      <c r="AP80" s="206"/>
      <c r="AZ80" s="206"/>
      <c r="BB80" s="255" t="s">
        <v>44</v>
      </c>
      <c r="BH80" s="2"/>
      <c r="BI80" s="2"/>
      <c r="BJ80" s="1"/>
      <c r="BK80" s="2"/>
      <c r="BM80" s="2"/>
      <c r="BS80" s="55"/>
      <c r="BT80" s="55"/>
      <c r="BU80" s="55"/>
      <c r="BV80" s="55"/>
      <c r="BW80" s="55"/>
      <c r="BX80" s="55"/>
      <c r="BZ80" s="55"/>
      <c r="CA80" s="55"/>
      <c r="CB80" s="55"/>
      <c r="CC80" s="55"/>
      <c r="CD80" s="58"/>
      <c r="CE80" s="55"/>
      <c r="CF80" s="55"/>
      <c r="CG80" s="55"/>
      <c r="CH80" s="55"/>
      <c r="CI80" s="55"/>
      <c r="CJ80" s="55"/>
      <c r="CK80" s="55"/>
      <c r="CL80" s="55"/>
      <c r="CM80" s="55"/>
      <c r="CN80" s="55"/>
      <c r="CO80" s="55"/>
      <c r="CP80" s="55"/>
      <c r="CQ80" s="55"/>
      <c r="CR80" s="55"/>
      <c r="CS80" s="55"/>
      <c r="CT80" s="55"/>
      <c r="CU80" s="55"/>
      <c r="CV80" s="55"/>
      <c r="CW80" s="55"/>
    </row>
    <row r="81" spans="1:103">
      <c r="B81" s="3" t="s">
        <v>22</v>
      </c>
      <c r="C81" s="3" t="s">
        <v>23</v>
      </c>
      <c r="D81" s="17"/>
      <c r="E81" s="15"/>
      <c r="F81" s="17"/>
      <c r="G81" s="17"/>
      <c r="H81" s="20"/>
      <c r="I81" s="11"/>
      <c r="J81" s="20"/>
      <c r="K81" s="181"/>
      <c r="L81" s="1"/>
      <c r="M81" s="3"/>
      <c r="N81" s="1"/>
      <c r="O81" s="1"/>
      <c r="P81" s="1"/>
      <c r="Q81" s="1"/>
      <c r="S81" s="62"/>
      <c r="T81" s="62"/>
      <c r="U81" s="62"/>
      <c r="V81" s="62"/>
      <c r="W81" s="62"/>
      <c r="Y81" s="206"/>
      <c r="Z81" s="206"/>
      <c r="AA81" s="206"/>
      <c r="AB81" s="206"/>
      <c r="AC81" s="206"/>
      <c r="AF81" s="206"/>
      <c r="AG81" s="206"/>
      <c r="AH81" s="206"/>
      <c r="AI81" s="206"/>
      <c r="AJ81" s="206"/>
      <c r="AK81" s="206"/>
      <c r="AL81" s="206"/>
      <c r="AM81" s="206"/>
      <c r="AN81" s="206"/>
      <c r="AO81" s="206"/>
      <c r="AP81" s="206"/>
      <c r="AX81" s="17"/>
      <c r="AY81" s="17"/>
      <c r="AZ81" s="206"/>
      <c r="BB81" s="3" t="s">
        <v>22</v>
      </c>
      <c r="BC81" s="3" t="s">
        <v>23</v>
      </c>
      <c r="BD81" s="14"/>
      <c r="BE81" s="14"/>
      <c r="BF81" s="14"/>
      <c r="BG81" s="17"/>
      <c r="BH81" s="20"/>
      <c r="BI81" s="11"/>
      <c r="BJ81" s="67"/>
      <c r="BK81" s="181"/>
      <c r="BL81" s="1"/>
      <c r="BM81" s="3"/>
      <c r="BP81" s="1"/>
      <c r="BQ81" s="1"/>
      <c r="BR81" s="1"/>
      <c r="BS81" s="62"/>
      <c r="BT81" s="62"/>
      <c r="BU81" s="62"/>
      <c r="BV81" s="62"/>
      <c r="BW81" s="62"/>
      <c r="BX81" s="62"/>
      <c r="BY81" s="206"/>
      <c r="BZ81" s="206"/>
      <c r="CA81" s="206"/>
      <c r="CB81" s="206"/>
      <c r="CC81" s="206"/>
      <c r="CD81" s="206"/>
      <c r="CE81" s="206"/>
      <c r="CF81" s="206"/>
      <c r="CG81" s="206"/>
      <c r="CH81" s="206"/>
      <c r="CI81" s="206"/>
      <c r="CJ81" s="206"/>
      <c r="CK81" s="206"/>
      <c r="CL81" s="206"/>
      <c r="CM81" s="206"/>
      <c r="CN81" s="206"/>
      <c r="CO81" s="206"/>
      <c r="CP81" s="55"/>
      <c r="CQ81" s="55"/>
      <c r="CR81" s="55"/>
      <c r="CS81" s="55"/>
      <c r="CT81" s="55"/>
      <c r="CU81" s="55"/>
      <c r="CV81" s="55"/>
      <c r="CW81" s="55"/>
    </row>
    <row r="82" spans="1:103">
      <c r="A82" s="2">
        <f>IF(Ergebnisse!A82="","",Ergebnisse!A82)</f>
        <v>89</v>
      </c>
      <c r="B82" s="6">
        <f>IF(Ergebnisse!B82="","",Ergebnisse!B82)</f>
        <v>46207.708333333336</v>
      </c>
      <c r="C82" s="6" t="str">
        <f>IF(Ergebnisse!C82="","",Ergebnisse!C82)</f>
        <v>Philadelphia</v>
      </c>
      <c r="D82" s="258" t="s">
        <v>67</v>
      </c>
      <c r="E82" s="15"/>
      <c r="F82" s="258" t="s">
        <v>252</v>
      </c>
      <c r="G82" s="3"/>
      <c r="H82" s="107">
        <v>3</v>
      </c>
      <c r="I82" s="11" t="s">
        <v>25</v>
      </c>
      <c r="J82" s="107">
        <v>1</v>
      </c>
      <c r="L82" s="1"/>
      <c r="M82" s="260" t="s">
        <v>67</v>
      </c>
      <c r="N82" s="1"/>
      <c r="O82" s="1"/>
      <c r="P82" s="14"/>
      <c r="Q82" s="3"/>
      <c r="R82" s="3"/>
      <c r="S82" s="62"/>
      <c r="T82" s="62"/>
      <c r="U82" s="62"/>
      <c r="V82" s="62"/>
      <c r="W82" s="62"/>
      <c r="Y82" s="206"/>
      <c r="Z82" s="206"/>
      <c r="AA82" s="206"/>
      <c r="AB82" s="206"/>
      <c r="AC82" s="206"/>
      <c r="AI82" s="206"/>
      <c r="AJ82" s="206"/>
      <c r="AK82" s="206"/>
      <c r="AL82" s="206"/>
      <c r="AM82" s="206"/>
      <c r="AN82" s="206"/>
      <c r="AO82" s="206"/>
      <c r="AP82" s="206"/>
      <c r="AX82" s="17">
        <f ca="1">IF(AY82="",0,IF($CX$97="",2*(D82=Ergebnisse!D82)+2*(F82=Ergebnisse!F82)+(SIGN(H82-J82)=SIGN(Ergebnisse!H82-Ergebnisse!J82))*7+(H82=Ergebnisse!H82)+(J82=Ergebnisse!J82),INT(RAND()*14)))</f>
        <v>0</v>
      </c>
      <c r="AY82" s="17" t="str">
        <f ca="1">IF(Ergebnisse!K82=Ergebnisse!$B$98,Ergebnisse!K82,"")</f>
        <v>ok</v>
      </c>
      <c r="AZ82" s="206"/>
      <c r="BA82" s="2">
        <f>IF(Ergebnisse!BA82="","",Ergebnisse!BA82)</f>
        <v>97</v>
      </c>
      <c r="BB82" s="6">
        <f>IF(Ergebnisse!BB82="","",Ergebnisse!BB82)</f>
        <v>46212.666666666664</v>
      </c>
      <c r="BC82" s="6" t="str">
        <f>IF(Ergebnisse!BC82="","",Ergebnisse!BC82)</f>
        <v>Boston</v>
      </c>
      <c r="BD82" s="41" t="s">
        <v>67</v>
      </c>
      <c r="BE82" s="15"/>
      <c r="BF82" s="41" t="s">
        <v>215</v>
      </c>
      <c r="BG82" s="14"/>
      <c r="BH82" s="107">
        <v>3</v>
      </c>
      <c r="BI82" s="11" t="s">
        <v>25</v>
      </c>
      <c r="BJ82" s="107">
        <v>2</v>
      </c>
      <c r="BL82" s="1"/>
      <c r="BM82" s="42" t="s">
        <v>67</v>
      </c>
      <c r="BN82" s="1"/>
      <c r="BO82" s="1"/>
      <c r="BQ82" s="1"/>
      <c r="BR82" s="1"/>
      <c r="BS82" s="62"/>
      <c r="BT82" s="62"/>
      <c r="BU82" s="62"/>
      <c r="BV82" s="62"/>
      <c r="BW82" s="62"/>
      <c r="BX82" s="62"/>
      <c r="BY82" s="206"/>
      <c r="BZ82" s="206"/>
      <c r="CA82" s="206"/>
      <c r="CB82" s="206"/>
      <c r="CC82" s="206"/>
      <c r="CD82" s="206"/>
      <c r="CE82" s="206"/>
      <c r="CF82" s="206"/>
      <c r="CG82" s="206"/>
      <c r="CH82" s="206"/>
      <c r="CI82" s="206"/>
      <c r="CJ82" s="206"/>
      <c r="CK82" s="206"/>
      <c r="CL82" s="206"/>
      <c r="CM82" s="206"/>
      <c r="CN82" s="206"/>
      <c r="CO82" s="206"/>
      <c r="CP82" s="55"/>
      <c r="CQ82" s="55"/>
      <c r="CR82" s="55"/>
      <c r="CS82" s="55"/>
      <c r="CT82" s="55"/>
      <c r="CU82" s="55"/>
      <c r="CV82" s="55"/>
      <c r="CW82" s="55"/>
      <c r="CX82" s="17">
        <f ca="1">IF(CY82="",0,IF($CX$97="",IF(BD82=Ergebnisse!BD82,3,IF(COUNTIF(Ergebnisse!$BD$82:$BF$85,BD82)&gt;0,1,0))+IF(BF82=Ergebnisse!BF82,3,IF(COUNTIF(Ergebnisse!$BD$82:$BF$85,BF82)&gt;0,1,0))+(SIGN(BH82-BJ82)=SIGN(Ergebnisse!BH82-Ergebnisse!BJ82))*7+(BH82=Ergebnisse!BH82)+(BJ82=Ergebnisse!BJ82),INT(RAND()*16)))</f>
        <v>9</v>
      </c>
      <c r="CY82" s="17" t="str">
        <f ca="1">IF(Ergebnisse!BK82=Ergebnisse!$B$98,Ergebnisse!BK82,"")</f>
        <v>ok</v>
      </c>
    </row>
    <row r="83" spans="1:103">
      <c r="A83" s="2">
        <f>IF(Ergebnisse!A83="","",Ergebnisse!A83)</f>
        <v>90</v>
      </c>
      <c r="B83" s="6">
        <f>IF(Ergebnisse!B83="","",Ergebnisse!B83)</f>
        <v>46207.5</v>
      </c>
      <c r="C83" s="6" t="str">
        <f>IF(Ergebnisse!C83="","",Ergebnisse!C83)</f>
        <v>Houston</v>
      </c>
      <c r="D83" s="258" t="s">
        <v>68</v>
      </c>
      <c r="E83" s="15"/>
      <c r="F83" s="258" t="s">
        <v>215</v>
      </c>
      <c r="G83" s="3"/>
      <c r="H83" s="107">
        <v>1</v>
      </c>
      <c r="I83" s="11" t="s">
        <v>25</v>
      </c>
      <c r="J83" s="107">
        <v>2</v>
      </c>
      <c r="L83" s="1"/>
      <c r="M83" s="260" t="s">
        <v>215</v>
      </c>
      <c r="N83" s="1"/>
      <c r="O83" s="1"/>
      <c r="P83" s="14"/>
      <c r="Q83" s="3"/>
      <c r="R83" s="3"/>
      <c r="S83" s="62"/>
      <c r="T83" s="62"/>
      <c r="U83" s="62"/>
      <c r="V83" s="62"/>
      <c r="W83" s="62"/>
      <c r="Y83" s="206"/>
      <c r="Z83" s="206"/>
      <c r="AA83" s="206"/>
      <c r="AB83" s="206"/>
      <c r="AC83" s="206"/>
      <c r="AI83" s="206"/>
      <c r="AJ83" s="206"/>
      <c r="AK83" s="206"/>
      <c r="AL83" s="206"/>
      <c r="AM83" s="206"/>
      <c r="AN83" s="206"/>
      <c r="AO83" s="206"/>
      <c r="AP83" s="206"/>
      <c r="AX83" s="17">
        <f ca="1">IF(AY83="",0,IF($CX$97="",2*(D83=Ergebnisse!D83)+2*(F83=Ergebnisse!F83)+(SIGN(H83-J83)=SIGN(Ergebnisse!H83-Ergebnisse!J83))*7+(H83=Ergebnisse!H83)+(J83=Ergebnisse!J83),INT(RAND()*14)))</f>
        <v>9</v>
      </c>
      <c r="AY83" s="17" t="str">
        <f ca="1">IF(Ergebnisse!K83=Ergebnisse!$B$98,Ergebnisse!K83,"")</f>
        <v>ok</v>
      </c>
      <c r="AZ83" s="206"/>
      <c r="BA83" s="2">
        <f>IF(Ergebnisse!BA83="","",Ergebnisse!BA83)</f>
        <v>98</v>
      </c>
      <c r="BB83" s="6">
        <f>IF(Ergebnisse!BB83="","",Ergebnisse!BB83)</f>
        <v>46213.5</v>
      </c>
      <c r="BC83" s="6" t="str">
        <f>IF(Ergebnisse!BC83="","",Ergebnisse!BC83)</f>
        <v>Los Angeles</v>
      </c>
      <c r="BD83" s="70" t="s">
        <v>66</v>
      </c>
      <c r="BE83" s="40"/>
      <c r="BF83" s="70" t="s">
        <v>186</v>
      </c>
      <c r="BG83" s="14"/>
      <c r="BH83" s="107">
        <v>4</v>
      </c>
      <c r="BI83" s="11" t="s">
        <v>25</v>
      </c>
      <c r="BJ83" s="107">
        <v>2</v>
      </c>
      <c r="BL83" s="1"/>
      <c r="BM83" s="69" t="s">
        <v>66</v>
      </c>
      <c r="BN83" s="1"/>
      <c r="BO83" s="1"/>
      <c r="BQ83" s="1"/>
      <c r="BR83" s="1"/>
      <c r="BS83" s="62"/>
      <c r="BT83" s="62"/>
      <c r="BU83" s="62"/>
      <c r="BV83" s="62"/>
      <c r="BW83" s="62"/>
      <c r="BX83" s="62"/>
      <c r="BY83" s="206"/>
      <c r="BZ83" s="206"/>
      <c r="CA83" s="206"/>
      <c r="CB83" s="206"/>
      <c r="CC83" s="206"/>
      <c r="CD83" s="206"/>
      <c r="CE83" s="206"/>
      <c r="CF83" s="206"/>
      <c r="CG83" s="206"/>
      <c r="CH83" s="206"/>
      <c r="CI83" s="206"/>
      <c r="CJ83" s="206"/>
      <c r="CK83" s="206"/>
      <c r="CL83" s="206"/>
      <c r="CM83" s="206"/>
      <c r="CN83" s="206"/>
      <c r="CO83" s="206"/>
      <c r="CP83" s="55"/>
      <c r="CQ83" s="55"/>
      <c r="CR83" s="55"/>
      <c r="CS83" s="55"/>
      <c r="CT83" s="55"/>
      <c r="CU83" s="55"/>
      <c r="CV83" s="55"/>
      <c r="CW83" s="55"/>
      <c r="CX83" s="17">
        <f ca="1">IF(CY83="",0,IF($CX$97="",IF(BD83=Ergebnisse!BD83,3,IF(COUNTIF(Ergebnisse!$BD$82:$BF$85,BD83)&gt;0,1,0))+IF(BF83=Ergebnisse!BF83,3,IF(COUNTIF(Ergebnisse!$BD$82:$BF$85,BF83)&gt;0,1,0))+(SIGN(BH83-BJ83)=SIGN(Ergebnisse!BH83-Ergebnisse!BJ83))*7+(BH83=Ergebnisse!BH83)+(BJ83=Ergebnisse!BJ83),INT(RAND()*16)))</f>
        <v>9</v>
      </c>
      <c r="CY83" s="17" t="str">
        <f ca="1">IF(Ergebnisse!BK83=Ergebnisse!$B$98,Ergebnisse!BK83,"")</f>
        <v>ok</v>
      </c>
    </row>
    <row r="84" spans="1:103">
      <c r="A84" s="2">
        <f>IF(Ergebnisse!A84="","",Ergebnisse!A84)</f>
        <v>91</v>
      </c>
      <c r="B84" s="6">
        <f>IF(Ergebnisse!B84="","",Ergebnisse!B84)</f>
        <v>46208.666666666664</v>
      </c>
      <c r="C84" s="6" t="str">
        <f>IF(Ergebnisse!C84="","",Ergebnisse!C84)</f>
        <v>New York</v>
      </c>
      <c r="D84" s="261" t="s">
        <v>213</v>
      </c>
      <c r="E84" s="15"/>
      <c r="F84" s="261" t="s">
        <v>69</v>
      </c>
      <c r="G84" s="3"/>
      <c r="H84" s="107">
        <v>2</v>
      </c>
      <c r="I84" s="11" t="s">
        <v>25</v>
      </c>
      <c r="J84" s="107">
        <v>3</v>
      </c>
      <c r="L84" s="1"/>
      <c r="M84" s="263" t="s">
        <v>69</v>
      </c>
      <c r="N84" s="1"/>
      <c r="O84" s="1"/>
      <c r="P84" s="14"/>
      <c r="Q84" s="3"/>
      <c r="R84" s="3"/>
      <c r="S84" s="62"/>
      <c r="T84" s="62"/>
      <c r="U84" s="62"/>
      <c r="V84" s="62"/>
      <c r="W84" s="62"/>
      <c r="Y84" s="206"/>
      <c r="Z84" s="206"/>
      <c r="AA84" s="206"/>
      <c r="AB84" s="206"/>
      <c r="AC84" s="206"/>
      <c r="AI84" s="206"/>
      <c r="AJ84" s="206"/>
      <c r="AK84" s="206"/>
      <c r="AL84" s="206"/>
      <c r="AM84" s="206"/>
      <c r="AN84" s="206"/>
      <c r="AO84" s="206"/>
      <c r="AP84" s="206"/>
      <c r="AX84" s="17">
        <f ca="1">IF(AY84="",0,IF($CX$97="",2*(D84=Ergebnisse!D84)+2*(F84=Ergebnisse!F84)+(SIGN(H84-J84)=SIGN(Ergebnisse!H84-Ergebnisse!J84))*7+(H84=Ergebnisse!H84)+(J84=Ergebnisse!J84),INT(RAND()*14)))</f>
        <v>7</v>
      </c>
      <c r="AY84" s="17" t="str">
        <f ca="1">IF(Ergebnisse!K84=Ergebnisse!$B$98,Ergebnisse!K84,"")</f>
        <v>ok</v>
      </c>
      <c r="AZ84" s="206"/>
      <c r="BA84" s="2">
        <f>IF(Ergebnisse!BA84="","",Ergebnisse!BA84)</f>
        <v>99</v>
      </c>
      <c r="BB84" s="6">
        <f>IF(Ergebnisse!BB84="","",Ergebnisse!BB84)</f>
        <v>46214.708333333336</v>
      </c>
      <c r="BC84" s="6" t="str">
        <f>IF(Ergebnisse!BC84="","",Ergebnisse!BC84)</f>
        <v>Miami</v>
      </c>
      <c r="BD84" s="45" t="s">
        <v>69</v>
      </c>
      <c r="BE84" s="40"/>
      <c r="BF84" s="45" t="s">
        <v>201</v>
      </c>
      <c r="BG84" s="14"/>
      <c r="BH84" s="107">
        <v>3</v>
      </c>
      <c r="BI84" s="11" t="s">
        <v>25</v>
      </c>
      <c r="BJ84" s="107">
        <v>1</v>
      </c>
      <c r="BL84" s="1"/>
      <c r="BM84" s="46" t="s">
        <v>69</v>
      </c>
      <c r="BN84" s="1"/>
      <c r="BO84" s="1"/>
      <c r="BP84" s="1"/>
      <c r="BQ84" s="1"/>
      <c r="BR84" s="1"/>
      <c r="BS84" s="62"/>
      <c r="BT84" s="62"/>
      <c r="BU84" s="62"/>
      <c r="BV84" s="62"/>
      <c r="BW84" s="62"/>
      <c r="BX84" s="62"/>
      <c r="BY84" s="206"/>
      <c r="BZ84" s="206"/>
      <c r="CA84" s="206"/>
      <c r="CB84" s="206"/>
      <c r="CC84" s="206"/>
      <c r="CD84" s="206"/>
      <c r="CE84" s="206"/>
      <c r="CF84" s="206"/>
      <c r="CG84" s="206"/>
      <c r="CH84" s="206"/>
      <c r="CI84" s="206"/>
      <c r="CJ84" s="206"/>
      <c r="CK84" s="206"/>
      <c r="CL84" s="206"/>
      <c r="CM84" s="206"/>
      <c r="CN84" s="206"/>
      <c r="CO84" s="206"/>
      <c r="CP84" s="55"/>
      <c r="CQ84" s="55"/>
      <c r="CR84" s="55"/>
      <c r="CS84" s="55"/>
      <c r="CT84" s="55"/>
      <c r="CU84" s="55"/>
      <c r="CV84" s="55"/>
      <c r="CW84" s="55"/>
      <c r="CX84" s="17">
        <f ca="1">IF(CY84="",0,IF($CX$97="",IF(BD84=Ergebnisse!BD84,3,IF(COUNTIF(Ergebnisse!$BD$82:$BF$85,BD84)&gt;0,1,0))+IF(BF84=Ergebnisse!BF84,3,IF(COUNTIF(Ergebnisse!$BD$82:$BF$85,BF84)&gt;0,1,0))+(SIGN(BH84-BJ84)=SIGN(Ergebnisse!BH84-Ergebnisse!BJ84))*7+(BH84=Ergebnisse!BH84)+(BJ84=Ergebnisse!BJ84),INT(RAND()*16)))</f>
        <v>1</v>
      </c>
      <c r="CY84" s="17" t="str">
        <f ca="1">IF(Ergebnisse!BK84=Ergebnisse!$B$98,Ergebnisse!BK84,"")</f>
        <v>ok</v>
      </c>
    </row>
    <row r="85" spans="1:103">
      <c r="A85" s="2">
        <f>IF(Ergebnisse!A85="","",Ergebnisse!A85)</f>
        <v>92</v>
      </c>
      <c r="B85" s="6">
        <f>IF(Ergebnisse!B85="","",Ergebnisse!B85)</f>
        <v>46208.791666666672</v>
      </c>
      <c r="C85" s="6" t="str">
        <f>IF(Ergebnisse!C85="","",Ergebnisse!C85)</f>
        <v>Mexico City</v>
      </c>
      <c r="D85" s="261" t="s">
        <v>201</v>
      </c>
      <c r="E85" s="15"/>
      <c r="F85" s="261" t="s">
        <v>188</v>
      </c>
      <c r="G85" s="3"/>
      <c r="H85" s="107">
        <v>2</v>
      </c>
      <c r="I85" s="11" t="s">
        <v>25</v>
      </c>
      <c r="J85" s="107">
        <v>0</v>
      </c>
      <c r="L85" s="1"/>
      <c r="M85" s="263" t="s">
        <v>201</v>
      </c>
      <c r="N85" s="1"/>
      <c r="O85" s="1"/>
      <c r="P85" s="14"/>
      <c r="Q85" s="3"/>
      <c r="R85" s="3"/>
      <c r="S85" s="62"/>
      <c r="T85" s="62"/>
      <c r="U85" s="62"/>
      <c r="V85" s="62"/>
      <c r="W85" s="62"/>
      <c r="Y85" s="206"/>
      <c r="Z85" s="206"/>
      <c r="AA85" s="206"/>
      <c r="AB85" s="206"/>
      <c r="AC85" s="206"/>
      <c r="AI85" s="206"/>
      <c r="AJ85" s="206"/>
      <c r="AK85" s="206"/>
      <c r="AL85" s="206"/>
      <c r="AM85" s="206"/>
      <c r="AN85" s="206"/>
      <c r="AO85" s="206"/>
      <c r="AP85" s="206"/>
      <c r="AX85" s="17">
        <f ca="1">IF(AY85="",0,IF($CX$97="",2*(D85=Ergebnisse!D85)+2*(F85=Ergebnisse!F85)+(SIGN(H85-J85)=SIGN(Ergebnisse!H85-Ergebnisse!J85))*7+(H85=Ergebnisse!H85)+(J85=Ergebnisse!J85),INT(RAND()*14)))</f>
        <v>7</v>
      </c>
      <c r="AY85" s="17" t="str">
        <f ca="1">IF(Ergebnisse!K85=Ergebnisse!$B$98,Ergebnisse!K85,"")</f>
        <v>ok</v>
      </c>
      <c r="AZ85" s="206"/>
      <c r="BA85" s="2">
        <f>IF(Ergebnisse!BA85="","",Ergebnisse!BA85)</f>
        <v>100</v>
      </c>
      <c r="BB85" s="6">
        <f>IF(Ergebnisse!BB85="","",Ergebnisse!BB85)</f>
        <v>46214.833333333336</v>
      </c>
      <c r="BC85" s="6" t="str">
        <f>IF(Ergebnisse!BC85="","",Ergebnisse!BC85)</f>
        <v>Kansas City</v>
      </c>
      <c r="BD85" s="43" t="s">
        <v>221</v>
      </c>
      <c r="BE85" s="15"/>
      <c r="BF85" s="43" t="s">
        <v>190</v>
      </c>
      <c r="BG85" s="14"/>
      <c r="BH85" s="107">
        <v>2</v>
      </c>
      <c r="BI85" s="11" t="s">
        <v>25</v>
      </c>
      <c r="BJ85" s="107">
        <v>1</v>
      </c>
      <c r="BL85" s="1"/>
      <c r="BM85" s="44" t="s">
        <v>221</v>
      </c>
      <c r="BN85" s="1"/>
      <c r="BO85" s="1"/>
      <c r="BP85" s="1"/>
      <c r="BQ85" s="1"/>
      <c r="BR85" s="1"/>
      <c r="BS85" s="62"/>
      <c r="BT85" s="62"/>
      <c r="BU85" s="62"/>
      <c r="BV85" s="62"/>
      <c r="BW85" s="62"/>
      <c r="BX85" s="62"/>
      <c r="BY85" s="206"/>
      <c r="BZ85" s="206"/>
      <c r="CA85" s="206"/>
      <c r="CB85" s="206"/>
      <c r="CC85" s="206"/>
      <c r="CD85" s="206"/>
      <c r="CE85" s="206"/>
      <c r="CF85" s="206"/>
      <c r="CG85" s="206"/>
      <c r="CH85" s="206"/>
      <c r="CI85" s="206"/>
      <c r="CJ85" s="206"/>
      <c r="CK85" s="206"/>
      <c r="CL85" s="206"/>
      <c r="CM85" s="206"/>
      <c r="CN85" s="206"/>
      <c r="CO85" s="206"/>
      <c r="CP85" s="55"/>
      <c r="CQ85" s="55"/>
      <c r="CR85" s="55"/>
      <c r="CS85" s="55"/>
      <c r="CT85" s="55"/>
      <c r="CU85" s="55"/>
      <c r="CV85" s="55"/>
      <c r="CW85" s="55"/>
      <c r="CX85" s="17">
        <f ca="1">IF(CY85="",0,IF($CX$97="",IF(BD85=Ergebnisse!BD85,3,IF(COUNTIF(Ergebnisse!$BD$82:$BF$85,BD85)&gt;0,1,0))+IF(BF85=Ergebnisse!BF85,3,IF(COUNTIF(Ergebnisse!$BD$82:$BF$85,BF85)&gt;0,1,0))+(SIGN(BH85-BJ85)=SIGN(Ergebnisse!BH85-Ergebnisse!BJ85))*7+(BH85=Ergebnisse!BH85)+(BJ85=Ergebnisse!BJ85),INT(RAND()*16)))</f>
        <v>0</v>
      </c>
      <c r="CY85" s="17" t="str">
        <f ca="1">IF(Ergebnisse!BK85=Ergebnisse!$B$98,Ergebnisse!BK85,"")</f>
        <v>ok</v>
      </c>
    </row>
    <row r="86" spans="1:103">
      <c r="A86" s="2">
        <f>IF(Ergebnisse!A86="","",Ergebnisse!A86)</f>
        <v>93</v>
      </c>
      <c r="B86" s="6">
        <f>IF(Ergebnisse!B86="","",Ergebnisse!B86)</f>
        <v>46209.583333333336</v>
      </c>
      <c r="C86" s="6" t="str">
        <f>IF(Ergebnisse!C86="","",Ergebnisse!C86)</f>
        <v>Dallas</v>
      </c>
      <c r="D86" s="256" t="s">
        <v>70</v>
      </c>
      <c r="E86" s="15"/>
      <c r="F86" s="256" t="s">
        <v>66</v>
      </c>
      <c r="G86" s="3"/>
      <c r="H86" s="107">
        <v>1</v>
      </c>
      <c r="I86" s="11" t="s">
        <v>25</v>
      </c>
      <c r="J86" s="107">
        <v>3</v>
      </c>
      <c r="L86" s="1"/>
      <c r="M86" s="257" t="s">
        <v>66</v>
      </c>
      <c r="N86" s="1"/>
      <c r="O86" s="1"/>
      <c r="P86" s="14"/>
      <c r="Q86" s="3"/>
      <c r="R86" s="3"/>
      <c r="S86" s="62"/>
      <c r="T86" s="62"/>
      <c r="U86" s="62"/>
      <c r="V86" s="62"/>
      <c r="W86" s="62"/>
      <c r="Y86" s="206"/>
      <c r="Z86" s="206"/>
      <c r="AA86" s="206"/>
      <c r="AB86" s="206"/>
      <c r="AC86" s="206"/>
      <c r="AI86" s="206"/>
      <c r="AJ86" s="206"/>
      <c r="AK86" s="206"/>
      <c r="AL86" s="206"/>
      <c r="AM86" s="206"/>
      <c r="AN86" s="206"/>
      <c r="AO86" s="206"/>
      <c r="AP86" s="206"/>
      <c r="AX86" s="17">
        <f ca="1">IF(AY86="",0,IF($CX$97="",2*(D86=Ergebnisse!D86)+2*(F86=Ergebnisse!F86)+(SIGN(H86-J86)=SIGN(Ergebnisse!H86-Ergebnisse!J86))*7+(H86=Ergebnisse!H86)+(J86=Ergebnisse!J86),INT(RAND()*14)))</f>
        <v>1</v>
      </c>
      <c r="AY86" s="17" t="str">
        <f ca="1">IF(Ergebnisse!K86=Ergebnisse!$B$98,Ergebnisse!K86,"")</f>
        <v>ok</v>
      </c>
      <c r="AZ86" s="206"/>
      <c r="BB86" s="6"/>
      <c r="BC86" s="6"/>
      <c r="BD86" s="6"/>
      <c r="BE86" s="6"/>
      <c r="BF86" s="6"/>
      <c r="BG86" s="6"/>
      <c r="BH86" s="6"/>
      <c r="BI86" s="6"/>
      <c r="BJ86" s="6"/>
      <c r="BK86" s="6"/>
      <c r="BL86" s="6"/>
      <c r="BM86" s="6"/>
      <c r="BN86" s="6"/>
      <c r="BO86" s="1"/>
      <c r="BP86" s="1"/>
      <c r="BQ86" s="1"/>
      <c r="BR86" s="1"/>
      <c r="BS86" s="62"/>
      <c r="BT86" s="62"/>
      <c r="BU86" s="62"/>
      <c r="BV86" s="62"/>
      <c r="BW86" s="62"/>
      <c r="BX86" s="62"/>
      <c r="BY86" s="206"/>
      <c r="BZ86" s="206"/>
      <c r="CA86" s="206"/>
      <c r="CB86" s="206"/>
      <c r="CC86" s="206"/>
      <c r="CD86" s="206"/>
      <c r="CE86" s="206"/>
      <c r="CF86" s="206"/>
      <c r="CG86" s="206"/>
      <c r="CH86" s="206"/>
      <c r="CI86" s="206"/>
      <c r="CJ86" s="206"/>
      <c r="CK86" s="206"/>
      <c r="CL86" s="206"/>
      <c r="CM86" s="206"/>
      <c r="CN86" s="206"/>
      <c r="CO86" s="206"/>
      <c r="CP86" s="55"/>
      <c r="CQ86" s="55"/>
      <c r="CR86" s="55"/>
      <c r="CS86" s="55"/>
      <c r="CT86" s="55"/>
      <c r="CU86" s="55"/>
      <c r="CV86" s="55"/>
      <c r="CW86" s="55"/>
      <c r="CX86" s="1"/>
    </row>
    <row r="87" spans="1:103">
      <c r="A87" s="2">
        <f>IF(Ergebnisse!A87="","",Ergebnisse!A87)</f>
        <v>94</v>
      </c>
      <c r="B87" s="6">
        <f>IF(Ergebnisse!B87="","",Ergebnisse!B87)</f>
        <v>46209.708333333336</v>
      </c>
      <c r="C87" s="6" t="str">
        <f>IF(Ergebnisse!C87="","",Ergebnisse!C87)</f>
        <v>Seattle</v>
      </c>
      <c r="D87" s="256" t="s">
        <v>249</v>
      </c>
      <c r="E87" s="15"/>
      <c r="F87" s="256" t="s">
        <v>186</v>
      </c>
      <c r="G87" s="3"/>
      <c r="H87" s="107">
        <v>0</v>
      </c>
      <c r="I87" s="11" t="s">
        <v>25</v>
      </c>
      <c r="J87" s="107">
        <v>1</v>
      </c>
      <c r="L87" s="1"/>
      <c r="M87" s="257" t="s">
        <v>186</v>
      </c>
      <c r="N87" s="1"/>
      <c r="O87" s="1"/>
      <c r="P87" s="14"/>
      <c r="Q87" s="3"/>
      <c r="R87" s="3"/>
      <c r="S87" s="62"/>
      <c r="T87" s="62"/>
      <c r="U87" s="62"/>
      <c r="V87" s="62"/>
      <c r="W87" s="62"/>
      <c r="Y87" s="206"/>
      <c r="Z87" s="206"/>
      <c r="AA87" s="206"/>
      <c r="AB87" s="206"/>
      <c r="AC87" s="206"/>
      <c r="AI87" s="206"/>
      <c r="AJ87" s="206"/>
      <c r="AK87" s="206"/>
      <c r="AL87" s="206"/>
      <c r="AM87" s="206"/>
      <c r="AN87" s="206"/>
      <c r="AO87" s="206"/>
      <c r="AP87" s="206"/>
      <c r="AX87" s="17">
        <f ca="1">IF(AY87="",0,IF($CX$97="",2*(D87=Ergebnisse!D87)+2*(F87=Ergebnisse!F87)+(SIGN(H87-J87)=SIGN(Ergebnisse!H87-Ergebnisse!J87))*7+(H87=Ergebnisse!H87)+(J87=Ergebnisse!J87),INT(RAND()*14)))</f>
        <v>7</v>
      </c>
      <c r="AY87" s="17" t="str">
        <f ca="1">IF(Ergebnisse!K87=Ergebnisse!$B$98,Ergebnisse!K87,"")</f>
        <v>ok</v>
      </c>
      <c r="AZ87" s="206"/>
      <c r="BB87" s="47" t="s">
        <v>55</v>
      </c>
      <c r="BC87" s="21"/>
      <c r="BD87" s="14"/>
      <c r="BE87" s="14"/>
      <c r="BF87" s="14"/>
      <c r="BG87" s="17"/>
      <c r="BH87" s="20"/>
      <c r="BI87" s="19"/>
      <c r="BJ87" s="20"/>
      <c r="BK87" s="181"/>
      <c r="BL87" s="17"/>
      <c r="BM87" s="21"/>
      <c r="BN87" s="17"/>
      <c r="BO87" s="17"/>
      <c r="BP87" s="17"/>
      <c r="BQ87" s="1"/>
      <c r="BR87" s="1"/>
      <c r="BS87" s="62"/>
      <c r="BT87" s="62"/>
      <c r="BU87" s="62"/>
      <c r="BV87" s="62"/>
      <c r="BW87" s="62"/>
      <c r="BX87" s="62"/>
      <c r="BY87" s="206"/>
      <c r="BZ87" s="206"/>
      <c r="CA87" s="206"/>
      <c r="CB87" s="206"/>
      <c r="CC87" s="206"/>
      <c r="CD87" s="206"/>
      <c r="CE87" s="206"/>
      <c r="CF87" s="206"/>
      <c r="CG87" s="206"/>
      <c r="CH87" s="206"/>
      <c r="CI87" s="206"/>
      <c r="CJ87" s="206"/>
      <c r="CK87" s="206"/>
      <c r="CL87" s="206"/>
      <c r="CM87" s="206"/>
      <c r="CN87" s="206"/>
      <c r="CO87" s="206"/>
      <c r="CP87" s="55"/>
      <c r="CQ87" s="55"/>
      <c r="CR87" s="55"/>
      <c r="CS87" s="55"/>
      <c r="CT87" s="55"/>
      <c r="CU87" s="55"/>
      <c r="CV87" s="55"/>
      <c r="CW87" s="55"/>
      <c r="CY87" s="17"/>
    </row>
    <row r="88" spans="1:103">
      <c r="A88" s="2">
        <f>IF(Ergebnisse!A88="","",Ergebnisse!A88)</f>
        <v>95</v>
      </c>
      <c r="B88" s="6">
        <f>IF(Ergebnisse!B88="","",Ergebnisse!B88)</f>
        <v>46210.5</v>
      </c>
      <c r="C88" s="6" t="str">
        <f>IF(Ergebnisse!C88="","",Ergebnisse!C88)</f>
        <v>Atlanta</v>
      </c>
      <c r="D88" s="259" t="s">
        <v>221</v>
      </c>
      <c r="E88" s="15"/>
      <c r="F88" s="259" t="s">
        <v>202</v>
      </c>
      <c r="G88" s="3"/>
      <c r="H88" s="107">
        <v>3</v>
      </c>
      <c r="I88" s="11" t="s">
        <v>25</v>
      </c>
      <c r="J88" s="107">
        <v>2</v>
      </c>
      <c r="L88" s="1"/>
      <c r="M88" s="262" t="s">
        <v>221</v>
      </c>
      <c r="N88" s="1"/>
      <c r="O88" s="1"/>
      <c r="P88" s="14"/>
      <c r="Q88" s="3"/>
      <c r="R88" s="3"/>
      <c r="S88" s="62"/>
      <c r="T88" s="62"/>
      <c r="U88" s="62"/>
      <c r="V88" s="62"/>
      <c r="W88" s="62"/>
      <c r="Y88" s="206"/>
      <c r="Z88" s="206"/>
      <c r="AA88" s="206"/>
      <c r="AB88" s="206"/>
      <c r="AC88" s="206"/>
      <c r="AI88" s="206"/>
      <c r="AJ88" s="206"/>
      <c r="AK88" s="206"/>
      <c r="AL88" s="206"/>
      <c r="AM88" s="206"/>
      <c r="AN88" s="206"/>
      <c r="AO88" s="206"/>
      <c r="AP88" s="206"/>
      <c r="AX88" s="17">
        <f ca="1">IF(AY88="",0,IF($CX$97="",2*(D88=Ergebnisse!D88)+2*(F88=Ergebnisse!F88)+(SIGN(H88-J88)=SIGN(Ergebnisse!H88-Ergebnisse!J88))*7+(H88=Ergebnisse!H88)+(J88=Ergebnisse!J88),INT(RAND()*14)))</f>
        <v>2</v>
      </c>
      <c r="AY88" s="17" t="str">
        <f ca="1">IF(Ergebnisse!K88=Ergebnisse!$B$98,Ergebnisse!K88,"")</f>
        <v>ok</v>
      </c>
      <c r="AZ88" s="206"/>
      <c r="BB88" s="3" t="s">
        <v>22</v>
      </c>
      <c r="BC88" s="3" t="s">
        <v>23</v>
      </c>
      <c r="BD88" s="14"/>
      <c r="BE88" s="14"/>
      <c r="BF88" s="14"/>
      <c r="BG88" s="17"/>
      <c r="BH88" s="20"/>
      <c r="BI88" s="11"/>
      <c r="BJ88" s="20"/>
      <c r="BK88" s="181"/>
      <c r="BL88" s="1"/>
      <c r="BM88" s="3"/>
      <c r="BN88" s="1"/>
      <c r="BO88" s="1"/>
      <c r="BP88" s="1"/>
      <c r="BQ88" s="1"/>
      <c r="BR88" s="1"/>
      <c r="BS88" s="62"/>
      <c r="BT88" s="62"/>
      <c r="BU88" s="62"/>
      <c r="BV88" s="62"/>
      <c r="BW88" s="62"/>
      <c r="BX88" s="62"/>
      <c r="BY88" s="206"/>
      <c r="BZ88" s="206"/>
      <c r="CA88" s="206"/>
      <c r="CB88" s="206"/>
      <c r="CC88" s="206"/>
      <c r="CD88" s="206"/>
      <c r="CE88" s="206"/>
      <c r="CF88" s="206"/>
      <c r="CG88" s="206"/>
      <c r="CH88" s="206"/>
      <c r="CI88" s="206"/>
      <c r="CJ88" s="206"/>
      <c r="CK88" s="206"/>
      <c r="CL88" s="206"/>
      <c r="CM88" s="206"/>
      <c r="CN88" s="206"/>
      <c r="CO88" s="206"/>
      <c r="CP88" s="55"/>
      <c r="CQ88" s="55"/>
      <c r="CR88" s="55"/>
      <c r="CS88" s="55"/>
      <c r="CT88" s="55"/>
      <c r="CU88" s="55"/>
      <c r="CV88" s="55"/>
      <c r="CW88" s="55"/>
      <c r="CY88" s="17"/>
    </row>
    <row r="89" spans="1:103">
      <c r="A89" s="2">
        <f>IF(Ergebnisse!A89="","",Ergebnisse!A89)</f>
        <v>96</v>
      </c>
      <c r="B89" s="6">
        <f>IF(Ergebnisse!B89="","",Ergebnisse!B89)</f>
        <v>46210.541666666664</v>
      </c>
      <c r="C89" s="6" t="str">
        <f>IF(Ergebnisse!C89="","",Ergebnisse!C89)</f>
        <v>Vancouver</v>
      </c>
      <c r="D89" s="259" t="s">
        <v>207</v>
      </c>
      <c r="E89" s="15"/>
      <c r="F89" s="259" t="s">
        <v>190</v>
      </c>
      <c r="G89" s="3"/>
      <c r="H89" s="107">
        <v>1</v>
      </c>
      <c r="I89" s="11" t="s">
        <v>25</v>
      </c>
      <c r="J89" s="107">
        <v>3</v>
      </c>
      <c r="L89" s="1"/>
      <c r="M89" s="262" t="s">
        <v>190</v>
      </c>
      <c r="N89" s="1"/>
      <c r="O89" s="1"/>
      <c r="P89" s="14"/>
      <c r="Q89" s="3"/>
      <c r="R89" s="3"/>
      <c r="S89" s="62"/>
      <c r="T89" s="62"/>
      <c r="U89" s="62"/>
      <c r="V89" s="62"/>
      <c r="W89" s="62"/>
      <c r="Y89" s="206"/>
      <c r="Z89" s="206"/>
      <c r="AA89" s="206"/>
      <c r="AB89" s="206"/>
      <c r="AC89" s="206"/>
      <c r="AI89" s="206"/>
      <c r="AJ89" s="206"/>
      <c r="AK89" s="206"/>
      <c r="AL89" s="206"/>
      <c r="AM89" s="206"/>
      <c r="AN89" s="206"/>
      <c r="AO89" s="206"/>
      <c r="AP89" s="206"/>
      <c r="AX89" s="17">
        <f ca="1">IF(AY89="",0,IF($CX$97="",2*(D89=Ergebnisse!D89)+2*(F89=Ergebnisse!F89)+(SIGN(H89-J89)=SIGN(Ergebnisse!H89-Ergebnisse!J89))*7+(H89=Ergebnisse!H89)+(J89=Ergebnisse!J89),INT(RAND()*14)))</f>
        <v>1</v>
      </c>
      <c r="AY89" s="17" t="str">
        <f ca="1">IF(Ergebnisse!K89=Ergebnisse!$B$98,Ergebnisse!K89,"")</f>
        <v>ok</v>
      </c>
      <c r="AZ89" s="206"/>
      <c r="BA89" s="2">
        <f>IF(Ergebnisse!BA89="","",Ergebnisse!BA89)</f>
        <v>101</v>
      </c>
      <c r="BB89" s="6">
        <f>IF(Ergebnisse!BB89="","",Ergebnisse!BB89)</f>
        <v>46217.583333333336</v>
      </c>
      <c r="BC89" s="6" t="str">
        <f>IF(Ergebnisse!BC89="","",Ergebnisse!BC89)</f>
        <v>Dallas</v>
      </c>
      <c r="BD89" s="18" t="s">
        <v>67</v>
      </c>
      <c r="BE89" s="15"/>
      <c r="BF89" s="71" t="s">
        <v>66</v>
      </c>
      <c r="BG89" s="17"/>
      <c r="BH89" s="107">
        <v>1</v>
      </c>
      <c r="BI89" s="11" t="s">
        <v>25</v>
      </c>
      <c r="BJ89" s="107">
        <v>3</v>
      </c>
      <c r="BL89" s="1"/>
      <c r="BM89" s="68" t="s">
        <v>66</v>
      </c>
      <c r="BN89" s="1"/>
      <c r="BO89" s="1"/>
      <c r="BP89" s="1"/>
      <c r="BQ89" s="1"/>
      <c r="BR89" s="1"/>
      <c r="BS89" s="62"/>
      <c r="BT89" s="62"/>
      <c r="BU89" s="62"/>
      <c r="BV89" s="62"/>
      <c r="BW89" s="62"/>
      <c r="BX89" s="62"/>
      <c r="BY89" s="206"/>
      <c r="BZ89" s="206"/>
      <c r="CA89" s="206"/>
      <c r="CB89" s="206"/>
      <c r="CC89" s="206"/>
      <c r="CD89" s="206"/>
      <c r="CE89" s="206"/>
      <c r="CF89" s="206"/>
      <c r="CG89" s="206"/>
      <c r="CH89" s="206"/>
      <c r="CI89" s="206"/>
      <c r="CJ89" s="206"/>
      <c r="CK89" s="206"/>
      <c r="CL89" s="206"/>
      <c r="CM89" s="206"/>
      <c r="CN89" s="206"/>
      <c r="CO89" s="206"/>
      <c r="CP89" s="55"/>
      <c r="CQ89" s="55"/>
      <c r="CR89" s="55"/>
      <c r="CS89" s="55"/>
      <c r="CT89" s="55"/>
      <c r="CU89" s="55"/>
      <c r="CV89" s="55"/>
      <c r="CW89" s="55"/>
      <c r="CX89" s="17">
        <f ca="1">IF(CY89="",0,IF($CX$97="",IF(BD89=Ergebnisse!BD89,4,IF(COUNTIF(Ergebnisse!$BD$89:$BF$90,BD89)&gt;0,2,0))+IF(BF89=Ergebnisse!BF89,4,IF(COUNTIF(Ergebnisse!$BD$89:$BF$90,BF89)&gt;0,2,0))+(SIGN(BH89-BJ89)=SIGN(Ergebnisse!BH89-Ergebnisse!BJ89))*7+(BH89=Ergebnisse!BH89)+(BJ89=Ergebnisse!BJ89),INT(RAND()*18)))</f>
        <v>1</v>
      </c>
      <c r="CY89" s="17" t="str">
        <f ca="1">IF(Ergebnisse!BK89=Ergebnisse!$B$98,Ergebnisse!BK89,"")</f>
        <v>ok</v>
      </c>
    </row>
    <row r="90" spans="1:103">
      <c r="E90" s="15"/>
      <c r="H90" s="2"/>
      <c r="I90" s="2"/>
      <c r="J90" s="2"/>
      <c r="K90" s="2"/>
      <c r="M90" s="2"/>
      <c r="S90" s="62"/>
      <c r="T90" s="62"/>
      <c r="U90" s="62"/>
      <c r="V90" s="62"/>
      <c r="W90" s="62"/>
      <c r="Y90" s="206"/>
      <c r="Z90" s="206"/>
      <c r="AA90" s="206"/>
      <c r="AB90" s="206"/>
      <c r="AC90" s="206"/>
      <c r="AI90" s="206"/>
      <c r="AJ90" s="206"/>
      <c r="AK90" s="206"/>
      <c r="AL90" s="206"/>
      <c r="AM90" s="206"/>
      <c r="AN90" s="206"/>
      <c r="AO90" s="206"/>
      <c r="AP90" s="206"/>
      <c r="AZ90" s="206"/>
      <c r="BA90" s="2">
        <f>IF(Ergebnisse!BA90="","",Ergebnisse!BA90)</f>
        <v>102</v>
      </c>
      <c r="BB90" s="6">
        <f>IF(Ergebnisse!BB90="","",Ergebnisse!BB90)</f>
        <v>46218.625</v>
      </c>
      <c r="BC90" s="6" t="str">
        <f>IF(Ergebnisse!BC90="","",Ergebnisse!BC90)</f>
        <v>Atlanta</v>
      </c>
      <c r="BD90" s="49" t="s">
        <v>69</v>
      </c>
      <c r="BE90" s="15"/>
      <c r="BF90" s="48" t="s">
        <v>221</v>
      </c>
      <c r="BG90" s="17"/>
      <c r="BH90" s="107">
        <v>1</v>
      </c>
      <c r="BI90" s="11" t="s">
        <v>25</v>
      </c>
      <c r="BJ90" s="107">
        <v>2</v>
      </c>
      <c r="BL90" s="1"/>
      <c r="BM90" s="68" t="s">
        <v>221</v>
      </c>
      <c r="BN90" s="1"/>
      <c r="BO90" s="1"/>
      <c r="BP90" s="1"/>
      <c r="BQ90" s="1"/>
      <c r="BR90" s="1"/>
      <c r="BS90" s="62"/>
      <c r="BT90" s="62"/>
      <c r="BU90" s="62"/>
      <c r="BV90" s="62"/>
      <c r="BW90" s="62"/>
      <c r="BX90" s="62"/>
      <c r="BY90" s="206"/>
      <c r="BZ90" s="206"/>
      <c r="CA90" s="206"/>
      <c r="CB90" s="206"/>
      <c r="CC90" s="206"/>
      <c r="CD90" s="206"/>
      <c r="CE90" s="206"/>
      <c r="CF90" s="206"/>
      <c r="CG90" s="206"/>
      <c r="CH90" s="206"/>
      <c r="CI90" s="206"/>
      <c r="CJ90" s="206"/>
      <c r="CK90" s="206"/>
      <c r="CL90" s="206"/>
      <c r="CM90" s="206"/>
      <c r="CN90" s="206"/>
      <c r="CO90" s="206"/>
      <c r="CP90" s="55"/>
      <c r="CQ90" s="55"/>
      <c r="CR90" s="55"/>
      <c r="CS90" s="55"/>
      <c r="CT90" s="55"/>
      <c r="CU90" s="55"/>
      <c r="CV90" s="55"/>
      <c r="CW90" s="55"/>
      <c r="CX90" s="17">
        <f ca="1">IF(CY90="",0,IF($CX$97="",IF(BD90=Ergebnisse!BD90,4,IF(COUNTIF(Ergebnisse!$BD$89:$BF$90,BD90)&gt;0,2,0))+IF(BF90=Ergebnisse!BF90,4,IF(COUNTIF(Ergebnisse!$BD$89:$BF$90,BF90)&gt;0,2,0))+(SIGN(BH90-BJ90)=SIGN(Ergebnisse!BH90-Ergebnisse!BJ90))*7+(BH90=Ergebnisse!BH90)+(BJ90=Ergebnisse!BJ90),INT(RAND()*18)))</f>
        <v>2</v>
      </c>
      <c r="CY90" s="17" t="str">
        <f ca="1">IF(Ergebnisse!BK90=Ergebnisse!$B$98,Ergebnisse!BK90,"")</f>
        <v>ok</v>
      </c>
    </row>
    <row r="91" spans="1:103">
      <c r="H91" s="2"/>
      <c r="I91" s="2"/>
      <c r="J91" s="2"/>
      <c r="K91" s="2"/>
      <c r="M91" s="2"/>
      <c r="S91" s="2"/>
      <c r="T91" s="2"/>
      <c r="U91" s="2"/>
      <c r="V91" s="2"/>
      <c r="W91" s="2"/>
      <c r="X91" s="2"/>
      <c r="Y91" s="2"/>
      <c r="Z91" s="2"/>
      <c r="AA91" s="2"/>
      <c r="AB91" s="2"/>
      <c r="AC91" s="2"/>
      <c r="AI91" s="2"/>
      <c r="AJ91" s="2"/>
      <c r="AK91" s="2"/>
      <c r="AL91" s="2"/>
      <c r="AM91" s="2"/>
      <c r="AN91" s="2"/>
      <c r="AO91" s="2"/>
      <c r="AP91" s="2"/>
      <c r="AQ91" s="2"/>
      <c r="AR91" s="2"/>
      <c r="AS91" s="2"/>
      <c r="AT91" s="2"/>
      <c r="AU91" s="2"/>
      <c r="AV91" s="2"/>
      <c r="AY91" s="17"/>
      <c r="AZ91" s="206"/>
      <c r="BB91" s="1"/>
      <c r="BC91" s="3"/>
      <c r="BD91" s="14"/>
      <c r="BE91" s="14"/>
      <c r="BF91" s="14"/>
      <c r="BG91" s="17"/>
      <c r="BH91" s="20"/>
      <c r="BI91" s="11"/>
      <c r="BJ91" s="20"/>
      <c r="BK91" s="181"/>
      <c r="BL91" s="1"/>
      <c r="BM91" s="50" t="s">
        <v>67</v>
      </c>
      <c r="BN91" s="1"/>
      <c r="BO91" s="1"/>
      <c r="BP91" s="1"/>
      <c r="BQ91" s="1"/>
      <c r="BR91" s="1"/>
      <c r="BS91" s="62"/>
      <c r="BT91" s="62"/>
      <c r="BU91" s="62"/>
      <c r="BV91" s="62"/>
      <c r="BW91" s="62"/>
      <c r="BX91" s="62"/>
      <c r="BY91" s="206"/>
      <c r="BZ91" s="206"/>
      <c r="CA91" s="206"/>
      <c r="CB91" s="206"/>
      <c r="CC91" s="206"/>
      <c r="CD91" s="206"/>
      <c r="CE91" s="206"/>
      <c r="CF91" s="206"/>
      <c r="CG91" s="206"/>
      <c r="CH91" s="206"/>
      <c r="CI91" s="206"/>
      <c r="CJ91" s="206"/>
      <c r="CK91" s="206"/>
      <c r="CL91" s="206"/>
      <c r="CM91" s="206"/>
      <c r="CN91" s="206"/>
      <c r="CO91" s="206"/>
      <c r="CP91" s="55"/>
      <c r="CQ91" s="55"/>
      <c r="CR91" s="55"/>
      <c r="CS91" s="55"/>
      <c r="CT91" s="55"/>
      <c r="CU91" s="55"/>
      <c r="CV91" s="55"/>
      <c r="CW91" s="55"/>
      <c r="CX91" s="1"/>
    </row>
    <row r="92" spans="1:103">
      <c r="B92" s="51" t="s">
        <v>62</v>
      </c>
      <c r="C92" s="3"/>
      <c r="D92" s="10"/>
      <c r="E92" s="16"/>
      <c r="F92" s="10"/>
      <c r="G92" s="10"/>
      <c r="H92" s="23"/>
      <c r="J92" s="23"/>
      <c r="K92" s="181"/>
      <c r="M92" s="2"/>
      <c r="P92" s="1"/>
      <c r="AY92" s="17" t="str">
        <f>IF(Ergebnisse!K59=Ergebnisse!$B$98,Ergebnisse!K59,"")</f>
        <v/>
      </c>
      <c r="AZ92" s="206"/>
      <c r="BB92" s="51" t="s">
        <v>64</v>
      </c>
      <c r="BC92" s="3"/>
      <c r="BD92" s="10"/>
      <c r="BE92" s="16"/>
      <c r="BF92" s="10"/>
      <c r="BG92" s="10"/>
      <c r="BH92" s="23"/>
      <c r="BJ92" s="23"/>
      <c r="BK92" s="181"/>
      <c r="BM92" s="50" t="s">
        <v>69</v>
      </c>
      <c r="BP92" s="1"/>
      <c r="BS92" s="55"/>
      <c r="BT92" s="55"/>
      <c r="BU92" s="55"/>
      <c r="BV92" s="55"/>
      <c r="BW92" s="55"/>
      <c r="BX92" s="55"/>
      <c r="BY92" s="206"/>
      <c r="BZ92" s="206"/>
      <c r="CA92" s="206"/>
      <c r="CB92" s="206"/>
      <c r="CC92" s="206"/>
      <c r="CD92" s="206"/>
      <c r="CE92" s="206"/>
      <c r="CF92" s="206"/>
      <c r="CG92" s="206"/>
      <c r="CH92" s="206"/>
      <c r="CI92" s="206"/>
      <c r="CJ92" s="206"/>
      <c r="CK92" s="206"/>
      <c r="CL92" s="206"/>
      <c r="CM92" s="206"/>
      <c r="CN92" s="206"/>
      <c r="CO92" s="206"/>
      <c r="CP92" s="55"/>
      <c r="CQ92" s="55"/>
      <c r="CR92" s="55"/>
      <c r="CS92" s="55"/>
      <c r="CT92" s="55"/>
      <c r="CU92" s="55"/>
      <c r="CV92" s="55"/>
      <c r="CW92" s="55"/>
      <c r="CY92" s="17"/>
    </row>
    <row r="93" spans="1:103">
      <c r="B93" s="3" t="s">
        <v>22</v>
      </c>
      <c r="C93" s="3" t="s">
        <v>23</v>
      </c>
      <c r="D93" s="10"/>
      <c r="E93" s="16"/>
      <c r="F93" s="10"/>
      <c r="G93" s="10"/>
      <c r="H93" s="64"/>
      <c r="J93" s="64"/>
      <c r="K93" s="181"/>
      <c r="M93" s="2" t="s">
        <v>63</v>
      </c>
      <c r="P93" s="1"/>
      <c r="Q93" s="1"/>
      <c r="R93" s="1"/>
      <c r="S93" s="62"/>
      <c r="T93" s="62"/>
      <c r="U93" s="62"/>
      <c r="V93" s="62"/>
      <c r="W93" s="62"/>
      <c r="AO93" s="62"/>
      <c r="AX93" s="17">
        <f ca="1">IF(M94=Ergebnisse!M94,24,0)</f>
        <v>0</v>
      </c>
      <c r="AY93" s="17" t="str">
        <f ca="1">IF(Ergebnisse!K94=Ergebnisse!$B$98,Ergebnisse!K94,"")</f>
        <v>ok</v>
      </c>
      <c r="AZ93" s="206"/>
      <c r="BB93" s="3" t="s">
        <v>22</v>
      </c>
      <c r="BC93" s="3" t="s">
        <v>23</v>
      </c>
      <c r="BD93" s="10"/>
      <c r="BE93" s="16"/>
      <c r="BF93" s="10"/>
      <c r="BG93" s="10"/>
      <c r="BH93" s="23"/>
      <c r="BJ93" s="64"/>
      <c r="BK93" s="181"/>
      <c r="BM93" s="2"/>
      <c r="BP93" s="1"/>
      <c r="BQ93" s="1"/>
      <c r="BR93" s="1"/>
      <c r="BS93" s="62"/>
      <c r="BT93" s="62"/>
      <c r="BU93" s="62"/>
      <c r="BV93" s="62"/>
      <c r="BW93" s="62"/>
      <c r="BX93" s="55"/>
      <c r="BZ93" s="55"/>
      <c r="CA93" s="55"/>
      <c r="CB93" s="55"/>
      <c r="CC93" s="55"/>
      <c r="CD93" s="206"/>
      <c r="CE93" s="206"/>
      <c r="CF93" s="204"/>
      <c r="CG93" s="62"/>
      <c r="CH93" s="62"/>
      <c r="CI93" s="55"/>
      <c r="CJ93" s="55"/>
      <c r="CK93" s="55"/>
      <c r="CL93" s="55"/>
      <c r="CM93" s="55"/>
      <c r="CN93" s="55"/>
      <c r="CO93" s="62"/>
      <c r="CP93" s="55"/>
      <c r="CQ93" s="55"/>
      <c r="CR93" s="55"/>
      <c r="CS93" s="55"/>
      <c r="CT93" s="55"/>
      <c r="CU93" s="55"/>
      <c r="CV93" s="55"/>
      <c r="CW93" s="55"/>
      <c r="CY93" s="17"/>
    </row>
    <row r="94" spans="1:103">
      <c r="A94" s="2">
        <f>IF(Ergebnisse!A94="","",Ergebnisse!A94)</f>
        <v>104</v>
      </c>
      <c r="B94" s="6">
        <f>IF(Ergebnisse!B94="","",Ergebnisse!B94)</f>
        <v>46222.625</v>
      </c>
      <c r="C94" s="6" t="str">
        <f>IF(Ergebnisse!C94="","",Ergebnisse!C94)</f>
        <v>New York</v>
      </c>
      <c r="D94" s="33" t="s">
        <v>66</v>
      </c>
      <c r="E94" s="21"/>
      <c r="F94" s="33" t="s">
        <v>221</v>
      </c>
      <c r="G94" s="17"/>
      <c r="H94" s="57">
        <v>3</v>
      </c>
      <c r="I94" s="11" t="s">
        <v>25</v>
      </c>
      <c r="J94" s="57">
        <v>1</v>
      </c>
      <c r="L94" s="1"/>
      <c r="M94" s="52" t="s">
        <v>66</v>
      </c>
      <c r="N94" s="1"/>
      <c r="O94" s="1"/>
      <c r="Q94" s="1"/>
      <c r="R94" s="1"/>
      <c r="S94" s="62"/>
      <c r="T94" s="62"/>
      <c r="U94" s="62"/>
      <c r="V94" s="62"/>
      <c r="W94" s="62"/>
      <c r="AO94" s="62"/>
      <c r="AX94" s="17">
        <f ca="1">IF(AY94="",0,IF($CX$97="",  4*(D94=Ergebnisse!D94) + 4*(F94=Ergebnisse!F94) + (SIGN(H94-J94)=SIGN(Ergebnisse!H94-Ergebnisse!J94))*7 + (H94=Ergebnisse!H94) + (J94=Ergebnisse!J94), INT(RAND()*18)))</f>
        <v>1</v>
      </c>
      <c r="AY94" s="17" t="str">
        <f ca="1">IF(Ergebnisse!K94=Ergebnisse!$B$98,Ergebnisse!K94,"")</f>
        <v>ok</v>
      </c>
      <c r="AZ94" s="206"/>
      <c r="BA94" s="2">
        <f>IF(Ergebnisse!BA94="","",Ergebnisse!BA94)</f>
        <v>103</v>
      </c>
      <c r="BB94" s="6">
        <f>IF(Ergebnisse!BB94="","",Ergebnisse!BB94)</f>
        <v>46221.708333333336</v>
      </c>
      <c r="BC94" s="6" t="str">
        <f>IF(Ergebnisse!BC94="","",Ergebnisse!BC94)</f>
        <v>Miami</v>
      </c>
      <c r="BD94" s="22" t="s">
        <v>67</v>
      </c>
      <c r="BE94" s="21"/>
      <c r="BF94" s="22" t="s">
        <v>69</v>
      </c>
      <c r="BG94" s="17"/>
      <c r="BH94" s="57">
        <v>1</v>
      </c>
      <c r="BI94" s="11" t="s">
        <v>25</v>
      </c>
      <c r="BJ94" s="57">
        <v>2</v>
      </c>
      <c r="BL94" s="1"/>
      <c r="BM94" s="3" t="s">
        <v>69</v>
      </c>
      <c r="BN94" s="1"/>
      <c r="BO94" s="1"/>
      <c r="BQ94" s="1"/>
      <c r="BR94" s="1"/>
      <c r="BS94" s="62"/>
      <c r="BT94" s="62"/>
      <c r="BU94" s="62"/>
      <c r="BV94" s="62"/>
      <c r="BW94" s="62"/>
      <c r="BX94" s="55"/>
      <c r="BZ94" s="55"/>
      <c r="CA94" s="55"/>
      <c r="CB94" s="55"/>
      <c r="CC94" s="55"/>
      <c r="CD94" s="206"/>
      <c r="CE94" s="206"/>
      <c r="CF94" s="204"/>
      <c r="CG94" s="62"/>
      <c r="CH94" s="62"/>
      <c r="CI94" s="55"/>
      <c r="CJ94" s="55"/>
      <c r="CK94" s="55"/>
      <c r="CL94" s="55"/>
      <c r="CM94" s="55"/>
      <c r="CN94" s="55"/>
      <c r="CO94" s="62"/>
      <c r="CP94" s="55"/>
      <c r="CQ94" s="55"/>
      <c r="CR94" s="55"/>
      <c r="CS94" s="55"/>
      <c r="CT94" s="55"/>
      <c r="CU94" s="55"/>
      <c r="CV94" s="55"/>
      <c r="CW94" s="55"/>
      <c r="CX94" s="17">
        <f ca="1">IF(CY94="",0,IF($CX$97="",  4*(BD94=Ergebnisse!BD94) + 4*(BF94=Ergebnisse!BF94) + (SIGN(BH94-BJ94)=SIGN(Ergebnisse!BH94-Ergebnisse!BJ94))*7 + (BH94=Ergebnisse!BH94) + (BJ94=Ergebnisse!BJ94), INT(RAND()*18)))</f>
        <v>1</v>
      </c>
      <c r="CY94" s="17" t="str">
        <f ca="1">IF(Ergebnisse!BK94=Ergebnisse!$B$98,Ergebnisse!BK94,"")</f>
        <v>ok</v>
      </c>
    </row>
    <row r="95" spans="1:103">
      <c r="H95" s="2"/>
      <c r="I95" s="2"/>
      <c r="J95" s="2"/>
      <c r="K95" s="2"/>
      <c r="M95" s="2"/>
      <c r="S95" s="2"/>
      <c r="T95" s="2"/>
      <c r="U95" s="2"/>
      <c r="V95" s="2"/>
      <c r="W95" s="2"/>
      <c r="X95" s="2"/>
      <c r="Y95" s="2"/>
      <c r="Z95" s="2"/>
      <c r="AA95" s="2"/>
      <c r="AB95" s="2"/>
      <c r="AC95" s="2"/>
      <c r="AD95" s="2"/>
      <c r="AI95" s="2"/>
      <c r="AJ95" s="2"/>
      <c r="AK95" s="2"/>
      <c r="AL95" s="2"/>
      <c r="AM95" s="2"/>
      <c r="AN95" s="2"/>
      <c r="AO95" s="2"/>
      <c r="AP95" s="2"/>
      <c r="AQ95" s="2"/>
      <c r="AR95" s="2"/>
      <c r="AS95" s="2"/>
      <c r="AT95" s="2"/>
      <c r="AU95" s="2"/>
      <c r="AV95" s="2"/>
      <c r="AZ95" s="206"/>
      <c r="BD95" s="10"/>
      <c r="BE95" s="16"/>
      <c r="BF95" s="10"/>
      <c r="BG95" s="10"/>
      <c r="BH95" s="23"/>
      <c r="BJ95" s="23"/>
      <c r="BK95" s="181"/>
      <c r="BM95" s="2"/>
      <c r="BQ95" s="1"/>
      <c r="BR95" s="1"/>
      <c r="BS95" s="62"/>
      <c r="BT95" s="62"/>
      <c r="BU95" s="62"/>
      <c r="BV95" s="62"/>
      <c r="BW95" s="62"/>
      <c r="BX95" s="55"/>
      <c r="BZ95" s="55"/>
      <c r="CA95" s="55"/>
      <c r="CB95" s="55"/>
      <c r="CC95" s="55"/>
      <c r="CD95" s="206"/>
      <c r="CE95" s="206"/>
      <c r="CF95" s="204"/>
      <c r="CG95" s="62"/>
      <c r="CH95" s="62"/>
      <c r="CI95" s="55"/>
      <c r="CJ95" s="55"/>
      <c r="CK95" s="55"/>
      <c r="CL95" s="55"/>
      <c r="CM95" s="55"/>
      <c r="CN95" s="55"/>
      <c r="CO95" s="62"/>
      <c r="CP95" s="55"/>
      <c r="CQ95" s="55"/>
      <c r="CR95" s="55"/>
      <c r="CS95" s="55"/>
      <c r="CT95" s="55"/>
      <c r="CU95" s="55"/>
      <c r="CV95" s="55"/>
      <c r="CW95" s="55"/>
    </row>
    <row r="96" spans="1:103" ht="15.75">
      <c r="H96" s="2"/>
      <c r="I96" s="2"/>
      <c r="J96" s="2"/>
      <c r="K96" s="2"/>
      <c r="M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78">
        <f ca="1">SUMIF(AY1:AY94,Ergebnisse!$B$98,AX1:AX94)</f>
        <v>167</v>
      </c>
      <c r="AZ96" s="2"/>
      <c r="BA96"/>
      <c r="BB96"/>
      <c r="BC96"/>
      <c r="BD96"/>
      <c r="BE96"/>
      <c r="BF96"/>
      <c r="BG96"/>
      <c r="BH96"/>
      <c r="BI96"/>
      <c r="BJ96"/>
      <c r="BK96"/>
      <c r="BL96"/>
      <c r="BM96"/>
      <c r="BN96"/>
      <c r="BO96"/>
      <c r="BP96"/>
      <c r="BQ96"/>
      <c r="BR96"/>
      <c r="BS96"/>
      <c r="BT96"/>
      <c r="BU96"/>
      <c r="BV96"/>
      <c r="BW96"/>
      <c r="BX96"/>
      <c r="BY96"/>
      <c r="BZ96"/>
      <c r="CA96"/>
      <c r="CB96"/>
      <c r="CC96"/>
      <c r="CD96"/>
      <c r="CE96"/>
      <c r="CF96"/>
      <c r="CG96" s="206"/>
      <c r="CH96" s="206"/>
      <c r="CI96" s="206"/>
      <c r="CJ96" s="206"/>
      <c r="CK96" s="206"/>
      <c r="CL96" s="206"/>
      <c r="CM96" s="206"/>
      <c r="CN96" s="206"/>
      <c r="CO96" s="206"/>
      <c r="CX96" s="78">
        <f ca="1">SUMIF(CY1:CY94,Ergebnisse!$B$98,CX1:CX94)</f>
        <v>88</v>
      </c>
    </row>
    <row r="97" spans="4:103" ht="13.5" thickBot="1">
      <c r="H97" s="8"/>
      <c r="I97" s="8"/>
      <c r="J97" s="8"/>
      <c r="K97" s="8"/>
      <c r="M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17">
        <f>IF(ISNA(Historie!B172),0,Historie!B172)</f>
        <v>0</v>
      </c>
      <c r="AY97" s="2" t="s">
        <v>200</v>
      </c>
      <c r="AZ97" s="2"/>
      <c r="BH97" s="8"/>
      <c r="BI97" s="8"/>
      <c r="BJ97" s="8"/>
      <c r="BK97" s="8"/>
      <c r="BM97" s="2"/>
      <c r="BY97" s="2"/>
      <c r="CY97" s="1" t="s">
        <v>85</v>
      </c>
    </row>
    <row r="98" spans="4:103" ht="17.25" thickTop="1" thickBot="1">
      <c r="D98" s="3"/>
      <c r="E98" s="3"/>
      <c r="F98" s="3"/>
      <c r="G98" s="82"/>
      <c r="H98" s="178"/>
      <c r="AD98" s="63"/>
      <c r="AX98" s="77">
        <f ca="1">AX96+CX96+AX97</f>
        <v>255</v>
      </c>
      <c r="AY98" s="1" t="s">
        <v>86</v>
      </c>
      <c r="BH98" s="8"/>
      <c r="BI98" s="8"/>
      <c r="BJ98" s="8"/>
      <c r="BK98" s="8"/>
      <c r="CD98" s="3"/>
      <c r="CY98" s="17"/>
    </row>
    <row r="99" spans="4:103" ht="13.5" thickTop="1">
      <c r="E99" s="3"/>
      <c r="F99" s="3"/>
      <c r="AD99" s="63"/>
      <c r="BH99" s="8"/>
      <c r="BI99" s="8"/>
      <c r="BJ99" s="8"/>
      <c r="BK99" s="8"/>
      <c r="CD99" s="3"/>
    </row>
    <row r="100" spans="4:103">
      <c r="E100" s="3"/>
      <c r="F100" s="3"/>
      <c r="AD100" s="63"/>
      <c r="BH100" s="8"/>
      <c r="BI100" s="8"/>
      <c r="BJ100" s="8"/>
      <c r="BK100" s="8"/>
      <c r="CD100" s="3"/>
    </row>
    <row r="104" spans="4:103">
      <c r="AX104" s="13"/>
      <c r="AY104" s="13"/>
      <c r="CY104" s="1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D104"/>
  <sheetViews>
    <sheetView topLeftCell="A67" workbookViewId="0">
      <selection activeCell="AW104" sqref="AW104"/>
    </sheetView>
  </sheetViews>
  <sheetFormatPr baseColWidth="10" defaultRowHeight="12.75"/>
  <cols>
    <col min="1" max="1" width="4.28515625" style="2" customWidth="1"/>
    <col min="2" max="2" width="15.28515625" style="2" customWidth="1"/>
    <col min="3" max="4" width="14.28515625" style="2" customWidth="1"/>
    <col min="5" max="5" width="2" style="2" customWidth="1"/>
    <col min="6" max="6" width="14.28515625" style="2" customWidth="1"/>
    <col min="7" max="7" width="1.5703125" style="2" customWidth="1"/>
    <col min="8" max="8" width="3.5703125" style="12" customWidth="1"/>
    <col min="9" max="9" width="1.5703125" style="12" customWidth="1"/>
    <col min="10" max="10" width="3.5703125" style="12" customWidth="1"/>
    <col min="11" max="11" width="3" style="7" customWidth="1"/>
    <col min="12" max="12" width="2" style="2" customWidth="1"/>
    <col min="13" max="13" width="14.28515625" style="9" customWidth="1"/>
    <col min="14" max="17" width="4.28515625" style="2" hidden="1" customWidth="1"/>
    <col min="18" max="18" width="3.85546875" style="2" hidden="1" customWidth="1"/>
    <col min="19" max="22" width="2" style="55" hidden="1" customWidth="1"/>
    <col min="23" max="23" width="1.7109375" style="55" hidden="1" customWidth="1"/>
    <col min="24" max="24" width="3" style="55" hidden="1" customWidth="1"/>
    <col min="25" max="25" width="14.28515625" style="55" hidden="1" customWidth="1"/>
    <col min="26" max="26" width="2.28515625" style="55" hidden="1" customWidth="1"/>
    <col min="27" max="27" width="3.28515625" style="55" hidden="1" customWidth="1"/>
    <col min="28" max="28" width="3" style="55" hidden="1" customWidth="1"/>
    <col min="29" max="29" width="4.42578125" style="55" hidden="1" customWidth="1"/>
    <col min="30" max="30" width="19.28515625" style="55" hidden="1" customWidth="1"/>
    <col min="31" max="31" width="3.140625" style="55" hidden="1" customWidth="1"/>
    <col min="32" max="32" width="3.5703125" style="55" hidden="1" customWidth="1"/>
    <col min="33" max="36" width="2.85546875" style="55" hidden="1" customWidth="1"/>
    <col min="37" max="37" width="3.140625" style="55" hidden="1" customWidth="1"/>
    <col min="38" max="38" width="6.42578125" style="55" hidden="1" customWidth="1"/>
    <col min="39" max="42" width="2.85546875" style="55" hidden="1" customWidth="1"/>
    <col min="43" max="43" width="7.7109375" style="55" hidden="1" customWidth="1"/>
    <col min="44" max="47" width="3" style="55" hidden="1" customWidth="1"/>
    <col min="48" max="48" width="3.140625" style="55" hidden="1" customWidth="1"/>
    <col min="49" max="49" width="11.42578125" style="55" customWidth="1"/>
    <col min="50" max="50" width="8.85546875" style="1" customWidth="1"/>
    <col min="51" max="51" width="7.140625" style="1" customWidth="1"/>
    <col min="52" max="52" width="11.42578125" style="55" customWidth="1"/>
    <col min="53" max="53" width="5" style="2" customWidth="1"/>
    <col min="54" max="54" width="15.28515625" style="2" customWidth="1"/>
    <col min="55" max="56" width="14.28515625" style="2" customWidth="1"/>
    <col min="57" max="57" width="2" style="2" customWidth="1"/>
    <col min="58" max="58" width="14.28515625" style="2" customWidth="1"/>
    <col min="59" max="59" width="1.5703125" style="2" customWidth="1"/>
    <col min="60" max="60" width="3.5703125" style="12" customWidth="1"/>
    <col min="61" max="61" width="1.5703125" style="12" customWidth="1"/>
    <col min="62" max="62" width="3.5703125" style="12" customWidth="1"/>
    <col min="63" max="63" width="3" style="7" customWidth="1"/>
    <col min="64" max="64" width="2" style="2" customWidth="1"/>
    <col min="65" max="65" width="14.28515625" style="9" customWidth="1"/>
    <col min="66" max="69" width="4.28515625" style="2" hidden="1" customWidth="1"/>
    <col min="70" max="70" width="3.85546875" style="2" hidden="1" customWidth="1"/>
    <col min="71" max="74" width="2" style="2" hidden="1" customWidth="1"/>
    <col min="75" max="75" width="1.7109375" style="2" hidden="1" customWidth="1"/>
    <col min="76" max="76" width="3" style="2" hidden="1" customWidth="1"/>
    <col min="77" max="77" width="14.28515625" style="55" hidden="1" customWidth="1"/>
    <col min="78" max="78" width="2.28515625" style="2" hidden="1" customWidth="1"/>
    <col min="79" max="79" width="3.28515625" style="2" hidden="1" customWidth="1"/>
    <col min="80" max="80" width="3" style="2" hidden="1" customWidth="1"/>
    <col min="81" max="81" width="4.42578125" style="2" hidden="1" customWidth="1"/>
    <col min="82" max="82" width="19.28515625" style="2" hidden="1" customWidth="1"/>
    <col min="83" max="100" width="5" style="2" hidden="1" customWidth="1"/>
    <col min="101" max="101" width="11.42578125" style="2" customWidth="1"/>
    <col min="102" max="102" width="8.85546875" style="17" customWidth="1"/>
    <col min="103" max="103" width="7.28515625" style="1" customWidth="1"/>
    <col min="104" max="104" width="11.42578125" style="2"/>
    <col min="105" max="105" width="36.7109375" style="2" bestFit="1" customWidth="1"/>
    <col min="106" max="106" width="9.140625" style="2" customWidth="1"/>
    <col min="107" max="108" width="10.7109375" customWidth="1"/>
    <col min="109" max="16384" width="11.42578125" style="2"/>
  </cols>
  <sheetData>
    <row r="1" spans="1:106" s="10" customFormat="1" ht="14.25" thickTop="1" thickBot="1">
      <c r="A1" s="10" t="s">
        <v>72</v>
      </c>
      <c r="B1" s="28" t="s">
        <v>0</v>
      </c>
      <c r="C1" s="26" t="s">
        <v>1</v>
      </c>
      <c r="D1" s="17" t="s">
        <v>2</v>
      </c>
      <c r="E1" s="14"/>
      <c r="F1" s="17"/>
      <c r="G1" s="172"/>
      <c r="H1" s="173"/>
      <c r="I1" s="19"/>
      <c r="J1" s="20"/>
      <c r="K1" s="180"/>
      <c r="L1" s="17"/>
      <c r="M1" s="35"/>
      <c r="N1" s="17"/>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X1" s="28">
        <f ca="1">IF($CX$97="",2*COUNTIF(Ergebnisse!$D$63:'Ergebnisse'!$F$78,M7),2*INT(RAND()*2))</f>
        <v>0</v>
      </c>
      <c r="AY1" s="17" t="str">
        <f ca="1">IF(COUNTIF(Ergebnisse!K3:'Ergebnisse'!K8,Ergebnisse!$B$98)=6,"ok","")</f>
        <v>ok</v>
      </c>
      <c r="BA1" s="10" t="s">
        <v>72</v>
      </c>
      <c r="BB1" s="76" t="s">
        <v>0</v>
      </c>
      <c r="BC1" s="177" t="s">
        <v>40</v>
      </c>
      <c r="BD1" s="53" t="s">
        <v>2</v>
      </c>
      <c r="BE1" s="54"/>
      <c r="BF1" s="53"/>
      <c r="BG1" s="53"/>
      <c r="BH1" s="20"/>
      <c r="BI1" s="19"/>
      <c r="BJ1" s="20"/>
      <c r="BK1" s="180"/>
      <c r="BL1" s="17"/>
      <c r="BM1" s="35"/>
      <c r="BN1" s="17"/>
      <c r="BO1" s="17"/>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76">
        <f ca="1">IF($CX$97="",2*COUNTIF(Ergebnisse!$D$63:'Ergebnisse'!$F$78,BM7),2*INT(RAND()*2))</f>
        <v>2</v>
      </c>
      <c r="CY1" s="17" t="str">
        <f ca="1">IF(COUNTIF(Ergebnisse!BK3:'Ergebnisse'!BK8,Ergebnisse!$B$98)=6,"ok","")</f>
        <v>ok</v>
      </c>
      <c r="DA1" s="163" t="s">
        <v>124</v>
      </c>
      <c r="DB1" s="164"/>
    </row>
    <row r="2" spans="1:106" ht="13.5" thickTop="1">
      <c r="B2" s="3" t="s">
        <v>22</v>
      </c>
      <c r="C2" s="3" t="s">
        <v>23</v>
      </c>
      <c r="L2" s="1"/>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8">
        <f ca="1">IF($CX$97="",2*COUNTIF(Ergebnisse!$D$63:'Ergebnisse'!$F$78,M8),2*INT(RAND()*2))</f>
        <v>2</v>
      </c>
      <c r="AY2" s="17" t="str">
        <f ca="1">IF(COUNTIF(Ergebnisse!K3:'Ergebnisse'!K8,Ergebnisse!$B$98)=6,"ok","")</f>
        <v>ok</v>
      </c>
      <c r="AZ2" s="2"/>
      <c r="BB2" s="3" t="s">
        <v>22</v>
      </c>
      <c r="BC2" s="3" t="s">
        <v>23</v>
      </c>
      <c r="BD2" s="55"/>
      <c r="BE2" s="55"/>
      <c r="BF2" s="55"/>
      <c r="BG2" s="55"/>
      <c r="BL2" s="1"/>
      <c r="BY2" s="2"/>
      <c r="CX2" s="76">
        <f ca="1">IF($CX$97="",2*COUNTIF(Ergebnisse!$D$63:'Ergebnisse'!$F$78,BM8),2*INT(RAND()*2))</f>
        <v>0</v>
      </c>
      <c r="CY2" s="17" t="str">
        <f ca="1">IF(COUNTIF(Ergebnisse!BK3:'Ergebnisse'!BK8,Ergebnisse!$B$98)=6,"ok","")</f>
        <v>ok</v>
      </c>
      <c r="DA2" s="163"/>
      <c r="DB2" s="164"/>
    </row>
    <row r="3" spans="1:106">
      <c r="A3" s="2">
        <f>IF(Ergebnisse!A3="","",Ergebnisse!A3)</f>
        <v>1</v>
      </c>
      <c r="B3" s="6">
        <f>IF(Ergebnisse!B3="","",Ergebnisse!B3)</f>
        <v>46184.583333333336</v>
      </c>
      <c r="C3" s="6" t="str">
        <f>IF(Ergebnisse!C3="","",Ergebnisse!C3)</f>
        <v>Mexico City</v>
      </c>
      <c r="D3" s="56" t="str">
        <f>IF(Ergebnisse!D3="","",Ergebnisse!D3)</f>
        <v>Mexiko</v>
      </c>
      <c r="E3" s="40"/>
      <c r="F3" s="56" t="str">
        <f>IF(Ergebnisse!F3="","",Ergebnisse!F3)</f>
        <v>Südafrika</v>
      </c>
      <c r="G3" s="53"/>
      <c r="H3" s="57">
        <v>4</v>
      </c>
      <c r="I3" s="11" t="s">
        <v>25</v>
      </c>
      <c r="J3" s="57">
        <v>2</v>
      </c>
      <c r="L3" s="1"/>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17">
        <f ca="1">IF($CX$97="",IF(OR(Ergebnisse!H3="",Ergebnisse!J3=""),0,IF(AND(H3=Ergebnisse!H3,J3=Ergebnisse!J3),7,MIN(7,(H3-J3=Ergebnisse!H3-Ergebnisse!J3)*4+(AND(H3-J3&lt;&gt;Ergebnisse!H3-Ergebnisse!J3,SIGN(H3-J3)=SIGN(Ergebnisse!H3-Ergebnisse!J3)))*2+(H3=Ergebnisse!H3)+(J3=Ergebnisse!J3)))),INT(RAND()*8))</f>
        <v>2</v>
      </c>
      <c r="AY3" s="17" t="str">
        <f ca="1">IF(Ergebnisse!K3=Ergebnisse!$B$98,Ergebnisse!K3,"")</f>
        <v>ok</v>
      </c>
      <c r="AZ3" s="2"/>
      <c r="BA3" s="2">
        <f>IF(Ergebnisse!BA3="","",Ergebnisse!BA3)</f>
        <v>4</v>
      </c>
      <c r="BB3" s="6">
        <f>IF(Ergebnisse!BB3="","",Ergebnisse!BB3)</f>
        <v>46185.75</v>
      </c>
      <c r="BC3" s="6" t="str">
        <f>IF(Ergebnisse!BC3="","",Ergebnisse!BC3)</f>
        <v>Los Angeles</v>
      </c>
      <c r="BD3" s="56" t="str">
        <f>IF(Ergebnisse!BD3="","",Ergebnisse!BD3)</f>
        <v>USA</v>
      </c>
      <c r="BE3" s="40"/>
      <c r="BF3" s="56" t="str">
        <f>IF(Ergebnisse!BF3="","",Ergebnisse!BF3)</f>
        <v>Paraguay</v>
      </c>
      <c r="BG3" s="53"/>
      <c r="BH3" s="57">
        <v>5</v>
      </c>
      <c r="BI3" s="11" t="s">
        <v>25</v>
      </c>
      <c r="BJ3" s="57">
        <v>5</v>
      </c>
      <c r="BL3" s="1"/>
      <c r="BY3" s="2"/>
      <c r="CX3" s="17">
        <f ca="1">IF($CX$97="",IF(OR(Ergebnisse!BH3="",Ergebnisse!BJ3=""),0,IF(AND(BH3=Ergebnisse!BH3,BJ3=Ergebnisse!BJ3),7,MIN(7,(BH3-BJ3=Ergebnisse!BH3-Ergebnisse!BJ3)*4+(AND(BH3-BJ3&lt;&gt;Ergebnisse!BH3-Ergebnisse!BJ3,SIGN(BH3-BJ3)=SIGN(Ergebnisse!BH3-Ergebnisse!BJ3)))*2+(BH3=Ergebnisse!BH3)+(BJ3=Ergebnisse!BJ3)))),INT(RAND()*8))</f>
        <v>4</v>
      </c>
      <c r="CY3" s="17" t="str">
        <f ca="1">IF(Ergebnisse!BK3=Ergebnisse!$B$98,Ergebnisse!BK3,"")</f>
        <v>ok</v>
      </c>
      <c r="DA3" s="165" t="s">
        <v>73</v>
      </c>
      <c r="DB3" s="166">
        <f>DB7*DB4</f>
        <v>504</v>
      </c>
    </row>
    <row r="4" spans="1:106">
      <c r="A4" s="2">
        <f>IF(Ergebnisse!A4="","",Ergebnisse!A4)</f>
        <v>2</v>
      </c>
      <c r="B4" s="6">
        <f>IF(Ergebnisse!B4="","",Ergebnisse!B4)</f>
        <v>46184.875</v>
      </c>
      <c r="C4" s="6" t="str">
        <f>IF(Ergebnisse!C4="","",Ergebnisse!C4)</f>
        <v>Guadalajara</v>
      </c>
      <c r="D4" s="56" t="str">
        <f>IF(Ergebnisse!D4="","",Ergebnisse!D4)</f>
        <v>Südkorea</v>
      </c>
      <c r="E4" s="40"/>
      <c r="F4" s="56" t="str">
        <f>IF(Ergebnisse!F4="","",Ergebnisse!F4)</f>
        <v>Tschechien</v>
      </c>
      <c r="G4" s="53"/>
      <c r="H4" s="57">
        <v>2</v>
      </c>
      <c r="I4" s="11" t="s">
        <v>25</v>
      </c>
      <c r="J4" s="57">
        <v>1</v>
      </c>
      <c r="L4" s="1"/>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17">
        <f ca="1">IF($CX$97="",IF(OR(Ergebnisse!H4="",Ergebnisse!J4=""),0,IF(AND(H4=Ergebnisse!H4,J4=Ergebnisse!J4),7,MIN(7,(H4-J4=Ergebnisse!H4-Ergebnisse!J4)*4+(AND(H4-J4&lt;&gt;Ergebnisse!H4-Ergebnisse!J4,SIGN(H4-J4)=SIGN(Ergebnisse!H4-Ergebnisse!J4)))*2+(H4=Ergebnisse!H4)+(J4=Ergebnisse!J4)))),INT(RAND()*8))</f>
        <v>0</v>
      </c>
      <c r="AY4" s="17" t="str">
        <f ca="1">IF(Ergebnisse!K4=Ergebnisse!$B$98,Ergebnisse!K4,"")</f>
        <v>ok</v>
      </c>
      <c r="AZ4" s="2"/>
      <c r="BA4" s="2">
        <f>IF(Ergebnisse!BA4="","",Ergebnisse!BA4)</f>
        <v>6</v>
      </c>
      <c r="BB4" s="6">
        <f>IF(Ergebnisse!BB4="","",Ergebnisse!BB4)</f>
        <v>46186.875</v>
      </c>
      <c r="BC4" s="6" t="str">
        <f>IF(Ergebnisse!BC4="","",Ergebnisse!BC4)</f>
        <v>Vancouver</v>
      </c>
      <c r="BD4" s="56" t="str">
        <f>IF(Ergebnisse!BD4="","",Ergebnisse!BD4)</f>
        <v>Australien</v>
      </c>
      <c r="BE4" s="40"/>
      <c r="BF4" s="56" t="str">
        <f>IF(Ergebnisse!BF4="","",Ergebnisse!BF4)</f>
        <v>Türkei</v>
      </c>
      <c r="BG4" s="53"/>
      <c r="BH4" s="57">
        <v>0</v>
      </c>
      <c r="BI4" s="11" t="s">
        <v>25</v>
      </c>
      <c r="BJ4" s="57">
        <v>1</v>
      </c>
      <c r="BL4" s="1"/>
      <c r="BY4" s="2"/>
      <c r="CX4" s="17">
        <f ca="1">IF($CX$97="",IF(OR(Ergebnisse!BH4="",Ergebnisse!BJ4=""),0,IF(AND(BH4=Ergebnisse!BH4,BJ4=Ergebnisse!BJ4),7,MIN(7,(BH4-BJ4=Ergebnisse!BH4-Ergebnisse!BJ4)*4+(AND(BH4-BJ4&lt;&gt;Ergebnisse!BH4-Ergebnisse!BJ4,SIGN(BH4-BJ4)=SIGN(Ergebnisse!BH4-Ergebnisse!BJ4)))*2+(BH4=Ergebnisse!BH4)+(BJ4=Ergebnisse!BJ4)))),INT(RAND()*8))</f>
        <v>0</v>
      </c>
      <c r="CY4" s="17" t="str">
        <f ca="1">IF(Ergebnisse!BK4=Ergebnisse!$B$98,Ergebnisse!BK4,"")</f>
        <v>ok</v>
      </c>
      <c r="DA4" s="167" t="s">
        <v>78</v>
      </c>
      <c r="DB4" s="270">
        <v>7</v>
      </c>
    </row>
    <row r="5" spans="1:106">
      <c r="A5" s="2">
        <f>IF(Ergebnisse!A5="","",Ergebnisse!A5)</f>
        <v>28</v>
      </c>
      <c r="B5" s="6">
        <f>IF(Ergebnisse!B5="","",Ergebnisse!B5)</f>
        <v>46191.833333333336</v>
      </c>
      <c r="C5" s="6" t="str">
        <f>IF(Ergebnisse!C5="","",Ergebnisse!C5)</f>
        <v>Guadalajara</v>
      </c>
      <c r="D5" s="56" t="str">
        <f>IF(Ergebnisse!D5="","",Ergebnisse!D5)</f>
        <v>Mexiko</v>
      </c>
      <c r="E5" s="40"/>
      <c r="F5" s="56" t="str">
        <f>IF(Ergebnisse!F5="","",Ergebnisse!F5)</f>
        <v>Südkorea</v>
      </c>
      <c r="G5" s="53"/>
      <c r="H5" s="57">
        <v>2</v>
      </c>
      <c r="I5" s="11" t="s">
        <v>25</v>
      </c>
      <c r="J5" s="57">
        <v>1</v>
      </c>
      <c r="L5" s="1"/>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17">
        <f ca="1">IF($CX$97="",IF(OR(Ergebnisse!H5="",Ergebnisse!J5=""),0,IF(AND(H5=Ergebnisse!H5,J5=Ergebnisse!J5),7,MIN(7,(H5-J5=Ergebnisse!H5-Ergebnisse!J5)*4+(AND(H5-J5&lt;&gt;Ergebnisse!H5-Ergebnisse!J5,SIGN(H5-J5)=SIGN(Ergebnisse!H5-Ergebnisse!J5)))*2+(H5=Ergebnisse!H5)+(J5=Ergebnisse!J5)))),INT(RAND()*8))</f>
        <v>0</v>
      </c>
      <c r="AY5" s="17" t="str">
        <f ca="1">IF(Ergebnisse!K5=Ergebnisse!$B$98,Ergebnisse!K5,"")</f>
        <v>ok</v>
      </c>
      <c r="AZ5" s="2"/>
      <c r="BA5" s="2">
        <f>IF(Ergebnisse!BA5="","",Ergebnisse!BA5)</f>
        <v>32</v>
      </c>
      <c r="BB5" s="6">
        <f>IF(Ergebnisse!BB5="","",Ergebnisse!BB5)</f>
        <v>46192.5</v>
      </c>
      <c r="BC5" s="6" t="str">
        <f>IF(Ergebnisse!BC5="","",Ergebnisse!BC5)</f>
        <v>Seattle</v>
      </c>
      <c r="BD5" s="56" t="str">
        <f>IF(Ergebnisse!BD5="","",Ergebnisse!BD5)</f>
        <v>USA</v>
      </c>
      <c r="BE5" s="40"/>
      <c r="BF5" s="56" t="str">
        <f>IF(Ergebnisse!BF5="","",Ergebnisse!BF5)</f>
        <v>Australien</v>
      </c>
      <c r="BG5" s="53"/>
      <c r="BH5" s="57">
        <v>5</v>
      </c>
      <c r="BI5" s="11" t="s">
        <v>25</v>
      </c>
      <c r="BJ5" s="57">
        <v>4</v>
      </c>
      <c r="BL5" s="1"/>
      <c r="BY5" s="2"/>
      <c r="CX5" s="17">
        <f ca="1">IF($CX$97="",IF(OR(Ergebnisse!BH5="",Ergebnisse!BJ5=""),0,IF(AND(BH5=Ergebnisse!BH5,BJ5=Ergebnisse!BJ5),7,MIN(7,(BH5-BJ5=Ergebnisse!BH5-Ergebnisse!BJ5)*4+(AND(BH5-BJ5&lt;&gt;Ergebnisse!BH5-Ergebnisse!BJ5,SIGN(BH5-BJ5)=SIGN(Ergebnisse!BH5-Ergebnisse!BJ5)))*2+(BH5=Ergebnisse!BH5)+(BJ5=Ergebnisse!BJ5)))),INT(RAND()*8))</f>
        <v>0</v>
      </c>
      <c r="CY5" s="17" t="str">
        <f ca="1">IF(Ergebnisse!BK5=Ergebnisse!$B$98,Ergebnisse!BK5,"")</f>
        <v>ok</v>
      </c>
      <c r="DA5" s="167" t="s">
        <v>79</v>
      </c>
      <c r="DB5" s="270">
        <v>4</v>
      </c>
    </row>
    <row r="6" spans="1:106">
      <c r="A6" s="2">
        <f>IF(Ergebnisse!A6="","",Ergebnisse!A6)</f>
        <v>25</v>
      </c>
      <c r="B6" s="6">
        <f>IF(Ergebnisse!B6="","",Ergebnisse!B6)</f>
        <v>46191.5</v>
      </c>
      <c r="C6" s="6" t="str">
        <f>IF(Ergebnisse!C6="","",Ergebnisse!C6)</f>
        <v>Atlanta</v>
      </c>
      <c r="D6" s="56" t="str">
        <f>IF(Ergebnisse!D6="","",Ergebnisse!D6)</f>
        <v>Tschechien</v>
      </c>
      <c r="E6" s="40"/>
      <c r="F6" s="56" t="str">
        <f>IF(Ergebnisse!F6="","",Ergebnisse!F6)</f>
        <v>Südafrika</v>
      </c>
      <c r="G6" s="53"/>
      <c r="H6" s="57">
        <v>1</v>
      </c>
      <c r="I6" s="11" t="s">
        <v>25</v>
      </c>
      <c r="J6" s="57">
        <v>0</v>
      </c>
      <c r="L6" s="1"/>
      <c r="N6" s="1"/>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17">
        <f ca="1">IF($CX$97="",IF(OR(Ergebnisse!H6="",Ergebnisse!J6=""),0,IF(AND(H6=Ergebnisse!H6,J6=Ergebnisse!J6),7,MIN(7,(H6-J6=Ergebnisse!H6-Ergebnisse!J6)*4+(AND(H6-J6&lt;&gt;Ergebnisse!H6-Ergebnisse!J6,SIGN(H6-J6)=SIGN(Ergebnisse!H6-Ergebnisse!J6)))*2+(H6=Ergebnisse!H6)+(J6=Ergebnisse!J6)))),INT(RAND()*8))</f>
        <v>0</v>
      </c>
      <c r="AY6" s="17" t="str">
        <f ca="1">IF(Ergebnisse!K6=Ergebnisse!$B$98,Ergebnisse!K6,"")</f>
        <v>ok</v>
      </c>
      <c r="AZ6" s="2"/>
      <c r="BA6" s="2">
        <f>IF(Ergebnisse!BA6="","",Ergebnisse!BA6)</f>
        <v>31</v>
      </c>
      <c r="BB6" s="6">
        <f>IF(Ergebnisse!BB6="","",Ergebnisse!BB6)</f>
        <v>46192.875</v>
      </c>
      <c r="BC6" s="6" t="str">
        <f>IF(Ergebnisse!BC6="","",Ergebnisse!BC6)</f>
        <v>San Francisco</v>
      </c>
      <c r="BD6" s="56" t="str">
        <f>IF(Ergebnisse!BD6="","",Ergebnisse!BD6)</f>
        <v>Türkei</v>
      </c>
      <c r="BE6" s="40"/>
      <c r="BF6" s="56" t="str">
        <f>IF(Ergebnisse!BF6="","",Ergebnisse!BF6)</f>
        <v>Paraguay</v>
      </c>
      <c r="BG6" s="53"/>
      <c r="BH6" s="57">
        <v>1</v>
      </c>
      <c r="BI6" s="11" t="s">
        <v>25</v>
      </c>
      <c r="BJ6" s="57">
        <v>0</v>
      </c>
      <c r="BL6" s="1"/>
      <c r="BN6" s="1"/>
      <c r="BY6" s="2"/>
      <c r="CX6" s="17">
        <f ca="1">IF($CX$97="",IF(OR(Ergebnisse!BH6="",Ergebnisse!BJ6=""),0,IF(AND(BH6=Ergebnisse!BH6,BJ6=Ergebnisse!BJ6),7,MIN(7,(BH6-BJ6=Ergebnisse!BH6-Ergebnisse!BJ6)*4+(AND(BH6-BJ6&lt;&gt;Ergebnisse!BH6-Ergebnisse!BJ6,SIGN(BH6-BJ6)=SIGN(Ergebnisse!BH6-Ergebnisse!BJ6)))*2+(BH6=Ergebnisse!BH6)+(BJ6=Ergebnisse!BJ6)))),INT(RAND()*8))</f>
        <v>2</v>
      </c>
      <c r="CY6" s="17" t="str">
        <f ca="1">IF(Ergebnisse!BK6=Ergebnisse!$B$98,Ergebnisse!BK6,"")</f>
        <v>ok</v>
      </c>
      <c r="DA6" s="167" t="s">
        <v>80</v>
      </c>
      <c r="DB6" s="270">
        <v>2</v>
      </c>
    </row>
    <row r="7" spans="1:106">
      <c r="A7" s="2">
        <f>IF(Ergebnisse!A7="","",Ergebnisse!A7)</f>
        <v>53</v>
      </c>
      <c r="B7" s="6">
        <f>IF(Ergebnisse!B7="","",Ergebnisse!B7)</f>
        <v>46197.833333333336</v>
      </c>
      <c r="C7" s="6" t="str">
        <f>IF(Ergebnisse!C7="","",Ergebnisse!C7)</f>
        <v>Mexico City</v>
      </c>
      <c r="D7" s="56" t="str">
        <f>IF(Ergebnisse!D7="","",Ergebnisse!D7)</f>
        <v>Tschechien</v>
      </c>
      <c r="E7" s="40"/>
      <c r="F7" s="56" t="str">
        <f>IF(Ergebnisse!F7="","",Ergebnisse!F7)</f>
        <v>Mexiko</v>
      </c>
      <c r="G7" s="55"/>
      <c r="H7" s="57">
        <v>3</v>
      </c>
      <c r="I7" s="11" t="s">
        <v>25</v>
      </c>
      <c r="J7" s="57">
        <v>5</v>
      </c>
      <c r="M7" s="36" t="s">
        <v>201</v>
      </c>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17">
        <f ca="1">IF($CX$97="",IF(OR(Ergebnisse!H7="",Ergebnisse!J7=""),0,IF(AND(H7=Ergebnisse!H7,J7=Ergebnisse!J7),7,MIN(7,(H7-J7=Ergebnisse!H7-Ergebnisse!J7)*4+(AND(H7-J7&lt;&gt;Ergebnisse!H7-Ergebnisse!J7,SIGN(H7-J7)=SIGN(Ergebnisse!H7-Ergebnisse!J7)))*2+(H7=Ergebnisse!H7)+(J7=Ergebnisse!J7)))),INT(RAND()*8))</f>
        <v>0</v>
      </c>
      <c r="AY7" s="17" t="str">
        <f ca="1">IF(Ergebnisse!K7=Ergebnisse!$B$98,Ergebnisse!K7,"")</f>
        <v>ok</v>
      </c>
      <c r="AZ7" s="2"/>
      <c r="BA7" s="2">
        <f>IF(Ergebnisse!BA7="","",Ergebnisse!BA7)</f>
        <v>59</v>
      </c>
      <c r="BB7" s="6">
        <f>IF(Ergebnisse!BB7="","",Ergebnisse!BB7)</f>
        <v>46198.791666666664</v>
      </c>
      <c r="BC7" s="6" t="str">
        <f>IF(Ergebnisse!BC7="","",Ergebnisse!BC7)</f>
        <v>Los Angeles</v>
      </c>
      <c r="BD7" s="56" t="str">
        <f>IF(Ergebnisse!BD7="","",Ergebnisse!BD7)</f>
        <v>Türkei</v>
      </c>
      <c r="BE7" s="40"/>
      <c r="BF7" s="56" t="str">
        <f>IF(Ergebnisse!BF7="","",Ergebnisse!BF7)</f>
        <v>USA</v>
      </c>
      <c r="BG7" s="55"/>
      <c r="BH7" s="57">
        <v>4</v>
      </c>
      <c r="BI7" s="11" t="s">
        <v>25</v>
      </c>
      <c r="BJ7" s="57">
        <v>4</v>
      </c>
      <c r="BM7" s="177" t="s">
        <v>185</v>
      </c>
      <c r="BY7" s="2"/>
      <c r="CX7" s="17">
        <f ca="1">IF($CX$97="",IF(OR(Ergebnisse!BH7="",Ergebnisse!BJ7=""),0,IF(AND(BH7=Ergebnisse!BH7,BJ7=Ergebnisse!BJ7),7,MIN(7,(BH7-BJ7=Ergebnisse!BH7-Ergebnisse!BJ7)*4+(AND(BH7-BJ7&lt;&gt;Ergebnisse!BH7-Ergebnisse!BJ7,SIGN(BH7-BJ7)=SIGN(Ergebnisse!BH7-Ergebnisse!BJ7)))*2+(BH7=Ergebnisse!BH7)+(BJ7=Ergebnisse!BJ7)))),INT(RAND()*8))</f>
        <v>0</v>
      </c>
      <c r="CY7" s="17" t="str">
        <f ca="1">IF(Ergebnisse!BK7=Ergebnisse!$B$98,Ergebnisse!BK7,"")</f>
        <v>ok</v>
      </c>
      <c r="DA7" s="168" t="s">
        <v>452</v>
      </c>
      <c r="DB7" s="169">
        <v>72</v>
      </c>
    </row>
    <row r="8" spans="1:106">
      <c r="A8" s="2">
        <f>IF(Ergebnisse!A8="","",Ergebnisse!A8)</f>
        <v>54</v>
      </c>
      <c r="B8" s="6">
        <f>IF(Ergebnisse!B8="","",Ergebnisse!B8)</f>
        <v>46197.833333333336</v>
      </c>
      <c r="C8" s="6" t="str">
        <f>IF(Ergebnisse!C8="","",Ergebnisse!C8)</f>
        <v>Monterrey</v>
      </c>
      <c r="D8" s="56" t="str">
        <f>IF(Ergebnisse!D8="","",Ergebnisse!D8)</f>
        <v>Südafrika</v>
      </c>
      <c r="E8" s="40"/>
      <c r="F8" s="56" t="str">
        <f>IF(Ergebnisse!F8="","",Ergebnisse!F8)</f>
        <v>Südkorea</v>
      </c>
      <c r="G8" s="55"/>
      <c r="H8" s="57">
        <v>4</v>
      </c>
      <c r="I8" s="11" t="s">
        <v>25</v>
      </c>
      <c r="J8" s="57">
        <v>5</v>
      </c>
      <c r="M8" s="36" t="s">
        <v>205</v>
      </c>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17">
        <f ca="1">IF($CX$97="",IF(OR(Ergebnisse!H8="",Ergebnisse!J8=""),0,IF(AND(H8=Ergebnisse!H8,J8=Ergebnisse!J8),7,MIN(7,(H8-J8=Ergebnisse!H8-Ergebnisse!J8)*4+(AND(H8-J8&lt;&gt;Ergebnisse!H8-Ergebnisse!J8,SIGN(H8-J8)=SIGN(Ergebnisse!H8-Ergebnisse!J8)))*2+(H8=Ergebnisse!H8)+(J8=Ergebnisse!J8)))),INT(RAND()*8))</f>
        <v>0</v>
      </c>
      <c r="AY8" s="17" t="str">
        <f ca="1">IF(Ergebnisse!K8=Ergebnisse!$B$98,Ergebnisse!K8,"")</f>
        <v>ok</v>
      </c>
      <c r="AZ8" s="2"/>
      <c r="BA8" s="2">
        <f>IF(Ergebnisse!BA8="","",Ergebnisse!BA8)</f>
        <v>60</v>
      </c>
      <c r="BB8" s="6">
        <f>IF(Ergebnisse!BB8="","",Ergebnisse!BB8)</f>
        <v>46198.791666666664</v>
      </c>
      <c r="BC8" s="6" t="str">
        <f>IF(Ergebnisse!BC8="","",Ergebnisse!BC8)</f>
        <v>San Francisco</v>
      </c>
      <c r="BD8" s="56" t="str">
        <f>IF(Ergebnisse!BD8="","",Ergebnisse!BD8)</f>
        <v>Paraguay</v>
      </c>
      <c r="BE8" s="40"/>
      <c r="BF8" s="56" t="str">
        <f>IF(Ergebnisse!BF8="","",Ergebnisse!BF8)</f>
        <v>Australien</v>
      </c>
      <c r="BG8" s="55"/>
      <c r="BH8" s="57">
        <v>0</v>
      </c>
      <c r="BI8" s="11" t="s">
        <v>25</v>
      </c>
      <c r="BJ8" s="57">
        <v>1</v>
      </c>
      <c r="BM8" s="177" t="s">
        <v>202</v>
      </c>
      <c r="BY8" s="2"/>
      <c r="CX8" s="17">
        <f ca="1">IF($CX$97="",IF(OR(Ergebnisse!BH8="",Ergebnisse!BJ8=""),0,IF(AND(BH8=Ergebnisse!BH8,BJ8=Ergebnisse!BJ8),7,MIN(7,(BH8-BJ8=Ergebnisse!BH8-Ergebnisse!BJ8)*4+(AND(BH8-BJ8&lt;&gt;Ergebnisse!BH8-Ergebnisse!BJ8,SIGN(BH8-BJ8)=SIGN(Ergebnisse!BH8-Ergebnisse!BJ8)))*2+(BH8=Ergebnisse!BH8)+(BJ8=Ergebnisse!BJ8)))),INT(RAND()*8))</f>
        <v>1</v>
      </c>
      <c r="CY8" s="17" t="str">
        <f ca="1">IF(Ergebnisse!BK8=Ergebnisse!$B$98,Ergebnisse!BK8,"")</f>
        <v>ok</v>
      </c>
      <c r="DA8" s="163"/>
      <c r="DB8" s="164"/>
    </row>
    <row r="9" spans="1:106">
      <c r="E9" s="55"/>
      <c r="F9" s="55"/>
      <c r="G9" s="55"/>
      <c r="M9" s="36" t="s">
        <v>189</v>
      </c>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8">
        <f ca="1">IF($CX$97="",2*COUNTIF(Ergebnisse!$D$63:'Ergebnisse'!$F$78,M9),2*INT(RAND()*2))</f>
        <v>2</v>
      </c>
      <c r="AY9" s="17" t="str">
        <f ca="1">IF(COUNTIF(Ergebnisse!K3:'Ergebnisse'!K8,Ergebnisse!$B$98)=6,"ok","")</f>
        <v>ok</v>
      </c>
      <c r="AZ9" s="2"/>
      <c r="BE9" s="55"/>
      <c r="BF9" s="55"/>
      <c r="BG9" s="55"/>
      <c r="BM9" s="177" t="s">
        <v>206</v>
      </c>
      <c r="BY9" s="2"/>
      <c r="CX9" s="76">
        <f ca="1">IF($CX$97="",2*COUNTIF(Ergebnisse!$D$63:'Ergebnisse'!$F$78,BM9),2*INT(RAND()*2))</f>
        <v>2</v>
      </c>
      <c r="CY9" s="17" t="str">
        <f ca="1">IF(COUNTIF(Ergebnisse!BK3:'Ergebnisse'!BK8,Ergebnisse!$B$98)=6,"ok","")</f>
        <v>ok</v>
      </c>
      <c r="DA9" s="165" t="s">
        <v>81</v>
      </c>
      <c r="DB9" s="166">
        <f>DB12*DB11</f>
        <v>64</v>
      </c>
    </row>
    <row r="10" spans="1:106" ht="6" customHeight="1">
      <c r="D10" s="55"/>
      <c r="E10" s="58"/>
      <c r="F10" s="59"/>
      <c r="G10" s="59"/>
      <c r="H10" s="55"/>
      <c r="I10" s="55"/>
      <c r="J10" s="55"/>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17"/>
      <c r="AZ10" s="2"/>
      <c r="BD10" s="55"/>
      <c r="BE10" s="58"/>
      <c r="BF10" s="59"/>
      <c r="BG10" s="59"/>
      <c r="BH10" s="55"/>
      <c r="BI10" s="55"/>
      <c r="BJ10" s="55"/>
      <c r="BY10" s="2"/>
      <c r="DA10" s="163"/>
      <c r="DB10" s="164"/>
    </row>
    <row r="11" spans="1:106" s="10" customFormat="1">
      <c r="B11" s="31" t="s">
        <v>0</v>
      </c>
      <c r="C11" s="32" t="s">
        <v>31</v>
      </c>
      <c r="D11" s="53" t="s">
        <v>2</v>
      </c>
      <c r="E11" s="54"/>
      <c r="F11" s="53"/>
      <c r="G11" s="53"/>
      <c r="H11" s="20"/>
      <c r="I11" s="19"/>
      <c r="J11" s="20"/>
      <c r="K11" s="180"/>
      <c r="L11" s="17"/>
      <c r="M11" s="35"/>
      <c r="N11" s="17"/>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X11" s="31">
        <f ca="1">IF($CX$97="",2*COUNTIF(Ergebnisse!$D$63:'Ergebnisse'!$F$78,M17),2*INT(RAND()*2))</f>
        <v>2</v>
      </c>
      <c r="AY11" s="17" t="str">
        <f ca="1">IF(COUNTIF(Ergebnisse!K13:'Ergebnisse'!K18,Ergebnisse!$B$98)=6,"ok","")</f>
        <v>ok</v>
      </c>
      <c r="BB11" s="72" t="s">
        <v>0</v>
      </c>
      <c r="BC11" s="73" t="s">
        <v>21</v>
      </c>
      <c r="BD11" s="53" t="s">
        <v>2</v>
      </c>
      <c r="BE11" s="54"/>
      <c r="BF11" s="53"/>
      <c r="BG11" s="53"/>
      <c r="BH11" s="20"/>
      <c r="BI11" s="19"/>
      <c r="BJ11" s="20"/>
      <c r="BK11" s="180"/>
      <c r="BL11" s="17"/>
      <c r="BM11" s="35"/>
      <c r="BN11" s="17"/>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72">
        <f ca="1">IF($CX$97="",2*COUNTIF(Ergebnisse!$D$63:'Ergebnisse'!$F$78,BM17),2*INT(RAND()*2))</f>
        <v>0</v>
      </c>
      <c r="CY11" s="17" t="str">
        <f ca="1">IF(COUNTIF(Ergebnisse!BK13:'Ergebnisse'!BK18,Ergebnisse!$B$98)=6,"ok","")</f>
        <v>ok</v>
      </c>
      <c r="DA11" s="163" t="s">
        <v>157</v>
      </c>
      <c r="DB11" s="270">
        <v>2</v>
      </c>
    </row>
    <row r="12" spans="1:106">
      <c r="B12" s="3" t="s">
        <v>22</v>
      </c>
      <c r="C12" s="3" t="s">
        <v>23</v>
      </c>
      <c r="D12" s="55"/>
      <c r="E12" s="55"/>
      <c r="F12" s="55"/>
      <c r="G12" s="55"/>
      <c r="L12" s="1"/>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31">
        <f ca="1">IF($CX$97="",2*COUNTIF(Ergebnisse!$D$63:'Ergebnisse'!$F$78,M18),2*INT(RAND()*2))</f>
        <v>0</v>
      </c>
      <c r="AY12" s="17" t="str">
        <f ca="1">IF(COUNTIF(Ergebnisse!K13:'Ergebnisse'!K18,Ergebnisse!$B$98)=6,"ok","")</f>
        <v>ok</v>
      </c>
      <c r="AZ12" s="2"/>
      <c r="BB12" s="3" t="s">
        <v>22</v>
      </c>
      <c r="BC12" s="3" t="s">
        <v>23</v>
      </c>
      <c r="BD12" s="55"/>
      <c r="BE12" s="55"/>
      <c r="BF12" s="55"/>
      <c r="BG12" s="55"/>
      <c r="BL12" s="1"/>
      <c r="BY12" s="2"/>
      <c r="CX12" s="72">
        <f ca="1">IF($CX$97="",2*COUNTIF(Ergebnisse!$D$63:'Ergebnisse'!$F$78,BM18),2*INT(RAND()*2))</f>
        <v>2</v>
      </c>
      <c r="CY12" s="17" t="str">
        <f ca="1">IF(COUNTIF(Ergebnisse!BK13:'Ergebnisse'!BK18,Ergebnisse!$B$98)=6,"ok","")</f>
        <v>ok</v>
      </c>
      <c r="DA12" s="168" t="s">
        <v>453</v>
      </c>
      <c r="DB12" s="188">
        <v>32</v>
      </c>
    </row>
    <row r="13" spans="1:106">
      <c r="A13" s="16">
        <f>IF(Ergebnisse!A13="","",Ergebnisse!A13)</f>
        <v>3</v>
      </c>
      <c r="B13" s="6">
        <f>IF(Ergebnisse!B13="","",Ergebnisse!B13)</f>
        <v>46185.625</v>
      </c>
      <c r="C13" s="6" t="str">
        <f>IF(Ergebnisse!C13="","",Ergebnisse!C13)</f>
        <v>Toronto</v>
      </c>
      <c r="D13" s="56" t="str">
        <f>IF(Ergebnisse!D13="","",Ergebnisse!D13)</f>
        <v>Kanada</v>
      </c>
      <c r="E13" s="40"/>
      <c r="F13" s="56" t="str">
        <f>IF(Ergebnisse!F13="","",Ergebnisse!F13)</f>
        <v>Bosnien/Herzg.</v>
      </c>
      <c r="G13" s="53"/>
      <c r="H13" s="57">
        <v>0</v>
      </c>
      <c r="I13" s="11" t="s">
        <v>25</v>
      </c>
      <c r="J13" s="57">
        <v>0</v>
      </c>
      <c r="L13" s="1"/>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17">
        <f ca="1">IF($CX$97="",IF(OR(Ergebnisse!H13="",Ergebnisse!J13=""),0,IF(AND(H13=Ergebnisse!H13,J13=Ergebnisse!J13),7,MIN(7,(H13-J13=Ergebnisse!H13-Ergebnisse!J13)*4+(AND(H13-J13&lt;&gt;Ergebnisse!H13-Ergebnisse!J13,SIGN(H13-J13)=SIGN(Ergebnisse!H13-Ergebnisse!J13)))*2+(H13=Ergebnisse!H13)+(J13=Ergebnisse!J13)))),INT(RAND()*8))</f>
        <v>7</v>
      </c>
      <c r="AY13" s="17" t="str">
        <f ca="1">IF(Ergebnisse!K13=Ergebnisse!$B$98,Ergebnisse!K13,"")</f>
        <v>ok</v>
      </c>
      <c r="AZ13" s="2"/>
      <c r="BA13" s="2">
        <f>IF(Ergebnisse!BA13="","",Ergebnisse!BA13)</f>
        <v>10</v>
      </c>
      <c r="BB13" s="6">
        <f>IF(Ergebnisse!BB13="","",Ergebnisse!BB13)</f>
        <v>46187.5</v>
      </c>
      <c r="BC13" s="6" t="str">
        <f>IF(Ergebnisse!BC13="","",Ergebnisse!BC13)</f>
        <v>Houston</v>
      </c>
      <c r="BD13" s="56" t="str">
        <f>IF(Ergebnisse!BD13="","",Ergebnisse!BD13)</f>
        <v>Deutschland</v>
      </c>
      <c r="BE13" s="40"/>
      <c r="BF13" s="56" t="str">
        <f>IF(Ergebnisse!BF13="","",Ergebnisse!BF13)</f>
        <v>Curaçao</v>
      </c>
      <c r="BG13" s="53"/>
      <c r="BH13" s="57">
        <v>5</v>
      </c>
      <c r="BI13" s="11" t="s">
        <v>25</v>
      </c>
      <c r="BJ13" s="57">
        <v>2</v>
      </c>
      <c r="BL13" s="1"/>
      <c r="BY13" s="2"/>
      <c r="CX13" s="17">
        <f ca="1">IF($CX$97="",IF(OR(Ergebnisse!BH13="",Ergebnisse!BJ13=""),0,IF(AND(BH13=Ergebnisse!BH13,BJ13=Ergebnisse!BJ13),7,MIN(7,(BH13-BJ13=Ergebnisse!BH13-Ergebnisse!BJ13)*4+(AND(BH13-BJ13&lt;&gt;Ergebnisse!BH13-Ergebnisse!BJ13,SIGN(BH13-BJ13)=SIGN(Ergebnisse!BH13-Ergebnisse!BJ13)))*2+(BH13=Ergebnisse!BH13)+(BJ13=Ergebnisse!BJ13)))),INT(RAND()*8))</f>
        <v>0</v>
      </c>
      <c r="CY13" s="17" t="str">
        <f ca="1">IF(Ergebnisse!BK13=Ergebnisse!$B$98,Ergebnisse!BK13,"")</f>
        <v>ok</v>
      </c>
      <c r="DA13" s="168"/>
      <c r="DB13" s="164"/>
    </row>
    <row r="14" spans="1:106">
      <c r="A14" s="2">
        <f>IF(Ergebnisse!A14="","",Ergebnisse!A14)</f>
        <v>8</v>
      </c>
      <c r="B14" s="6">
        <f>IF(Ergebnisse!B14="","",Ergebnisse!B14)</f>
        <v>46186.5</v>
      </c>
      <c r="C14" s="6" t="str">
        <f>IF(Ergebnisse!C14="","",Ergebnisse!C14)</f>
        <v>San Francisco</v>
      </c>
      <c r="D14" s="56" t="str">
        <f>IF(Ergebnisse!D14="","",Ergebnisse!D14)</f>
        <v>Katar</v>
      </c>
      <c r="E14" s="40"/>
      <c r="F14" s="56" t="str">
        <f>IF(Ergebnisse!F14="","",Ergebnisse!F14)</f>
        <v>Schweiz</v>
      </c>
      <c r="G14" s="53"/>
      <c r="H14" s="57">
        <v>4</v>
      </c>
      <c r="I14" s="11" t="s">
        <v>25</v>
      </c>
      <c r="J14" s="57">
        <v>5</v>
      </c>
      <c r="L14" s="1"/>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17">
        <f ca="1">IF($CX$97="",IF(OR(Ergebnisse!H14="",Ergebnisse!J14=""),0,IF(AND(H14=Ergebnisse!H14,J14=Ergebnisse!J14),7,MIN(7,(H14-J14=Ergebnisse!H14-Ergebnisse!J14)*4+(AND(H14-J14&lt;&gt;Ergebnisse!H14-Ergebnisse!J14,SIGN(H14-J14)=SIGN(Ergebnisse!H14-Ergebnisse!J14)))*2+(H14=Ergebnisse!H14)+(J14=Ergebnisse!J14)))),INT(RAND()*8))</f>
        <v>2</v>
      </c>
      <c r="AY14" s="17" t="str">
        <f ca="1">IF(Ergebnisse!K14=Ergebnisse!$B$98,Ergebnisse!K14,"")</f>
        <v>ok</v>
      </c>
      <c r="AZ14" s="2"/>
      <c r="BA14" s="2">
        <f>IF(Ergebnisse!BA14="","",Ergebnisse!BA14)</f>
        <v>9</v>
      </c>
      <c r="BB14" s="6">
        <f>IF(Ergebnisse!BB14="","",Ergebnisse!BB14)</f>
        <v>46187.791666666664</v>
      </c>
      <c r="BC14" s="6" t="str">
        <f>IF(Ergebnisse!BC14="","",Ergebnisse!BC14)</f>
        <v>Philadelphia</v>
      </c>
      <c r="BD14" s="56" t="str">
        <f>IF(Ergebnisse!BD14="","",Ergebnisse!BD14)</f>
        <v>Elfenbeinküste</v>
      </c>
      <c r="BE14" s="40"/>
      <c r="BF14" s="56" t="str">
        <f>IF(Ergebnisse!BF14="","",Ergebnisse!BF14)</f>
        <v>Ecuador</v>
      </c>
      <c r="BG14" s="53"/>
      <c r="BH14" s="57">
        <v>1</v>
      </c>
      <c r="BI14" s="11" t="s">
        <v>25</v>
      </c>
      <c r="BJ14" s="57">
        <v>1</v>
      </c>
      <c r="BL14" s="1"/>
      <c r="BY14" s="2"/>
      <c r="CX14" s="17">
        <f ca="1">IF($CX$97="",IF(OR(Ergebnisse!BH14="",Ergebnisse!BJ14=""),0,IF(AND(BH14=Ergebnisse!BH14,BJ14=Ergebnisse!BJ14),7,MIN(7,(BH14-BJ14=Ergebnisse!BH14-Ergebnisse!BJ14)*4+(AND(BH14-BJ14&lt;&gt;Ergebnisse!BH14-Ergebnisse!BJ14,SIGN(BH14-BJ14)=SIGN(Ergebnisse!BH14-Ergebnisse!BJ14)))*2+(BH14=Ergebnisse!BH14)+(BJ14=Ergebnisse!BJ14)))),INT(RAND()*8))</f>
        <v>1</v>
      </c>
      <c r="CY14" s="17" t="str">
        <f ca="1">IF(Ergebnisse!BK14=Ergebnisse!$B$98,Ergebnisse!BK14,"")</f>
        <v>ok</v>
      </c>
      <c r="DA14" s="170" t="s">
        <v>454</v>
      </c>
      <c r="DB14" s="166">
        <f>DB17*(DB16+2*DB15)</f>
        <v>144</v>
      </c>
    </row>
    <row r="15" spans="1:106">
      <c r="A15" s="2">
        <f>IF(Ergebnisse!A15="","",Ergebnisse!A15)</f>
        <v>27</v>
      </c>
      <c r="B15" s="6">
        <f>IF(Ergebnisse!B15="","",Ergebnisse!B15)</f>
        <v>46191.625</v>
      </c>
      <c r="C15" s="6" t="str">
        <f>IF(Ergebnisse!C15="","",Ergebnisse!C15)</f>
        <v>Vancouver</v>
      </c>
      <c r="D15" s="56" t="str">
        <f>IF(Ergebnisse!D15="","",Ergebnisse!D15)</f>
        <v>Kanada</v>
      </c>
      <c r="E15" s="40"/>
      <c r="F15" s="56" t="str">
        <f>IF(Ergebnisse!F15="","",Ergebnisse!F15)</f>
        <v>Katar</v>
      </c>
      <c r="G15" s="53"/>
      <c r="H15" s="57">
        <v>0</v>
      </c>
      <c r="I15" s="11" t="s">
        <v>25</v>
      </c>
      <c r="J15" s="57">
        <v>0</v>
      </c>
      <c r="L15" s="1"/>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17">
        <f ca="1">IF($CX$97="",IF(OR(Ergebnisse!H15="",Ergebnisse!J15=""),0,IF(AND(H15=Ergebnisse!H15,J15=Ergebnisse!J15),7,MIN(7,(H15-J15=Ergebnisse!H15-Ergebnisse!J15)*4+(AND(H15-J15&lt;&gt;Ergebnisse!H15-Ergebnisse!J15,SIGN(H15-J15)=SIGN(Ergebnisse!H15-Ergebnisse!J15)))*2+(H15=Ergebnisse!H15)+(J15=Ergebnisse!J15)))),INT(RAND()*8))</f>
        <v>0</v>
      </c>
      <c r="AY15" s="17" t="str">
        <f ca="1">IF(Ergebnisse!K15=Ergebnisse!$B$98,Ergebnisse!K15,"")</f>
        <v>ok</v>
      </c>
      <c r="AZ15" s="2"/>
      <c r="BA15" s="2">
        <f>IF(Ergebnisse!BA15="","",Ergebnisse!BA15)</f>
        <v>33</v>
      </c>
      <c r="BB15" s="6">
        <f>IF(Ergebnisse!BB15="","",Ergebnisse!BB15)</f>
        <v>46193.666666666664</v>
      </c>
      <c r="BC15" s="6" t="str">
        <f>IF(Ergebnisse!BC15="","",Ergebnisse!BC15)</f>
        <v>Toronto</v>
      </c>
      <c r="BD15" s="56" t="str">
        <f>IF(Ergebnisse!BD15="","",Ergebnisse!BD15)</f>
        <v>Deutschland</v>
      </c>
      <c r="BE15" s="40"/>
      <c r="BF15" s="56" t="str">
        <f>IF(Ergebnisse!BF15="","",Ergebnisse!BF15)</f>
        <v>Elfenbeinküste</v>
      </c>
      <c r="BG15" s="53"/>
      <c r="BH15" s="57">
        <v>2</v>
      </c>
      <c r="BI15" s="11" t="s">
        <v>25</v>
      </c>
      <c r="BJ15" s="57">
        <v>2</v>
      </c>
      <c r="BL15" s="1"/>
      <c r="BY15" s="2"/>
      <c r="CX15" s="17">
        <f ca="1">IF($CX$97="",IF(OR(Ergebnisse!BH15="",Ergebnisse!BJ15=""),0,IF(AND(BH15=Ergebnisse!BH15,BJ15=Ergebnisse!BJ15),7,MIN(7,(BH15-BJ15=Ergebnisse!BH15-Ergebnisse!BJ15)*4+(AND(BH15-BJ15&lt;&gt;Ergebnisse!BH15-Ergebnisse!BJ15,SIGN(BH15-BJ15)=SIGN(Ergebnisse!BH15-Ergebnisse!BJ15)))*2+(BH15=Ergebnisse!BH15)+(BJ15=Ergebnisse!BJ15)))),INT(RAND()*8))</f>
        <v>1</v>
      </c>
      <c r="CY15" s="17" t="str">
        <f ca="1">IF(Ergebnisse!BK15=Ergebnisse!$B$98,Ergebnisse!BK15,"")</f>
        <v>ok</v>
      </c>
      <c r="DA15" s="167" t="s">
        <v>455</v>
      </c>
      <c r="DB15" s="270">
        <v>1</v>
      </c>
    </row>
    <row r="16" spans="1:106">
      <c r="A16" s="2">
        <f>IF(Ergebnisse!A16="","",Ergebnisse!A16)</f>
        <v>26</v>
      </c>
      <c r="B16" s="6">
        <f>IF(Ergebnisse!B16="","",Ergebnisse!B16)</f>
        <v>46191.5</v>
      </c>
      <c r="C16" s="6" t="str">
        <f>IF(Ergebnisse!C16="","",Ergebnisse!C16)</f>
        <v>Los Angeles</v>
      </c>
      <c r="D16" s="56" t="str">
        <f>IF(Ergebnisse!D16="","",Ergebnisse!D16)</f>
        <v>Schweiz</v>
      </c>
      <c r="E16" s="40"/>
      <c r="F16" s="56" t="str">
        <f>IF(Ergebnisse!F16="","",Ergebnisse!F16)</f>
        <v>Bosnien/Herzg.</v>
      </c>
      <c r="G16" s="53"/>
      <c r="H16" s="57">
        <v>5</v>
      </c>
      <c r="I16" s="11" t="s">
        <v>25</v>
      </c>
      <c r="J16" s="57">
        <v>4</v>
      </c>
      <c r="L16" s="1"/>
      <c r="N16" s="1"/>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17">
        <f ca="1">IF($CX$97="",IF(OR(Ergebnisse!H16="",Ergebnisse!J16=""),0,IF(AND(H16=Ergebnisse!H16,J16=Ergebnisse!J16),7,MIN(7,(H16-J16=Ergebnisse!H16-Ergebnisse!J16)*4+(AND(H16-J16&lt;&gt;Ergebnisse!H16-Ergebnisse!J16,SIGN(H16-J16)=SIGN(Ergebnisse!H16-Ergebnisse!J16)))*2+(H16=Ergebnisse!H16)+(J16=Ergebnisse!J16)))),INT(RAND()*8))</f>
        <v>0</v>
      </c>
      <c r="AY16" s="17" t="str">
        <f ca="1">IF(Ergebnisse!K16=Ergebnisse!$B$98,Ergebnisse!K16,"")</f>
        <v>ok</v>
      </c>
      <c r="AZ16" s="2"/>
      <c r="BA16" s="2">
        <f>IF(Ergebnisse!BA16="","",Ergebnisse!BA16)</f>
        <v>34</v>
      </c>
      <c r="BB16" s="6">
        <f>IF(Ergebnisse!BB16="","",Ergebnisse!BB16)</f>
        <v>46193.791666666672</v>
      </c>
      <c r="BC16" s="6" t="str">
        <f>IF(Ergebnisse!BC16="","",Ergebnisse!BC16)</f>
        <v>Kansas City</v>
      </c>
      <c r="BD16" s="56" t="str">
        <f>IF(Ergebnisse!BD16="","",Ergebnisse!BD16)</f>
        <v>Ecuador</v>
      </c>
      <c r="BE16" s="40"/>
      <c r="BF16" s="56" t="str">
        <f>IF(Ergebnisse!BF16="","",Ergebnisse!BF16)</f>
        <v>Curaçao</v>
      </c>
      <c r="BG16" s="53"/>
      <c r="BH16" s="57">
        <v>3</v>
      </c>
      <c r="BI16" s="11" t="s">
        <v>25</v>
      </c>
      <c r="BJ16" s="57">
        <v>0</v>
      </c>
      <c r="BL16" s="1"/>
      <c r="BN16" s="1"/>
      <c r="BY16" s="2"/>
      <c r="CX16" s="17">
        <f ca="1">IF($CX$97="",IF(OR(Ergebnisse!BH16="",Ergebnisse!BJ16=""),0,IF(AND(BH16=Ergebnisse!BH16,BJ16=Ergebnisse!BJ16),7,MIN(7,(BH16-BJ16=Ergebnisse!BH16-Ergebnisse!BJ16)*4+(AND(BH16-BJ16&lt;&gt;Ergebnisse!BH16-Ergebnisse!BJ16,SIGN(BH16-BJ16)=SIGN(Ergebnisse!BH16-Ergebnisse!BJ16)))*2+(BH16=Ergebnisse!BH16)+(BJ16=Ergebnisse!BJ16)))),INT(RAND()*8))</f>
        <v>2</v>
      </c>
      <c r="CY16" s="17" t="str">
        <f ca="1">IF(Ergebnisse!BK16=Ergebnisse!$B$98,Ergebnisse!BK16,"")</f>
        <v>ok</v>
      </c>
      <c r="DA16" s="171" t="s">
        <v>83</v>
      </c>
      <c r="DB16" s="270">
        <v>7</v>
      </c>
    </row>
    <row r="17" spans="1:106">
      <c r="A17" s="2">
        <f>IF(Ergebnisse!A17="","",Ergebnisse!A17)</f>
        <v>51</v>
      </c>
      <c r="B17" s="6">
        <f>IF(Ergebnisse!B17="","",Ergebnisse!B17)</f>
        <v>46197.5</v>
      </c>
      <c r="C17" s="6" t="str">
        <f>IF(Ergebnisse!C17="","",Ergebnisse!C17)</f>
        <v>Vancouver</v>
      </c>
      <c r="D17" s="56" t="str">
        <f>IF(Ergebnisse!D17="","",Ergebnisse!D17)</f>
        <v>Schweiz</v>
      </c>
      <c r="E17" s="40"/>
      <c r="F17" s="56" t="str">
        <f>IF(Ergebnisse!F17="","",Ergebnisse!F17)</f>
        <v>Kanada</v>
      </c>
      <c r="G17" s="55"/>
      <c r="H17" s="57">
        <v>4</v>
      </c>
      <c r="I17" s="11" t="s">
        <v>25</v>
      </c>
      <c r="J17" s="57">
        <v>3</v>
      </c>
      <c r="M17" s="37" t="s">
        <v>68</v>
      </c>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17">
        <f ca="1">IF($CX$97="",IF(OR(Ergebnisse!H17="",Ergebnisse!J17=""),0,IF(AND(H17=Ergebnisse!H17,J17=Ergebnisse!J17),7,MIN(7,(H17-J17=Ergebnisse!H17-Ergebnisse!J17)*4+(AND(H17-J17&lt;&gt;Ergebnisse!H17-Ergebnisse!J17,SIGN(H17-J17)=SIGN(Ergebnisse!H17-Ergebnisse!J17)))*2+(H17=Ergebnisse!H17)+(J17=Ergebnisse!J17)))),INT(RAND()*8))</f>
        <v>0</v>
      </c>
      <c r="AY17" s="17" t="str">
        <f ca="1">IF(Ergebnisse!K17=Ergebnisse!$B$98,Ergebnisse!K17,"")</f>
        <v>ok</v>
      </c>
      <c r="AZ17" s="2"/>
      <c r="BA17" s="2">
        <f>IF(Ergebnisse!BA17="","",Ergebnisse!BA17)</f>
        <v>57</v>
      </c>
      <c r="BB17" s="6">
        <f>IF(Ergebnisse!BB17="","",Ergebnisse!BB17)</f>
        <v>46198.75</v>
      </c>
      <c r="BC17" s="6" t="str">
        <f>IF(Ergebnisse!BC17="","",Ergebnisse!BC17)</f>
        <v>Dallas</v>
      </c>
      <c r="BD17" s="56" t="str">
        <f>IF(Ergebnisse!BD17="","",Ergebnisse!BD17)</f>
        <v>Ecuador</v>
      </c>
      <c r="BE17" s="40"/>
      <c r="BF17" s="56" t="str">
        <f>IF(Ergebnisse!BF17="","",Ergebnisse!BF17)</f>
        <v>Deutschland</v>
      </c>
      <c r="BG17" s="55"/>
      <c r="BH17" s="57">
        <v>1</v>
      </c>
      <c r="BI17" s="11" t="s">
        <v>25</v>
      </c>
      <c r="BJ17" s="57">
        <v>2</v>
      </c>
      <c r="BM17" s="73" t="s">
        <v>67</v>
      </c>
      <c r="BY17" s="2"/>
      <c r="CX17" s="17">
        <f ca="1">IF($CX$97="",IF(OR(Ergebnisse!BH17="",Ergebnisse!BJ17=""),0,IF(AND(BH17=Ergebnisse!BH17,BJ17=Ergebnisse!BJ17),7,MIN(7,(BH17-BJ17=Ergebnisse!BH17-Ergebnisse!BJ17)*4+(AND(BH17-BJ17&lt;&gt;Ergebnisse!BH17-Ergebnisse!BJ17,SIGN(BH17-BJ17)=SIGN(Ergebnisse!BH17-Ergebnisse!BJ17)))*2+(BH17=Ergebnisse!BH17)+(BJ17=Ergebnisse!BJ17)))),INT(RAND()*8))</f>
        <v>0</v>
      </c>
      <c r="CY17" s="17" t="str">
        <f ca="1">IF(Ergebnisse!BK17=Ergebnisse!$B$98,Ergebnisse!BK17,"")</f>
        <v>ok</v>
      </c>
      <c r="DA17" s="168" t="s">
        <v>76</v>
      </c>
      <c r="DB17" s="169">
        <v>16</v>
      </c>
    </row>
    <row r="18" spans="1:106">
      <c r="A18" s="2">
        <f>IF(Ergebnisse!A18="","",Ergebnisse!A18)</f>
        <v>52</v>
      </c>
      <c r="B18" s="6">
        <f>IF(Ergebnisse!B18="","",Ergebnisse!B18)</f>
        <v>46197.5</v>
      </c>
      <c r="C18" s="6" t="str">
        <f>IF(Ergebnisse!C18="","",Ergebnisse!C18)</f>
        <v>Seattle</v>
      </c>
      <c r="D18" s="56" t="str">
        <f>IF(Ergebnisse!D18="","",Ergebnisse!D18)</f>
        <v>Bosnien/Herzg.</v>
      </c>
      <c r="E18" s="40"/>
      <c r="F18" s="56" t="str">
        <f>IF(Ergebnisse!F18="","",Ergebnisse!F18)</f>
        <v>Katar</v>
      </c>
      <c r="G18" s="55"/>
      <c r="H18" s="57">
        <v>1</v>
      </c>
      <c r="I18" s="11" t="s">
        <v>25</v>
      </c>
      <c r="J18" s="57">
        <v>1</v>
      </c>
      <c r="M18" s="37" t="s">
        <v>208</v>
      </c>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17">
        <f ca="1">IF($CX$97="",IF(OR(Ergebnisse!H18="",Ergebnisse!J18=""),0,IF(AND(H18=Ergebnisse!H18,J18=Ergebnisse!J18),7,MIN(7,(H18-J18=Ergebnisse!H18-Ergebnisse!J18)*4+(AND(H18-J18&lt;&gt;Ergebnisse!H18-Ergebnisse!J18,SIGN(H18-J18)=SIGN(Ergebnisse!H18-Ergebnisse!J18)))*2+(H18=Ergebnisse!H18)+(J18=Ergebnisse!J18)))),INT(RAND()*8))</f>
        <v>0</v>
      </c>
      <c r="AY18" s="17" t="str">
        <f ca="1">IF(Ergebnisse!K18=Ergebnisse!$B$98,Ergebnisse!K18,"")</f>
        <v>ok</v>
      </c>
      <c r="AZ18" s="2"/>
      <c r="BA18" s="2">
        <f>IF(Ergebnisse!BA18="","",Ergebnisse!BA18)</f>
        <v>58</v>
      </c>
      <c r="BB18" s="6">
        <f>IF(Ergebnisse!BB18="","",Ergebnisse!BB18)</f>
        <v>46198.75</v>
      </c>
      <c r="BC18" s="6" t="str">
        <f>IF(Ergebnisse!BC18="","",Ergebnisse!BC18)</f>
        <v>Kansas City</v>
      </c>
      <c r="BD18" s="56" t="str">
        <f>IF(Ergebnisse!BD18="","",Ergebnisse!BD18)</f>
        <v>Curaçao</v>
      </c>
      <c r="BE18" s="40"/>
      <c r="BF18" s="56" t="str">
        <f>IF(Ergebnisse!BF18="","",Ergebnisse!BF18)</f>
        <v>Elfenbeinküste</v>
      </c>
      <c r="BG18" s="55"/>
      <c r="BH18" s="57">
        <v>1</v>
      </c>
      <c r="BI18" s="11" t="s">
        <v>25</v>
      </c>
      <c r="BJ18" s="57">
        <v>4</v>
      </c>
      <c r="BM18" s="73" t="s">
        <v>211</v>
      </c>
      <c r="BY18" s="2"/>
      <c r="CX18" s="17">
        <f ca="1">IF($CX$97="",IF(OR(Ergebnisse!BH18="",Ergebnisse!BJ18=""),0,IF(AND(BH18=Ergebnisse!BH18,BJ18=Ergebnisse!BJ18),7,MIN(7,(BH18-BJ18=Ergebnisse!BH18-Ergebnisse!BJ18)*4+(AND(BH18-BJ18&lt;&gt;Ergebnisse!BH18-Ergebnisse!BJ18,SIGN(BH18-BJ18)=SIGN(Ergebnisse!BH18-Ergebnisse!BJ18)))*2+(BH18=Ergebnisse!BH18)+(BJ18=Ergebnisse!BJ18)))),INT(RAND()*8))</f>
        <v>2</v>
      </c>
      <c r="CY18" s="17" t="str">
        <f ca="1">IF(Ergebnisse!BK18=Ergebnisse!$B$98,Ergebnisse!BK18,"")</f>
        <v>ok</v>
      </c>
      <c r="DA18" s="163"/>
      <c r="DB18" s="164"/>
    </row>
    <row r="19" spans="1:106">
      <c r="D19" s="55"/>
      <c r="E19" s="55"/>
      <c r="G19" s="55"/>
      <c r="M19" s="37" t="s">
        <v>210</v>
      </c>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31">
        <f ca="1">IF($CX$97="",2*COUNTIF(Ergebnisse!$D$63:'Ergebnisse'!$F$78,M19),2*INT(RAND()*2))</f>
        <v>0</v>
      </c>
      <c r="AY19" s="17" t="str">
        <f ca="1">IF(COUNTIF(Ergebnisse!K13:'Ergebnisse'!K18,Ergebnisse!$B$98)=6,"ok","")</f>
        <v>ok</v>
      </c>
      <c r="AZ19" s="2"/>
      <c r="BE19" s="55"/>
      <c r="BF19" s="55"/>
      <c r="BG19" s="55"/>
      <c r="BM19" s="73" t="s">
        <v>212</v>
      </c>
      <c r="BY19" s="2"/>
      <c r="CX19" s="72">
        <f ca="1">IF($CX$97="",2*COUNTIF(Ergebnisse!$D$63:'Ergebnisse'!$F$78,BM19),2*INT(RAND()*2))</f>
        <v>2</v>
      </c>
      <c r="CY19" s="17" t="str">
        <f ca="1">IF(COUNTIF(Ergebnisse!BK13:'Ergebnisse'!BK18,Ergebnisse!$B$98)=6,"ok","")</f>
        <v>ok</v>
      </c>
      <c r="DA19" s="170" t="s">
        <v>82</v>
      </c>
      <c r="DB19" s="166">
        <f>DB23*(DB22+2*DB21)</f>
        <v>88</v>
      </c>
    </row>
    <row r="20" spans="1:106" ht="6" customHeight="1">
      <c r="D20" s="55"/>
      <c r="E20" s="58"/>
      <c r="F20" s="59"/>
      <c r="G20" s="59"/>
      <c r="H20" s="55"/>
      <c r="I20" s="55"/>
      <c r="J20" s="55"/>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17"/>
      <c r="AZ20" s="2"/>
      <c r="BD20" s="55"/>
      <c r="BE20" s="58"/>
      <c r="BF20" s="59"/>
      <c r="BG20" s="59"/>
      <c r="BH20" s="55"/>
      <c r="BI20" s="55"/>
      <c r="BJ20" s="55"/>
      <c r="BY20" s="2"/>
    </row>
    <row r="21" spans="1:106" s="10" customFormat="1">
      <c r="B21" s="27" t="s">
        <v>0</v>
      </c>
      <c r="C21" s="25" t="s">
        <v>37</v>
      </c>
      <c r="D21" s="53" t="s">
        <v>2</v>
      </c>
      <c r="E21" s="54"/>
      <c r="F21" s="53"/>
      <c r="G21" s="53"/>
      <c r="H21" s="20"/>
      <c r="I21" s="19"/>
      <c r="J21" s="20"/>
      <c r="K21" s="180"/>
      <c r="L21" s="17"/>
      <c r="M21" s="35"/>
      <c r="N21" s="17"/>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X21" s="27">
        <f ca="1">IF($CX$97="",2*COUNTIF(Ergebnisse!$D$63:'Ergebnisse'!$F$78,M27),2*INT(RAND()*2))</f>
        <v>0</v>
      </c>
      <c r="AY21" s="17" t="str">
        <f ca="1">IF(COUNTIF(Ergebnisse!K23:'Ergebnisse'!K28,Ergebnisse!$B$98)=6,"ok","")</f>
        <v>ok</v>
      </c>
      <c r="BB21" s="221" t="s">
        <v>0</v>
      </c>
      <c r="BC21" s="222" t="s">
        <v>32</v>
      </c>
      <c r="BD21" s="53" t="s">
        <v>2</v>
      </c>
      <c r="BE21" s="54"/>
      <c r="BF21" s="53"/>
      <c r="BG21" s="53"/>
      <c r="BH21" s="20"/>
      <c r="BI21" s="19"/>
      <c r="BJ21" s="20"/>
      <c r="BK21" s="180"/>
      <c r="BL21" s="17"/>
      <c r="BM21" s="35"/>
      <c r="BN21" s="17"/>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21">
        <f ca="1">IF($CX$97="",2*COUNTIF(Ergebnisse!$D$63:'Ergebnisse'!$F$78,BM27),2*INT(RAND()*2))</f>
        <v>2</v>
      </c>
      <c r="CY21" s="17" t="str">
        <f ca="1">IF(COUNTIF(Ergebnisse!BK23:'Ergebnisse'!BK28,Ergebnisse!$B$98)=6,"ok","")</f>
        <v>ok</v>
      </c>
      <c r="DA21" s="167" t="s">
        <v>125</v>
      </c>
      <c r="DB21" s="164">
        <v>2</v>
      </c>
    </row>
    <row r="22" spans="1:106">
      <c r="B22" s="3" t="s">
        <v>22</v>
      </c>
      <c r="C22" s="3" t="s">
        <v>23</v>
      </c>
      <c r="D22" s="55"/>
      <c r="E22" s="55"/>
      <c r="F22" s="55"/>
      <c r="G22" s="55"/>
      <c r="L22" s="1"/>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7">
        <f ca="1">IF($CX$97="",2*COUNTIF(Ergebnisse!$D$63:'Ergebnisse'!$F$78,M28),2*INT(RAND()*2))</f>
        <v>2</v>
      </c>
      <c r="AY22" s="17" t="str">
        <f ca="1">IF(COUNTIF(Ergebnisse!K23:'Ergebnisse'!K28,Ergebnisse!$B$98)=6,"ok","")</f>
        <v>ok</v>
      </c>
      <c r="AZ22" s="2"/>
      <c r="BB22" s="3" t="s">
        <v>22</v>
      </c>
      <c r="BC22" s="3" t="s">
        <v>23</v>
      </c>
      <c r="BD22" s="55"/>
      <c r="BE22" s="55"/>
      <c r="BF22" s="55"/>
      <c r="BG22" s="55"/>
      <c r="BL22" s="1"/>
      <c r="BY22" s="2"/>
      <c r="CX22" s="221">
        <f ca="1">IF($CX$97="",2*COUNTIF(Ergebnisse!$D$63:'Ergebnisse'!$F$78,BM28),2*INT(RAND()*2))</f>
        <v>0</v>
      </c>
      <c r="CY22" s="17" t="str">
        <f ca="1">IF(COUNTIF(Ergebnisse!BK23:'Ergebnisse'!BK28,Ergebnisse!$B$98)=6,"ok","")</f>
        <v>ok</v>
      </c>
      <c r="DA22" s="171" t="s">
        <v>83</v>
      </c>
      <c r="DB22" s="270">
        <v>7</v>
      </c>
    </row>
    <row r="23" spans="1:106">
      <c r="A23" s="2">
        <f>IF(Ergebnisse!A23="","",Ergebnisse!A23)</f>
        <v>7</v>
      </c>
      <c r="B23" s="6">
        <f>IF(Ergebnisse!B23="","",Ergebnisse!B23)</f>
        <v>46186.75</v>
      </c>
      <c r="C23" s="6" t="str">
        <f>IF(Ergebnisse!C23="","",Ergebnisse!C23)</f>
        <v>New York</v>
      </c>
      <c r="D23" s="56" t="str">
        <f>IF(Ergebnisse!D23="","",Ergebnisse!D23)</f>
        <v>Brasilien</v>
      </c>
      <c r="E23" s="40"/>
      <c r="F23" s="56" t="str">
        <f>IF(Ergebnisse!F23="","",Ergebnisse!F23)</f>
        <v>Marokko</v>
      </c>
      <c r="G23" s="53"/>
      <c r="H23" s="57">
        <v>0</v>
      </c>
      <c r="I23" s="11" t="s">
        <v>25</v>
      </c>
      <c r="J23" s="57">
        <v>0</v>
      </c>
      <c r="L23" s="1"/>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17">
        <f ca="1">IF($CX$97="",IF(OR(Ergebnisse!H23="",Ergebnisse!J23=""),0,IF(AND(H23=Ergebnisse!H23,J23=Ergebnisse!J23),7,MIN(7,(H23-J23=Ergebnisse!H23-Ergebnisse!J23)*4+(AND(H23-J23&lt;&gt;Ergebnisse!H23-Ergebnisse!J23,SIGN(H23-J23)=SIGN(Ergebnisse!H23-Ergebnisse!J23)))*2+(H23=Ergebnisse!H23)+(J23=Ergebnisse!J23)))),INT(RAND()*8))</f>
        <v>0</v>
      </c>
      <c r="AY23" s="17" t="str">
        <f ca="1">IF(Ergebnisse!K23=Ergebnisse!$B$98,Ergebnisse!K23,"")</f>
        <v>ok</v>
      </c>
      <c r="AZ23" s="2"/>
      <c r="BA23" s="2">
        <f>IF(Ergebnisse!BA23="","",Ergebnisse!BA23)</f>
        <v>11</v>
      </c>
      <c r="BB23" s="6">
        <f>IF(Ergebnisse!BB23="","",Ergebnisse!BB23)</f>
        <v>46187.625</v>
      </c>
      <c r="BC23" s="6" t="str">
        <f>IF(Ergebnisse!BC23="","",Ergebnisse!BC23)</f>
        <v>Dallas</v>
      </c>
      <c r="BD23" s="56" t="str">
        <f>IF(Ergebnisse!BD23="","",Ergebnisse!BD23)</f>
        <v>Niederlande</v>
      </c>
      <c r="BE23" s="40"/>
      <c r="BF23" s="56" t="str">
        <f>IF(Ergebnisse!BF23="","",Ergebnisse!BF23)</f>
        <v>Japan</v>
      </c>
      <c r="BG23" s="53"/>
      <c r="BH23" s="57">
        <v>1</v>
      </c>
      <c r="BI23" s="11" t="s">
        <v>25</v>
      </c>
      <c r="BJ23" s="57">
        <v>0</v>
      </c>
      <c r="BL23" s="1"/>
      <c r="BY23" s="2"/>
      <c r="CX23" s="17">
        <f ca="1">IF($CX$97="",IF(OR(Ergebnisse!BH23="",Ergebnisse!BJ23=""),0,IF(AND(BH23=Ergebnisse!BH23,BJ23=Ergebnisse!BJ23),7,MIN(7,(BH23-BJ23=Ergebnisse!BH23-Ergebnisse!BJ23)*4+(AND(BH23-BJ23&lt;&gt;Ergebnisse!BH23-Ergebnisse!BJ23,SIGN(BH23-BJ23)=SIGN(Ergebnisse!BH23-Ergebnisse!BJ23)))*2+(BH23=Ergebnisse!BH23)+(BJ23=Ergebnisse!BJ23)))),INT(RAND()*8))</f>
        <v>2</v>
      </c>
      <c r="CY23" s="17" t="str">
        <f ca="1">IF(Ergebnisse!BK23=Ergebnisse!$B$98,Ergebnisse!BK23,"")</f>
        <v>ok</v>
      </c>
      <c r="DA23" s="168" t="s">
        <v>76</v>
      </c>
      <c r="DB23" s="169">
        <v>8</v>
      </c>
    </row>
    <row r="24" spans="1:106">
      <c r="A24" s="2">
        <f>IF(Ergebnisse!A24="","",Ergebnisse!A24)</f>
        <v>5</v>
      </c>
      <c r="B24" s="6">
        <f>IF(Ergebnisse!B24="","",Ergebnisse!B24)</f>
        <v>46186.875</v>
      </c>
      <c r="C24" s="6" t="str">
        <f>IF(Ergebnisse!C24="","",Ergebnisse!C24)</f>
        <v>Boston</v>
      </c>
      <c r="D24" s="56" t="str">
        <f>IF(Ergebnisse!D24="","",Ergebnisse!D24)</f>
        <v>Haiti</v>
      </c>
      <c r="E24" s="40"/>
      <c r="F24" s="56" t="str">
        <f>IF(Ergebnisse!F24="","",Ergebnisse!F24)</f>
        <v>Schottland</v>
      </c>
      <c r="G24" s="53"/>
      <c r="H24" s="57">
        <v>4</v>
      </c>
      <c r="I24" s="11" t="s">
        <v>25</v>
      </c>
      <c r="J24" s="57">
        <v>4</v>
      </c>
      <c r="L24" s="1"/>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17">
        <f ca="1">IF($CX$97="",IF(OR(Ergebnisse!H24="",Ergebnisse!J24=""),0,IF(AND(H24=Ergebnisse!H24,J24=Ergebnisse!J24),7,MIN(7,(H24-J24=Ergebnisse!H24-Ergebnisse!J24)*4+(AND(H24-J24&lt;&gt;Ergebnisse!H24-Ergebnisse!J24,SIGN(H24-J24)=SIGN(Ergebnisse!H24-Ergebnisse!J24)))*2+(H24=Ergebnisse!H24)+(J24=Ergebnisse!J24)))),INT(RAND()*8))</f>
        <v>0</v>
      </c>
      <c r="AY24" s="17" t="str">
        <f ca="1">IF(Ergebnisse!K24=Ergebnisse!$B$98,Ergebnisse!K24,"")</f>
        <v>ok</v>
      </c>
      <c r="AZ24" s="2"/>
      <c r="BA24" s="2">
        <f>IF(Ergebnisse!BA24="","",Ergebnisse!BA24)</f>
        <v>12</v>
      </c>
      <c r="BB24" s="6">
        <f>IF(Ergebnisse!BB24="","",Ergebnisse!BB24)</f>
        <v>46187.875</v>
      </c>
      <c r="BC24" s="6" t="str">
        <f>IF(Ergebnisse!BC24="","",Ergebnisse!BC24)</f>
        <v>Monterrey</v>
      </c>
      <c r="BD24" s="56" t="str">
        <f>IF(Ergebnisse!BD24="","",Ergebnisse!BD24)</f>
        <v>Schweden</v>
      </c>
      <c r="BE24" s="40"/>
      <c r="BF24" s="56" t="str">
        <f>IF(Ergebnisse!BF24="","",Ergebnisse!BF24)</f>
        <v>Tunesien</v>
      </c>
      <c r="BG24" s="53"/>
      <c r="BH24" s="57">
        <v>0</v>
      </c>
      <c r="BI24" s="11" t="s">
        <v>25</v>
      </c>
      <c r="BJ24" s="57">
        <v>1</v>
      </c>
      <c r="BL24" s="1"/>
      <c r="BY24" s="2"/>
      <c r="CX24" s="17">
        <f ca="1">IF($CX$97="",IF(OR(Ergebnisse!BH24="",Ergebnisse!BJ24=""),0,IF(AND(BH24=Ergebnisse!BH24,BJ24=Ergebnisse!BJ24),7,MIN(7,(BH24-BJ24=Ergebnisse!BH24-Ergebnisse!BJ24)*4+(AND(BH24-BJ24&lt;&gt;Ergebnisse!BH24-Ergebnisse!BJ24,SIGN(BH24-BJ24)=SIGN(Ergebnisse!BH24-Ergebnisse!BJ24)))*2+(BH24=Ergebnisse!BH24)+(BJ24=Ergebnisse!BJ24)))),INT(RAND()*8))</f>
        <v>0</v>
      </c>
      <c r="CY24" s="17" t="str">
        <f ca="1">IF(Ergebnisse!BK24=Ergebnisse!$B$98,Ergebnisse!BK24,"")</f>
        <v>ok</v>
      </c>
    </row>
    <row r="25" spans="1:106">
      <c r="A25" s="2">
        <f>IF(Ergebnisse!A25="","",Ergebnisse!A25)</f>
        <v>29</v>
      </c>
      <c r="B25" s="6">
        <f>IF(Ergebnisse!B25="","",Ergebnisse!B25)</f>
        <v>46192.875</v>
      </c>
      <c r="C25" s="6" t="str">
        <f>IF(Ergebnisse!C25="","",Ergebnisse!C25)</f>
        <v>Philadelphia</v>
      </c>
      <c r="D25" s="56" t="str">
        <f>IF(Ergebnisse!D25="","",Ergebnisse!D25)</f>
        <v>Brasilien</v>
      </c>
      <c r="E25" s="40"/>
      <c r="F25" s="56" t="str">
        <f>IF(Ergebnisse!F25="","",Ergebnisse!F25)</f>
        <v>Haiti</v>
      </c>
      <c r="G25" s="53"/>
      <c r="H25" s="57">
        <v>3</v>
      </c>
      <c r="I25" s="11" t="s">
        <v>25</v>
      </c>
      <c r="J25" s="57">
        <v>1</v>
      </c>
      <c r="L25" s="1"/>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17">
        <f ca="1">IF($CX$97="",IF(OR(Ergebnisse!H25="",Ergebnisse!J25=""),0,IF(AND(H25=Ergebnisse!H25,J25=Ergebnisse!J25),7,MIN(7,(H25-J25=Ergebnisse!H25-Ergebnisse!J25)*4+(AND(H25-J25&lt;&gt;Ergebnisse!H25-Ergebnisse!J25,SIGN(H25-J25)=SIGN(Ergebnisse!H25-Ergebnisse!J25)))*2+(H25=Ergebnisse!H25)+(J25=Ergebnisse!J25)))),INT(RAND()*8))</f>
        <v>1</v>
      </c>
      <c r="AY25" s="17" t="str">
        <f ca="1">IF(Ergebnisse!K25=Ergebnisse!$B$98,Ergebnisse!K25,"")</f>
        <v>ok</v>
      </c>
      <c r="AZ25" s="2"/>
      <c r="BA25" s="2">
        <f>IF(Ergebnisse!BA25="","",Ergebnisse!BA25)</f>
        <v>35</v>
      </c>
      <c r="BB25" s="6">
        <f>IF(Ergebnisse!BB25="","",Ergebnisse!BB25)</f>
        <v>46193.5</v>
      </c>
      <c r="BC25" s="6" t="str">
        <f>IF(Ergebnisse!BC25="","",Ergebnisse!BC25)</f>
        <v>Houston</v>
      </c>
      <c r="BD25" s="56" t="str">
        <f>IF(Ergebnisse!BD25="","",Ergebnisse!BD25)</f>
        <v>Niederlande</v>
      </c>
      <c r="BE25" s="40"/>
      <c r="BF25" s="56" t="str">
        <f>IF(Ergebnisse!BF25="","",Ergebnisse!BF25)</f>
        <v>Schweden</v>
      </c>
      <c r="BG25" s="53"/>
      <c r="BH25" s="57">
        <v>2</v>
      </c>
      <c r="BI25" s="11" t="s">
        <v>25</v>
      </c>
      <c r="BJ25" s="57">
        <v>0</v>
      </c>
      <c r="BL25" s="1"/>
      <c r="BY25" s="2"/>
      <c r="CX25" s="17">
        <f ca="1">IF($CX$97="",IF(OR(Ergebnisse!BH25="",Ergebnisse!BJ25=""),0,IF(AND(BH25=Ergebnisse!BH25,BJ25=Ergebnisse!BJ25),7,MIN(7,(BH25-BJ25=Ergebnisse!BH25-Ergebnisse!BJ25)*4+(AND(BH25-BJ25&lt;&gt;Ergebnisse!BH25-Ergebnisse!BJ25,SIGN(BH25-BJ25)=SIGN(Ergebnisse!BH25-Ergebnisse!BJ25)))*2+(BH25=Ergebnisse!BH25)+(BJ25=Ergebnisse!BJ25)))),INT(RAND()*8))</f>
        <v>7</v>
      </c>
      <c r="CY25" s="17" t="str">
        <f ca="1">IF(Ergebnisse!BK25=Ergebnisse!$B$98,Ergebnisse!BK25,"")</f>
        <v>ok</v>
      </c>
      <c r="DA25" s="170" t="s">
        <v>75</v>
      </c>
      <c r="DB25" s="166">
        <f>DB29*(DB28+2*DB26)</f>
        <v>52</v>
      </c>
    </row>
    <row r="26" spans="1:106">
      <c r="A26" s="2">
        <f>IF(Ergebnisse!A26="","",Ergebnisse!A26)</f>
        <v>30</v>
      </c>
      <c r="B26" s="6">
        <f>IF(Ergebnisse!B26="","",Ergebnisse!B26)</f>
        <v>46192.75</v>
      </c>
      <c r="C26" s="6" t="str">
        <f>IF(Ergebnisse!C26="","",Ergebnisse!C26)</f>
        <v>Boston</v>
      </c>
      <c r="D26" s="56" t="str">
        <f>IF(Ergebnisse!D26="","",Ergebnisse!D26)</f>
        <v>Schottland</v>
      </c>
      <c r="E26" s="40"/>
      <c r="F26" s="56" t="str">
        <f>IF(Ergebnisse!F26="","",Ergebnisse!F26)</f>
        <v>Marokko</v>
      </c>
      <c r="G26" s="53"/>
      <c r="H26" s="57">
        <v>2</v>
      </c>
      <c r="I26" s="11" t="s">
        <v>25</v>
      </c>
      <c r="J26" s="57">
        <v>3</v>
      </c>
      <c r="L26" s="1"/>
      <c r="N26" s="1"/>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17">
        <f ca="1">IF($CX$97="",IF(OR(Ergebnisse!H26="",Ergebnisse!J26=""),0,IF(AND(H26=Ergebnisse!H26,J26=Ergebnisse!J26),7,MIN(7,(H26-J26=Ergebnisse!H26-Ergebnisse!J26)*4+(AND(H26-J26&lt;&gt;Ergebnisse!H26-Ergebnisse!J26,SIGN(H26-J26)=SIGN(Ergebnisse!H26-Ergebnisse!J26)))*2+(H26=Ergebnisse!H26)+(J26=Ergebnisse!J26)))),INT(RAND()*8))</f>
        <v>7</v>
      </c>
      <c r="AY26" s="17" t="str">
        <f ca="1">IF(Ergebnisse!K26=Ergebnisse!$B$98,Ergebnisse!K26,"")</f>
        <v>ok</v>
      </c>
      <c r="AZ26" s="2"/>
      <c r="BA26" s="2">
        <f>IF(Ergebnisse!BA26="","",Ergebnisse!BA26)</f>
        <v>36</v>
      </c>
      <c r="BB26" s="6">
        <f>IF(Ergebnisse!BB26="","",Ergebnisse!BB26)</f>
        <v>46193.958333333336</v>
      </c>
      <c r="BC26" s="6" t="str">
        <f>IF(Ergebnisse!BC26="","",Ergebnisse!BC26)</f>
        <v>Monterrey</v>
      </c>
      <c r="BD26" s="56" t="str">
        <f>IF(Ergebnisse!BD26="","",Ergebnisse!BD26)</f>
        <v>Tunesien</v>
      </c>
      <c r="BE26" s="40"/>
      <c r="BF26" s="56" t="str">
        <f>IF(Ergebnisse!BF26="","",Ergebnisse!BF26)</f>
        <v>Japan</v>
      </c>
      <c r="BG26" s="53"/>
      <c r="BH26" s="57">
        <v>4</v>
      </c>
      <c r="BI26" s="11" t="s">
        <v>25</v>
      </c>
      <c r="BJ26" s="57">
        <v>4</v>
      </c>
      <c r="BL26" s="1"/>
      <c r="BN26" s="1"/>
      <c r="BY26" s="2"/>
      <c r="CX26" s="17">
        <f ca="1">IF($CX$97="",IF(OR(Ergebnisse!BH26="",Ergebnisse!BJ26=""),0,IF(AND(BH26=Ergebnisse!BH26,BJ26=Ergebnisse!BJ26),7,MIN(7,(BH26-BJ26=Ergebnisse!BH26-Ergebnisse!BJ26)*4+(AND(BH26-BJ26&lt;&gt;Ergebnisse!BH26-Ergebnisse!BJ26,SIGN(BH26-BJ26)=SIGN(Ergebnisse!BH26-Ergebnisse!BJ26)))*2+(BH26=Ergebnisse!BH26)+(BJ26=Ergebnisse!BJ26)))),INT(RAND()*8))</f>
        <v>0</v>
      </c>
      <c r="CY26" s="17" t="str">
        <f ca="1">IF(Ergebnisse!BK26=Ergebnisse!$B$98,Ergebnisse!BK26,"")</f>
        <v>ok</v>
      </c>
      <c r="DA26" s="167" t="s">
        <v>126</v>
      </c>
      <c r="DB26" s="164">
        <v>3</v>
      </c>
    </row>
    <row r="27" spans="1:106">
      <c r="A27" s="2">
        <f>IF(Ergebnisse!A27="","",Ergebnisse!A27)</f>
        <v>49</v>
      </c>
      <c r="B27" s="6">
        <f>IF(Ergebnisse!B27="","",Ergebnisse!B27)</f>
        <v>46197.75</v>
      </c>
      <c r="C27" s="6" t="str">
        <f>IF(Ergebnisse!C27="","",Ergebnisse!C27)</f>
        <v>Miami</v>
      </c>
      <c r="D27" s="56" t="str">
        <f>IF(Ergebnisse!D27="","",Ergebnisse!D27)</f>
        <v>Schottland</v>
      </c>
      <c r="E27" s="40"/>
      <c r="F27" s="56" t="str">
        <f>IF(Ergebnisse!F27="","",Ergebnisse!F27)</f>
        <v>Brasilien</v>
      </c>
      <c r="G27" s="55"/>
      <c r="H27" s="57">
        <v>3</v>
      </c>
      <c r="I27" s="11" t="s">
        <v>25</v>
      </c>
      <c r="J27" s="57">
        <v>3</v>
      </c>
      <c r="M27" s="38" t="s">
        <v>214</v>
      </c>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17">
        <f ca="1">IF($CX$97="",IF(OR(Ergebnisse!H27="",Ergebnisse!J27=""),0,IF(AND(H27=Ergebnisse!H27,J27=Ergebnisse!J27),7,MIN(7,(H27-J27=Ergebnisse!H27-Ergebnisse!J27)*4+(AND(H27-J27&lt;&gt;Ergebnisse!H27-Ergebnisse!J27,SIGN(H27-J27)=SIGN(Ergebnisse!H27-Ergebnisse!J27)))*2+(H27=Ergebnisse!H27)+(J27=Ergebnisse!J27)))),INT(RAND()*8))</f>
        <v>0</v>
      </c>
      <c r="AY27" s="17" t="str">
        <f ca="1">IF(Ergebnisse!K27=Ergebnisse!$B$98,Ergebnisse!K27,"")</f>
        <v>ok</v>
      </c>
      <c r="AZ27" s="2"/>
      <c r="BA27" s="2">
        <f>IF(Ergebnisse!BA27="","",Ergebnisse!BA27)</f>
        <v>55</v>
      </c>
      <c r="BB27" s="6">
        <f>IF(Ergebnisse!BB27="","",Ergebnisse!BB27)</f>
        <v>46198.666666666664</v>
      </c>
      <c r="BC27" s="6" t="str">
        <f>IF(Ergebnisse!BC27="","",Ergebnisse!BC27)</f>
        <v>Philadelphia</v>
      </c>
      <c r="BD27" s="56" t="str">
        <f>IF(Ergebnisse!BD27="","",Ergebnisse!BD27)</f>
        <v>Tunesien</v>
      </c>
      <c r="BE27" s="40"/>
      <c r="BF27" s="56" t="str">
        <f>IF(Ergebnisse!BF27="","",Ergebnisse!BF27)</f>
        <v>Niederlande</v>
      </c>
      <c r="BG27" s="55"/>
      <c r="BH27" s="57">
        <v>3</v>
      </c>
      <c r="BI27" s="11" t="s">
        <v>25</v>
      </c>
      <c r="BJ27" s="57">
        <v>5</v>
      </c>
      <c r="BM27" s="223" t="s">
        <v>71</v>
      </c>
      <c r="BY27" s="2"/>
      <c r="CX27" s="17">
        <f ca="1">IF($CX$97="",IF(OR(Ergebnisse!BH27="",Ergebnisse!BJ27=""),0,IF(AND(BH27=Ergebnisse!BH27,BJ27=Ergebnisse!BJ27),7,MIN(7,(BH27-BJ27=Ergebnisse!BH27-Ergebnisse!BJ27)*4+(AND(BH27-BJ27&lt;&gt;Ergebnisse!BH27-Ergebnisse!BJ27,SIGN(BH27-BJ27)=SIGN(Ergebnisse!BH27-Ergebnisse!BJ27)))*2+(BH27=Ergebnisse!BH27)+(BJ27=Ergebnisse!BJ27)))),INT(RAND()*8))</f>
        <v>0</v>
      </c>
      <c r="CY27" s="17" t="str">
        <f ca="1">IF(Ergebnisse!BK27=Ergebnisse!$B$98,Ergebnisse!BK27,"")</f>
        <v>ok</v>
      </c>
      <c r="DA27" s="167" t="s">
        <v>122</v>
      </c>
      <c r="DB27" s="164">
        <v>1</v>
      </c>
    </row>
    <row r="28" spans="1:106">
      <c r="A28" s="2">
        <f>IF(Ergebnisse!A28="","",Ergebnisse!A28)</f>
        <v>50</v>
      </c>
      <c r="B28" s="6">
        <f>IF(Ergebnisse!B28="","",Ergebnisse!B28)</f>
        <v>46197.75</v>
      </c>
      <c r="C28" s="6" t="str">
        <f>IF(Ergebnisse!C28="","",Ergebnisse!C28)</f>
        <v>Atlanta</v>
      </c>
      <c r="D28" s="56" t="str">
        <f>IF(Ergebnisse!D28="","",Ergebnisse!D28)</f>
        <v>Marokko</v>
      </c>
      <c r="E28" s="40"/>
      <c r="F28" s="56" t="str">
        <f>IF(Ergebnisse!F28="","",Ergebnisse!F28)</f>
        <v>Haiti</v>
      </c>
      <c r="G28" s="55"/>
      <c r="H28" s="57">
        <v>2</v>
      </c>
      <c r="I28" s="11" t="s">
        <v>25</v>
      </c>
      <c r="J28" s="57">
        <v>0</v>
      </c>
      <c r="M28" s="38" t="s">
        <v>213</v>
      </c>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17">
        <f ca="1">IF($CX$97="",IF(OR(Ergebnisse!H28="",Ergebnisse!J28=""),0,IF(AND(H28=Ergebnisse!H28,J28=Ergebnisse!J28),7,MIN(7,(H28-J28=Ergebnisse!H28-Ergebnisse!J28)*4+(AND(H28-J28&lt;&gt;Ergebnisse!H28-Ergebnisse!J28,SIGN(H28-J28)=SIGN(Ergebnisse!H28-Ergebnisse!J28)))*2+(H28=Ergebnisse!H28)+(J28=Ergebnisse!J28)))),INT(RAND()*8))</f>
        <v>1</v>
      </c>
      <c r="AY28" s="17" t="str">
        <f ca="1">IF(Ergebnisse!K28=Ergebnisse!$B$98,Ergebnisse!K28,"")</f>
        <v>ok</v>
      </c>
      <c r="AZ28" s="2"/>
      <c r="BA28" s="2">
        <f>IF(Ergebnisse!BA28="","",Ergebnisse!BA28)</f>
        <v>56</v>
      </c>
      <c r="BB28" s="6">
        <f>IF(Ergebnisse!BB28="","",Ergebnisse!BB28)</f>
        <v>46198.666666666664</v>
      </c>
      <c r="BC28" s="6" t="str">
        <f>IF(Ergebnisse!BC28="","",Ergebnisse!BC28)</f>
        <v>New York</v>
      </c>
      <c r="BD28" s="56" t="str">
        <f>IF(Ergebnisse!BD28="","",Ergebnisse!BD28)</f>
        <v>Japan</v>
      </c>
      <c r="BE28" s="40"/>
      <c r="BF28" s="56" t="str">
        <f>IF(Ergebnisse!BF28="","",Ergebnisse!BF28)</f>
        <v>Schweden</v>
      </c>
      <c r="BG28" s="55"/>
      <c r="BH28" s="57">
        <v>5</v>
      </c>
      <c r="BI28" s="11" t="s">
        <v>25</v>
      </c>
      <c r="BJ28" s="57">
        <v>4</v>
      </c>
      <c r="BM28" s="223" t="s">
        <v>215</v>
      </c>
      <c r="BY28" s="2"/>
      <c r="CX28" s="17">
        <f ca="1">IF($CX$97="",IF(OR(Ergebnisse!BH28="",Ergebnisse!BJ28=""),0,IF(AND(BH28=Ergebnisse!BH28,BJ28=Ergebnisse!BJ28),7,MIN(7,(BH28-BJ28=Ergebnisse!BH28-Ergebnisse!BJ28)*4+(AND(BH28-BJ28&lt;&gt;Ergebnisse!BH28-Ergebnisse!BJ28,SIGN(BH28-BJ28)=SIGN(Ergebnisse!BH28-Ergebnisse!BJ28)))*2+(BH28=Ergebnisse!BH28)+(BJ28=Ergebnisse!BJ28)))),INT(RAND()*8))</f>
        <v>0</v>
      </c>
      <c r="CY28" s="17" t="str">
        <f ca="1">IF(Ergebnisse!BK28=Ergebnisse!$B$98,Ergebnisse!BK28,"")</f>
        <v>ok</v>
      </c>
      <c r="DA28" s="171" t="s">
        <v>83</v>
      </c>
      <c r="DB28" s="270">
        <v>7</v>
      </c>
    </row>
    <row r="29" spans="1:106">
      <c r="D29" s="55"/>
      <c r="E29" s="55"/>
      <c r="G29" s="55"/>
      <c r="M29" s="38" t="s">
        <v>184</v>
      </c>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7">
        <f ca="1">IF($CX$97="",2*COUNTIF(Ergebnisse!$D$63:'Ergebnisse'!$F$78,M29),2*INT(RAND()*2))</f>
        <v>2</v>
      </c>
      <c r="AY29" s="17" t="str">
        <f ca="1">IF(COUNTIF(Ergebnisse!K23:'Ergebnisse'!K28,Ergebnisse!$B$98)=6,"ok","")</f>
        <v>ok</v>
      </c>
      <c r="AZ29" s="2"/>
      <c r="BE29" s="55"/>
      <c r="BF29" s="55"/>
      <c r="BG29" s="55"/>
      <c r="BM29" s="223" t="s">
        <v>218</v>
      </c>
      <c r="BY29" s="2"/>
      <c r="CX29" s="221">
        <f ca="1">IF($CX$97="",2*COUNTIF(Ergebnisse!$D$63:'Ergebnisse'!$F$78,BM29),2*INT(RAND()*2))</f>
        <v>2</v>
      </c>
      <c r="CY29" s="17" t="str">
        <f ca="1">IF(COUNTIF(Ergebnisse!BK23:'Ergebnisse'!BK28,Ergebnisse!$B$98)=6,"ok","")</f>
        <v>ok</v>
      </c>
      <c r="DA29" s="168" t="s">
        <v>76</v>
      </c>
      <c r="DB29" s="169">
        <v>4</v>
      </c>
    </row>
    <row r="30" spans="1:106" ht="6" customHeight="1">
      <c r="D30" s="55"/>
      <c r="E30" s="58"/>
      <c r="F30" s="59"/>
      <c r="G30" s="59"/>
      <c r="H30" s="55"/>
      <c r="I30" s="55"/>
      <c r="J30" s="55"/>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17"/>
      <c r="AZ30" s="2"/>
      <c r="BD30" s="55"/>
      <c r="BE30" s="58"/>
      <c r="BF30" s="59"/>
      <c r="BG30" s="59"/>
      <c r="BH30" s="55"/>
      <c r="BI30" s="55"/>
      <c r="BJ30" s="55"/>
      <c r="BY30" s="2"/>
      <c r="DA30" s="163"/>
      <c r="DB30" s="164"/>
    </row>
    <row r="31" spans="1:106">
      <c r="A31" s="10"/>
      <c r="B31" s="224" t="s">
        <v>0</v>
      </c>
      <c r="C31" s="225" t="s">
        <v>219</v>
      </c>
      <c r="D31" s="17" t="s">
        <v>2</v>
      </c>
      <c r="E31" s="14"/>
      <c r="F31" s="17"/>
      <c r="G31" s="17"/>
      <c r="H31" s="17"/>
      <c r="I31" s="19"/>
      <c r="J31" s="20"/>
      <c r="K31" s="180"/>
      <c r="L31" s="17"/>
      <c r="M31" s="35"/>
      <c r="N31" s="17"/>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10"/>
      <c r="AX31" s="224">
        <f ca="1">IF($CX$97="",2*COUNTIF(Ergebnisse!$D$63:'Ergebnisse'!$F$78,M37),2*INT(RAND()*2))</f>
        <v>2</v>
      </c>
      <c r="AY31" s="17" t="str">
        <f ca="1">IF(COUNTIF(Ergebnisse!K33:'Ergebnisse'!K38,Ergebnisse!$B$98)=6,"ok","")</f>
        <v>ok</v>
      </c>
      <c r="AZ31" s="10"/>
      <c r="BA31" s="10"/>
      <c r="BB31" s="226" t="s">
        <v>0</v>
      </c>
      <c r="BC31" s="227" t="s">
        <v>220</v>
      </c>
      <c r="BD31" s="17" t="s">
        <v>2</v>
      </c>
      <c r="BE31" s="14"/>
      <c r="BF31" s="17"/>
      <c r="BG31" s="17"/>
      <c r="BH31" s="17"/>
      <c r="BI31" s="19"/>
      <c r="BJ31" s="20"/>
      <c r="BK31" s="180"/>
      <c r="BL31" s="17"/>
      <c r="BM31" s="35"/>
      <c r="BN31" s="17"/>
      <c r="BY31" s="2"/>
      <c r="CX31" s="226">
        <f ca="1">IF($CX$97="",2*COUNTIF(Ergebnisse!$D$63:'Ergebnisse'!$F$78,BM37),2*INT(RAND()*2))</f>
        <v>2</v>
      </c>
      <c r="CY31" s="17" t="str">
        <f ca="1">IF(COUNTIF(Ergebnisse!BK33:'Ergebnisse'!BK38,Ergebnisse!$B$98)=6,"ok","")</f>
        <v>ok</v>
      </c>
    </row>
    <row r="32" spans="1:106">
      <c r="B32" s="3" t="s">
        <v>22</v>
      </c>
      <c r="C32" s="3" t="s">
        <v>23</v>
      </c>
      <c r="L32" s="1"/>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24">
        <f ca="1">IF($CX$97="",2*COUNTIF(Ergebnisse!$D$63:'Ergebnisse'!$F$78,M38),2*INT(RAND()*2))</f>
        <v>2</v>
      </c>
      <c r="AY32" s="17" t="str">
        <f ca="1">IF(COUNTIF(Ergebnisse!K33:'Ergebnisse'!K38,Ergebnisse!$B$98)=6,"ok","")</f>
        <v>ok</v>
      </c>
      <c r="AZ32" s="2"/>
      <c r="BB32" s="3" t="s">
        <v>22</v>
      </c>
      <c r="BC32" s="3" t="s">
        <v>23</v>
      </c>
      <c r="BL32" s="1"/>
      <c r="BY32" s="2"/>
      <c r="CX32" s="226">
        <f ca="1">IF($CX$97="",2*COUNTIF(Ergebnisse!$D$63:'Ergebnisse'!$F$78,BM38),2*INT(RAND()*2))</f>
        <v>2</v>
      </c>
      <c r="CY32" s="17" t="str">
        <f ca="1">IF(COUNTIF(Ergebnisse!BK33:'Ergebnisse'!BK38,Ergebnisse!$B$98)=6,"ok","")</f>
        <v>ok</v>
      </c>
      <c r="DA32" s="170" t="s">
        <v>77</v>
      </c>
      <c r="DB32" s="166">
        <f>DB36*(DB35+2*DB33)</f>
        <v>30</v>
      </c>
    </row>
    <row r="33" spans="1:106">
      <c r="A33" s="2">
        <f>IF(Ergebnisse!A33="","",Ergebnisse!A33)</f>
        <v>16</v>
      </c>
      <c r="B33" s="6">
        <f>IF(Ergebnisse!B33="","",Ergebnisse!B33)</f>
        <v>46188.5</v>
      </c>
      <c r="C33" s="6" t="str">
        <f>IF(Ergebnisse!C33="","",Ergebnisse!C33)</f>
        <v>Seattle</v>
      </c>
      <c r="D33" s="56" t="str">
        <f>IF(Ergebnisse!D33="","",Ergebnisse!D33)</f>
        <v>Belgien</v>
      </c>
      <c r="E33" s="40"/>
      <c r="F33" s="56" t="str">
        <f>IF(Ergebnisse!F33="","",Ergebnisse!F33)</f>
        <v>Ägypten</v>
      </c>
      <c r="G33" s="53"/>
      <c r="H33" s="57">
        <v>4</v>
      </c>
      <c r="I33" s="11" t="s">
        <v>25</v>
      </c>
      <c r="J33" s="57">
        <v>3</v>
      </c>
      <c r="L33" s="1"/>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17">
        <f ca="1">IF($CX$97="",IF(OR(Ergebnisse!H33="",Ergebnisse!J33=""),0,IF(AND(H33=Ergebnisse!H33,J33=Ergebnisse!J33),7,MIN(7,(H33-J33=Ergebnisse!H33-Ergebnisse!J33)*4+(AND(H33-J33&lt;&gt;Ergebnisse!H33-Ergebnisse!J33,SIGN(H33-J33)=SIGN(Ergebnisse!H33-Ergebnisse!J33)))*2+(H33=Ergebnisse!H33)+(J33=Ergebnisse!J33)))),INT(RAND()*8))</f>
        <v>2</v>
      </c>
      <c r="AY33" s="17" t="str">
        <f ca="1">IF(Ergebnisse!K33=Ergebnisse!$B$98,Ergebnisse!K33,"")</f>
        <v>ok</v>
      </c>
      <c r="AZ33" s="2"/>
      <c r="BA33" s="2">
        <f>IF(Ergebnisse!BA33="","",Ergebnisse!BA33)</f>
        <v>17</v>
      </c>
      <c r="BB33" s="6">
        <f>IF(Ergebnisse!BB33="","",Ergebnisse!BB33)</f>
        <v>46189.625</v>
      </c>
      <c r="BC33" s="6" t="str">
        <f>IF(Ergebnisse!BC33="","",Ergebnisse!BC33)</f>
        <v>New York</v>
      </c>
      <c r="BD33" s="56" t="str">
        <f>IF(Ergebnisse!BD33="","",Ergebnisse!BD33)</f>
        <v>Argentinien</v>
      </c>
      <c r="BE33" s="40"/>
      <c r="BF33" s="56" t="str">
        <f>IF(Ergebnisse!BF33="","",Ergebnisse!BF33)</f>
        <v>Algerien</v>
      </c>
      <c r="BG33" s="53"/>
      <c r="BH33" s="57">
        <v>5</v>
      </c>
      <c r="BI33" s="11" t="s">
        <v>25</v>
      </c>
      <c r="BJ33" s="57">
        <v>4</v>
      </c>
      <c r="BL33" s="1"/>
      <c r="BY33" s="2"/>
      <c r="CX33" s="17">
        <f ca="1">IF($CX$97="",IF(OR(Ergebnisse!BH33="",Ergebnisse!BJ33=""),0,IF(AND(BH33=Ergebnisse!BH33,BJ33=Ergebnisse!BJ33),7,MIN(7,(BH33-BJ33=Ergebnisse!BH33-Ergebnisse!BJ33)*4+(AND(BH33-BJ33&lt;&gt;Ergebnisse!BH33-Ergebnisse!BJ33,SIGN(BH33-BJ33)=SIGN(Ergebnisse!BH33-Ergebnisse!BJ33)))*2+(BH33=Ergebnisse!BH33)+(BJ33=Ergebnisse!BJ33)))),INT(RAND()*8))</f>
        <v>1</v>
      </c>
      <c r="CY33" s="17" t="str">
        <f ca="1">IF(Ergebnisse!BK33=Ergebnisse!$B$98,Ergebnisse!BK33,"")</f>
        <v>ok</v>
      </c>
      <c r="DA33" s="167" t="s">
        <v>127</v>
      </c>
      <c r="DB33" s="164">
        <v>4</v>
      </c>
    </row>
    <row r="34" spans="1:106" s="10" customFormat="1">
      <c r="A34" s="2">
        <f>IF(Ergebnisse!A34="","",Ergebnisse!A34)</f>
        <v>15</v>
      </c>
      <c r="B34" s="6">
        <f>IF(Ergebnisse!B34="","",Ergebnisse!B34)</f>
        <v>46188.75</v>
      </c>
      <c r="C34" s="6" t="str">
        <f>IF(Ergebnisse!C34="","",Ergebnisse!C34)</f>
        <v>Los Angeles</v>
      </c>
      <c r="D34" s="56" t="str">
        <f>IF(Ergebnisse!D34="","",Ergebnisse!D34)</f>
        <v>IR Iran</v>
      </c>
      <c r="E34" s="40"/>
      <c r="F34" s="56" t="str">
        <f>IF(Ergebnisse!F34="","",Ergebnisse!F34)</f>
        <v>Neuseeland</v>
      </c>
      <c r="G34" s="53"/>
      <c r="H34" s="57">
        <v>2</v>
      </c>
      <c r="I34" s="11" t="s">
        <v>25</v>
      </c>
      <c r="J34" s="57">
        <v>1</v>
      </c>
      <c r="K34" s="7"/>
      <c r="L34" s="1"/>
      <c r="M34" s="9"/>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17">
        <f ca="1">IF($CX$97="",IF(OR(Ergebnisse!H34="",Ergebnisse!J34=""),0,IF(AND(H34=Ergebnisse!H34,J34=Ergebnisse!J34),7,MIN(7,(H34-J34=Ergebnisse!H34-Ergebnisse!J34)*4+(AND(H34-J34&lt;&gt;Ergebnisse!H34-Ergebnisse!J34,SIGN(H34-J34)=SIGN(Ergebnisse!H34-Ergebnisse!J34)))*2+(H34=Ergebnisse!H34)+(J34=Ergebnisse!J34)))),INT(RAND()*8))</f>
        <v>0</v>
      </c>
      <c r="AY34" s="17" t="str">
        <f ca="1">IF(Ergebnisse!K34=Ergebnisse!$B$98,Ergebnisse!K34,"")</f>
        <v>ok</v>
      </c>
      <c r="AZ34" s="2"/>
      <c r="BA34" s="2">
        <f>IF(Ergebnisse!BA34="","",Ergebnisse!BA34)</f>
        <v>18</v>
      </c>
      <c r="BB34" s="6">
        <f>IF(Ergebnisse!BB34="","",Ergebnisse!BB34)</f>
        <v>46189.75</v>
      </c>
      <c r="BC34" s="6" t="str">
        <f>IF(Ergebnisse!BC34="","",Ergebnisse!BC34)</f>
        <v>Boston</v>
      </c>
      <c r="BD34" s="56" t="str">
        <f>IF(Ergebnisse!BD34="","",Ergebnisse!BD34)</f>
        <v>Österreich</v>
      </c>
      <c r="BE34" s="40"/>
      <c r="BF34" s="56" t="str">
        <f>IF(Ergebnisse!BF34="","",Ergebnisse!BF34)</f>
        <v>Jordanien</v>
      </c>
      <c r="BG34" s="53"/>
      <c r="BH34" s="57">
        <v>2</v>
      </c>
      <c r="BI34" s="11" t="s">
        <v>25</v>
      </c>
      <c r="BJ34" s="57">
        <v>1</v>
      </c>
      <c r="BK34" s="7"/>
      <c r="BL34" s="1"/>
      <c r="BM34" s="9"/>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17">
        <f ca="1">IF($CX$97="",IF(OR(Ergebnisse!BH34="",Ergebnisse!BJ34=""),0,IF(AND(BH34=Ergebnisse!BH34,BJ34=Ergebnisse!BJ34),7,MIN(7,(BH34-BJ34=Ergebnisse!BH34-Ergebnisse!BJ34)*4+(AND(BH34-BJ34&lt;&gt;Ergebnisse!BH34-Ergebnisse!BJ34,SIGN(BH34-BJ34)=SIGN(Ergebnisse!BH34-Ergebnisse!BJ34)))*2+(BH34=Ergebnisse!BH34)+(BJ34=Ergebnisse!BJ34)))),INT(RAND()*8))</f>
        <v>0</v>
      </c>
      <c r="CY34" s="17" t="str">
        <f ca="1">IF(Ergebnisse!BK34=Ergebnisse!$B$98,Ergebnisse!BK34,"")</f>
        <v>ok</v>
      </c>
      <c r="DA34" s="167" t="s">
        <v>123</v>
      </c>
      <c r="DB34" s="164">
        <v>2</v>
      </c>
    </row>
    <row r="35" spans="1:106">
      <c r="A35" s="2">
        <f>IF(Ergebnisse!A35="","",Ergebnisse!A35)</f>
        <v>39</v>
      </c>
      <c r="B35" s="6">
        <f>IF(Ergebnisse!B35="","",Ergebnisse!B35)</f>
        <v>46194.5</v>
      </c>
      <c r="C35" s="6" t="str">
        <f>IF(Ergebnisse!C35="","",Ergebnisse!C35)</f>
        <v>Los Angeles</v>
      </c>
      <c r="D35" s="56" t="str">
        <f>IF(Ergebnisse!D35="","",Ergebnisse!D35)</f>
        <v>Belgien</v>
      </c>
      <c r="E35" s="40"/>
      <c r="F35" s="56" t="str">
        <f>IF(Ergebnisse!F35="","",Ergebnisse!F35)</f>
        <v>IR Iran</v>
      </c>
      <c r="G35" s="53"/>
      <c r="H35" s="57">
        <v>3</v>
      </c>
      <c r="I35" s="11" t="s">
        <v>25</v>
      </c>
      <c r="J35" s="57">
        <v>2</v>
      </c>
      <c r="L35" s="1"/>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17">
        <f ca="1">IF($CX$97="",IF(OR(Ergebnisse!H35="",Ergebnisse!J35=""),0,IF(AND(H35=Ergebnisse!H35,J35=Ergebnisse!J35),7,MIN(7,(H35-J35=Ergebnisse!H35-Ergebnisse!J35)*4+(AND(H35-J35&lt;&gt;Ergebnisse!H35-Ergebnisse!J35,SIGN(H35-J35)=SIGN(Ergebnisse!H35-Ergebnisse!J35)))*2+(H35=Ergebnisse!H35)+(J35=Ergebnisse!J35)))),INT(RAND()*8))</f>
        <v>0</v>
      </c>
      <c r="AY35" s="17" t="str">
        <f ca="1">IF(Ergebnisse!K35=Ergebnisse!$B$98,Ergebnisse!K35,"")</f>
        <v>ok</v>
      </c>
      <c r="AZ35" s="2"/>
      <c r="BA35" s="2">
        <f>IF(Ergebnisse!BA35="","",Ergebnisse!BA35)</f>
        <v>43</v>
      </c>
      <c r="BB35" s="6">
        <f>IF(Ergebnisse!BB35="","",Ergebnisse!BB35)</f>
        <v>46195.5</v>
      </c>
      <c r="BC35" s="6" t="str">
        <f>IF(Ergebnisse!BC35="","",Ergebnisse!BC35)</f>
        <v>Dallas</v>
      </c>
      <c r="BD35" s="56" t="str">
        <f>IF(Ergebnisse!BD35="","",Ergebnisse!BD35)</f>
        <v>Argentinien</v>
      </c>
      <c r="BE35" s="40"/>
      <c r="BF35" s="56" t="str">
        <f>IF(Ergebnisse!BF35="","",Ergebnisse!BF35)</f>
        <v>Österreich</v>
      </c>
      <c r="BG35" s="53"/>
      <c r="BH35" s="57">
        <v>3</v>
      </c>
      <c r="BI35" s="11" t="s">
        <v>25</v>
      </c>
      <c r="BJ35" s="57">
        <v>1</v>
      </c>
      <c r="BL35" s="1"/>
      <c r="BY35" s="2"/>
      <c r="CX35" s="17">
        <f ca="1">IF($CX$97="",IF(OR(Ergebnisse!BH35="",Ergebnisse!BJ35=""),0,IF(AND(BH35=Ergebnisse!BH35,BJ35=Ergebnisse!BJ35),7,MIN(7,(BH35-BJ35=Ergebnisse!BH35-Ergebnisse!BJ35)*4+(AND(BH35-BJ35&lt;&gt;Ergebnisse!BH35-Ergebnisse!BJ35,SIGN(BH35-BJ35)=SIGN(Ergebnisse!BH35-Ergebnisse!BJ35)))*2+(BH35=Ergebnisse!BH35)+(BJ35=Ergebnisse!BJ35)))),INT(RAND()*8))</f>
        <v>2</v>
      </c>
      <c r="CY35" s="17" t="str">
        <f ca="1">IF(Ergebnisse!BK35=Ergebnisse!$B$98,Ergebnisse!BK35,"")</f>
        <v>ok</v>
      </c>
      <c r="DA35" s="171" t="s">
        <v>83</v>
      </c>
      <c r="DB35" s="270">
        <v>7</v>
      </c>
    </row>
    <row r="36" spans="1:106">
      <c r="A36" s="2">
        <f>IF(Ergebnisse!A36="","",Ergebnisse!A36)</f>
        <v>40</v>
      </c>
      <c r="B36" s="6">
        <f>IF(Ergebnisse!B36="","",Ergebnisse!B36)</f>
        <v>46194.75</v>
      </c>
      <c r="C36" s="6" t="str">
        <f>IF(Ergebnisse!C36="","",Ergebnisse!C36)</f>
        <v>Vancouver</v>
      </c>
      <c r="D36" s="56" t="str">
        <f>IF(Ergebnisse!D36="","",Ergebnisse!D36)</f>
        <v>Neuseeland</v>
      </c>
      <c r="E36" s="40"/>
      <c r="F36" s="56" t="str">
        <f>IF(Ergebnisse!F36="","",Ergebnisse!F36)</f>
        <v>Ägypten</v>
      </c>
      <c r="G36" s="53"/>
      <c r="H36" s="57">
        <v>2</v>
      </c>
      <c r="I36" s="11" t="s">
        <v>25</v>
      </c>
      <c r="J36" s="57">
        <v>3</v>
      </c>
      <c r="L36" s="1"/>
      <c r="N36" s="1"/>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17">
        <f ca="1">IF($CX$97="",IF(OR(Ergebnisse!H36="",Ergebnisse!J36=""),0,IF(AND(H36=Ergebnisse!H36,J36=Ergebnisse!J36),7,MIN(7,(H36-J36=Ergebnisse!H36-Ergebnisse!J36)*4+(AND(H36-J36&lt;&gt;Ergebnisse!H36-Ergebnisse!J36,SIGN(H36-J36)=SIGN(Ergebnisse!H36-Ergebnisse!J36)))*2+(H36=Ergebnisse!H36)+(J36=Ergebnisse!J36)))),INT(RAND()*8))</f>
        <v>0</v>
      </c>
      <c r="AY36" s="17" t="str">
        <f ca="1">IF(Ergebnisse!K36=Ergebnisse!$B$98,Ergebnisse!K36,"")</f>
        <v>ok</v>
      </c>
      <c r="AZ36" s="2"/>
      <c r="BA36" s="2">
        <f>IF(Ergebnisse!BA36="","",Ergebnisse!BA36)</f>
        <v>44</v>
      </c>
      <c r="BB36" s="6">
        <f>IF(Ergebnisse!BB36="","",Ergebnisse!BB36)</f>
        <v>46195.833333333336</v>
      </c>
      <c r="BC36" s="6" t="str">
        <f>IF(Ergebnisse!BC36="","",Ergebnisse!BC36)</f>
        <v>San Francisco</v>
      </c>
      <c r="BD36" s="56" t="str">
        <f>IF(Ergebnisse!BD36="","",Ergebnisse!BD36)</f>
        <v>Jordanien</v>
      </c>
      <c r="BE36" s="40"/>
      <c r="BF36" s="56" t="str">
        <f>IF(Ergebnisse!BF36="","",Ergebnisse!BF36)</f>
        <v>Algerien</v>
      </c>
      <c r="BG36" s="53"/>
      <c r="BH36" s="57">
        <v>4</v>
      </c>
      <c r="BI36" s="11" t="s">
        <v>25</v>
      </c>
      <c r="BJ36" s="57">
        <v>5</v>
      </c>
      <c r="BL36" s="1"/>
      <c r="BN36" s="1"/>
      <c r="BY36" s="2"/>
      <c r="CX36" s="17">
        <f ca="1">IF($CX$97="",IF(OR(Ergebnisse!BH36="",Ergebnisse!BJ36=""),0,IF(AND(BH36=Ergebnisse!BH36,BJ36=Ergebnisse!BJ36),7,MIN(7,(BH36-BJ36=Ergebnisse!BH36-Ergebnisse!BJ36)*4+(AND(BH36-BJ36&lt;&gt;Ergebnisse!BH36-Ergebnisse!BJ36,SIGN(BH36-BJ36)=SIGN(Ergebnisse!BH36-Ergebnisse!BJ36)))*2+(BH36=Ergebnisse!BH36)+(BJ36=Ergebnisse!BJ36)))),INT(RAND()*8))</f>
        <v>2</v>
      </c>
      <c r="CY36" s="17" t="str">
        <f ca="1">IF(Ergebnisse!BK36=Ergebnisse!$B$98,Ergebnisse!BK36,"")</f>
        <v>ok</v>
      </c>
      <c r="DA36" s="168" t="s">
        <v>76</v>
      </c>
      <c r="DB36" s="169">
        <v>2</v>
      </c>
    </row>
    <row r="37" spans="1:106">
      <c r="A37" s="2">
        <f>IF(Ergebnisse!A37="","",Ergebnisse!A37)</f>
        <v>64</v>
      </c>
      <c r="B37" s="6">
        <f>IF(Ergebnisse!B37="","",Ergebnisse!B37)</f>
        <v>46199.833333333336</v>
      </c>
      <c r="C37" s="6" t="str">
        <f>IF(Ergebnisse!C37="","",Ergebnisse!C37)</f>
        <v>Vancouver</v>
      </c>
      <c r="D37" s="56" t="str">
        <f>IF(Ergebnisse!D37="","",Ergebnisse!D37)</f>
        <v>Neuseeland</v>
      </c>
      <c r="E37" s="40"/>
      <c r="F37" s="56" t="str">
        <f>IF(Ergebnisse!F37="","",Ergebnisse!F37)</f>
        <v>Belgien</v>
      </c>
      <c r="G37" s="55"/>
      <c r="H37" s="57">
        <v>2</v>
      </c>
      <c r="I37" s="11" t="s">
        <v>25</v>
      </c>
      <c r="J37" s="57">
        <v>4</v>
      </c>
      <c r="M37" s="228" t="s">
        <v>186</v>
      </c>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17">
        <f ca="1">IF($CX$97="",IF(OR(Ergebnisse!H37="",Ergebnisse!J37=""),0,IF(AND(H37=Ergebnisse!H37,J37=Ergebnisse!J37),7,MIN(7,(H37-J37=Ergebnisse!H37-Ergebnisse!J37)*4+(AND(H37-J37&lt;&gt;Ergebnisse!H37-Ergebnisse!J37,SIGN(H37-J37)=SIGN(Ergebnisse!H37-Ergebnisse!J37)))*2+(H37=Ergebnisse!H37)+(J37=Ergebnisse!J37)))),INT(RAND()*8))</f>
        <v>1</v>
      </c>
      <c r="AY37" s="17" t="str">
        <f ca="1">IF(Ergebnisse!K37=Ergebnisse!$B$98,Ergebnisse!K37,"")</f>
        <v>ok</v>
      </c>
      <c r="AZ37" s="2"/>
      <c r="BA37" s="2">
        <f>IF(Ergebnisse!BA37="","",Ergebnisse!BA37)</f>
        <v>70</v>
      </c>
      <c r="BB37" s="6">
        <f>IF(Ergebnisse!BB37="","",Ergebnisse!BB37)</f>
        <v>46200.875</v>
      </c>
      <c r="BC37" s="6" t="str">
        <f>IF(Ergebnisse!BC37="","",Ergebnisse!BC37)</f>
        <v>Dallas</v>
      </c>
      <c r="BD37" s="56" t="str">
        <f>IF(Ergebnisse!BD37="","",Ergebnisse!BD37)</f>
        <v>Jordanien</v>
      </c>
      <c r="BE37" s="40"/>
      <c r="BF37" s="56" t="str">
        <f>IF(Ergebnisse!BF37="","",Ergebnisse!BF37)</f>
        <v>Argentinien</v>
      </c>
      <c r="BG37" s="55"/>
      <c r="BH37" s="57">
        <v>1</v>
      </c>
      <c r="BI37" s="11" t="s">
        <v>25</v>
      </c>
      <c r="BJ37" s="57">
        <v>4</v>
      </c>
      <c r="BM37" s="227" t="s">
        <v>221</v>
      </c>
      <c r="BY37" s="2"/>
      <c r="CX37" s="17">
        <f ca="1">IF($CX$97="",IF(OR(Ergebnisse!BH37="",Ergebnisse!BJ37=""),0,IF(AND(BH37=Ergebnisse!BH37,BJ37=Ergebnisse!BJ37),7,MIN(7,(BH37-BJ37=Ergebnisse!BH37-Ergebnisse!BJ37)*4+(AND(BH37-BJ37&lt;&gt;Ergebnisse!BH37-Ergebnisse!BJ37,SIGN(BH37-BJ37)=SIGN(Ergebnisse!BH37-Ergebnisse!BJ37)))*2+(BH37=Ergebnisse!BH37)+(BJ37=Ergebnisse!BJ37)))),INT(RAND()*8))</f>
        <v>3</v>
      </c>
      <c r="CY37" s="17" t="str">
        <f ca="1">IF(Ergebnisse!BK37=Ergebnisse!$B$98,Ergebnisse!BK37,"")</f>
        <v>ok</v>
      </c>
    </row>
    <row r="38" spans="1:106">
      <c r="A38" s="2">
        <f>IF(Ergebnisse!A38="","",Ergebnisse!A38)</f>
        <v>63</v>
      </c>
      <c r="B38" s="6">
        <f>IF(Ergebnisse!B38="","",Ergebnisse!B38)</f>
        <v>46199.833333333336</v>
      </c>
      <c r="C38" s="6" t="str">
        <f>IF(Ergebnisse!C38="","",Ergebnisse!C38)</f>
        <v>Seattle</v>
      </c>
      <c r="D38" s="56" t="str">
        <f>IF(Ergebnisse!D38="","",Ergebnisse!D38)</f>
        <v>Ägypten</v>
      </c>
      <c r="E38" s="40"/>
      <c r="F38" s="56" t="str">
        <f>IF(Ergebnisse!F38="","",Ergebnisse!F38)</f>
        <v>IR Iran</v>
      </c>
      <c r="G38" s="55"/>
      <c r="H38" s="57">
        <v>0</v>
      </c>
      <c r="I38" s="11" t="s">
        <v>25</v>
      </c>
      <c r="J38" s="57">
        <v>1</v>
      </c>
      <c r="M38" s="228" t="s">
        <v>224</v>
      </c>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17">
        <f ca="1">IF($CX$97="",IF(OR(Ergebnisse!H38="",Ergebnisse!J38=""),0,IF(AND(H38=Ergebnisse!H38,J38=Ergebnisse!J38),7,MIN(7,(H38-J38=Ergebnisse!H38-Ergebnisse!J38)*4+(AND(H38-J38&lt;&gt;Ergebnisse!H38-Ergebnisse!J38,SIGN(H38-J38)=SIGN(Ergebnisse!H38-Ergebnisse!J38)))*2+(H38=Ergebnisse!H38)+(J38=Ergebnisse!J38)))),INT(RAND()*8))</f>
        <v>0</v>
      </c>
      <c r="AY38" s="17" t="str">
        <f ca="1">IF(Ergebnisse!K38=Ergebnisse!$B$98,Ergebnisse!K38,"")</f>
        <v>ok</v>
      </c>
      <c r="AZ38" s="2"/>
      <c r="BA38" s="2">
        <f>IF(Ergebnisse!BA38="","",Ergebnisse!BA38)</f>
        <v>69</v>
      </c>
      <c r="BB38" s="6">
        <f>IF(Ergebnisse!BB38="","",Ergebnisse!BB38)</f>
        <v>46200.875</v>
      </c>
      <c r="BC38" s="6" t="str">
        <f>IF(Ergebnisse!BC38="","",Ergebnisse!BC38)</f>
        <v>Kansas City</v>
      </c>
      <c r="BD38" s="56" t="str">
        <f>IF(Ergebnisse!BD38="","",Ergebnisse!BD38)</f>
        <v>Algerien</v>
      </c>
      <c r="BE38" s="40"/>
      <c r="BF38" s="56" t="str">
        <f>IF(Ergebnisse!BF38="","",Ergebnisse!BF38)</f>
        <v>Österreich</v>
      </c>
      <c r="BG38" s="55"/>
      <c r="BH38" s="57">
        <v>1</v>
      </c>
      <c r="BI38" s="11" t="s">
        <v>25</v>
      </c>
      <c r="BJ38" s="57">
        <v>0</v>
      </c>
      <c r="BM38" s="227" t="s">
        <v>223</v>
      </c>
      <c r="BY38" s="2"/>
      <c r="CX38" s="17">
        <f ca="1">IF($CX$97="",IF(OR(Ergebnisse!BH38="",Ergebnisse!BJ38=""),0,IF(AND(BH38=Ergebnisse!BH38,BJ38=Ergebnisse!BJ38),7,MIN(7,(BH38-BJ38=Ergebnisse!BH38-Ergebnisse!BJ38)*4+(AND(BH38-BJ38&lt;&gt;Ergebnisse!BH38-Ergebnisse!BJ38,SIGN(BH38-BJ38)=SIGN(Ergebnisse!BH38-Ergebnisse!BJ38)))*2+(BH38=Ergebnisse!BH38)+(BJ38=Ergebnisse!BJ38)))),INT(RAND()*8))</f>
        <v>0</v>
      </c>
      <c r="CY38" s="17" t="str">
        <f ca="1">IF(Ergebnisse!BK38=Ergebnisse!$B$98,Ergebnisse!BK38,"")</f>
        <v>ok</v>
      </c>
      <c r="DA38" s="165" t="s">
        <v>84</v>
      </c>
      <c r="DB38" s="166">
        <f>DB41*(DB40+2*DB39)</f>
        <v>30</v>
      </c>
    </row>
    <row r="39" spans="1:106">
      <c r="E39" s="55"/>
      <c r="F39" s="55"/>
      <c r="G39" s="55"/>
      <c r="M39" s="228" t="s">
        <v>222</v>
      </c>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24">
        <f ca="1">IF($CX$97="",2*COUNTIF(Ergebnisse!$D$63:'Ergebnisse'!$F$78,M39),2*INT(RAND()*2))</f>
        <v>0</v>
      </c>
      <c r="AY39" s="17" t="str">
        <f ca="1">IF(COUNTIF(Ergebnisse!K33:'Ergebnisse'!K38,Ergebnisse!$B$98)=6,"ok","")</f>
        <v>ok</v>
      </c>
      <c r="AZ39" s="2"/>
      <c r="BE39" s="55"/>
      <c r="BF39" s="55"/>
      <c r="BG39" s="55"/>
      <c r="BM39" s="227" t="s">
        <v>187</v>
      </c>
      <c r="BY39" s="2"/>
      <c r="CX39" s="226">
        <f ca="1">IF($CX$97="",2*COUNTIF(Ergebnisse!$D$63:'Ergebnisse'!$F$78,BM39),2*INT(RAND()*2))</f>
        <v>0</v>
      </c>
      <c r="CY39" s="17" t="str">
        <f ca="1">IF(COUNTIF(Ergebnisse!BK33:'Ergebnisse'!BK38,Ergebnisse!$B$98)=6,"ok","")</f>
        <v>ok</v>
      </c>
      <c r="DA39" s="167" t="s">
        <v>128</v>
      </c>
      <c r="DB39" s="164">
        <v>4</v>
      </c>
    </row>
    <row r="40" spans="1:106">
      <c r="D40" s="55"/>
      <c r="E40" s="58"/>
      <c r="F40" s="59"/>
      <c r="G40" s="59"/>
      <c r="H40" s="55"/>
      <c r="I40" s="55"/>
      <c r="J40" s="55"/>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17"/>
      <c r="AZ40" s="2"/>
      <c r="BD40" s="55"/>
      <c r="BE40" s="58"/>
      <c r="BF40" s="59"/>
      <c r="BG40" s="59"/>
      <c r="BH40" s="55"/>
      <c r="BI40" s="55"/>
      <c r="BJ40" s="55"/>
      <c r="BY40" s="2"/>
      <c r="DA40" s="171" t="s">
        <v>83</v>
      </c>
      <c r="DB40" s="271">
        <v>7</v>
      </c>
    </row>
    <row r="41" spans="1:106">
      <c r="A41" s="10"/>
      <c r="B41" s="229" t="s">
        <v>0</v>
      </c>
      <c r="C41" s="230" t="s">
        <v>233</v>
      </c>
      <c r="D41" s="53" t="s">
        <v>2</v>
      </c>
      <c r="E41" s="54"/>
      <c r="F41" s="53"/>
      <c r="G41" s="53"/>
      <c r="H41" s="20"/>
      <c r="I41" s="19"/>
      <c r="J41" s="20"/>
      <c r="K41" s="180"/>
      <c r="L41" s="17"/>
      <c r="M41" s="35"/>
      <c r="N41" s="17"/>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10"/>
      <c r="AX41" s="229">
        <f ca="1">IF($CX$97="",2*COUNTIF(Ergebnisse!$D$63:'Ergebnisse'!$F$78,M47),2*INT(RAND()*2))</f>
        <v>2</v>
      </c>
      <c r="AY41" s="17" t="str">
        <f ca="1">IF(COUNTIF(Ergebnisse!K43:'Ergebnisse'!K48,Ergebnisse!$B$98)=6,"ok","")</f>
        <v>ok</v>
      </c>
      <c r="AZ41" s="10"/>
      <c r="BA41" s="10"/>
      <c r="BB41" s="231" t="s">
        <v>0</v>
      </c>
      <c r="BC41" s="232" t="s">
        <v>234</v>
      </c>
      <c r="BD41" s="53" t="s">
        <v>2</v>
      </c>
      <c r="BE41" s="54"/>
      <c r="BF41" s="53"/>
      <c r="BG41" s="53"/>
      <c r="BH41" s="20"/>
      <c r="BI41" s="19"/>
      <c r="BJ41" s="20"/>
      <c r="BK41" s="180"/>
      <c r="BL41" s="17"/>
      <c r="BM41" s="35"/>
      <c r="BN41" s="17"/>
      <c r="BY41" s="2"/>
      <c r="CX41" s="231">
        <f ca="1">IF($CX$97="",2*COUNTIF(Ergebnisse!$D$63:'Ergebnisse'!$F$78,BM47),2*INT(RAND()*2))</f>
        <v>2</v>
      </c>
      <c r="CY41" s="17" t="str">
        <f ca="1">IF(COUNTIF(Ergebnisse!BK43:'Ergebnisse'!BK48,Ergebnisse!$B$98)=6,"ok","")</f>
        <v>ok</v>
      </c>
      <c r="DA41" s="168" t="s">
        <v>76</v>
      </c>
      <c r="DB41" s="169">
        <v>2</v>
      </c>
    </row>
    <row r="42" spans="1:106">
      <c r="B42" s="6" t="s">
        <v>22</v>
      </c>
      <c r="C42" s="6" t="s">
        <v>23</v>
      </c>
      <c r="D42" s="56"/>
      <c r="E42" s="40"/>
      <c r="F42" s="56"/>
      <c r="G42" s="53"/>
      <c r="H42" s="20"/>
      <c r="I42" s="19"/>
      <c r="J42" s="20"/>
      <c r="L42" s="1"/>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29">
        <f ca="1">IF($CX$97="",2*COUNTIF(Ergebnisse!$D$63:'Ergebnisse'!$F$78,M48),2*INT(RAND()*2))</f>
        <v>0</v>
      </c>
      <c r="AY42" s="17" t="str">
        <f ca="1">IF(COUNTIF(Ergebnisse!K43:'Ergebnisse'!K48,Ergebnisse!$B$98)=6,"ok","")</f>
        <v>ok</v>
      </c>
      <c r="AZ42" s="2"/>
      <c r="BB42" s="6" t="s">
        <v>22</v>
      </c>
      <c r="BC42" s="6" t="s">
        <v>23</v>
      </c>
      <c r="BD42" s="56"/>
      <c r="BE42" s="40"/>
      <c r="BF42" s="56"/>
      <c r="BG42" s="53"/>
      <c r="BH42" s="20"/>
      <c r="BI42" s="19"/>
      <c r="BJ42" s="20"/>
      <c r="BL42" s="1"/>
      <c r="BY42" s="2"/>
      <c r="CX42" s="231">
        <f ca="1">IF($CX$97="",2*COUNTIF(Ergebnisse!$D$63:'Ergebnisse'!$F$78,BM48),2*INT(RAND()*2))</f>
        <v>2</v>
      </c>
      <c r="CY42" s="17" t="str">
        <f ca="1">IF(COUNTIF(Ergebnisse!BK43:'Ergebnisse'!BK48,Ergebnisse!$B$98)=6,"ok","")</f>
        <v>ok</v>
      </c>
    </row>
    <row r="43" spans="1:106">
      <c r="A43" s="2">
        <f>IF(Ergebnisse!A43="","",Ergebnisse!A43)</f>
        <v>14</v>
      </c>
      <c r="B43" s="6">
        <f>IF(Ergebnisse!B43="","",Ergebnisse!B43)</f>
        <v>46188.5</v>
      </c>
      <c r="C43" s="6" t="str">
        <f>IF(Ergebnisse!C43="","",Ergebnisse!C43)</f>
        <v>Atlanta</v>
      </c>
      <c r="D43" s="56" t="str">
        <f>IF(Ergebnisse!D43="","",Ergebnisse!D43)</f>
        <v>Spanien</v>
      </c>
      <c r="E43" s="40"/>
      <c r="F43" s="56" t="str">
        <f>IF(Ergebnisse!F43="","",Ergebnisse!F43)</f>
        <v>Kap Verde</v>
      </c>
      <c r="G43" s="53"/>
      <c r="H43" s="57">
        <v>4</v>
      </c>
      <c r="I43" s="11" t="s">
        <v>25</v>
      </c>
      <c r="J43" s="57">
        <v>2</v>
      </c>
      <c r="L43" s="1"/>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17">
        <f ca="1">IF($CX$97="",IF(OR(Ergebnisse!H43="",Ergebnisse!J43=""),0,IF(AND(H43=Ergebnisse!H43,J43=Ergebnisse!J43),7,MIN(7,(H43-J43=Ergebnisse!H43-Ergebnisse!J43)*4+(AND(H43-J43&lt;&gt;Ergebnisse!H43-Ergebnisse!J43,SIGN(H43-J43)=SIGN(Ergebnisse!H43-Ergebnisse!J43)))*2+(H43=Ergebnisse!H43)+(J43=Ergebnisse!J43)))),INT(RAND()*8))</f>
        <v>2</v>
      </c>
      <c r="AY43" s="17" t="str">
        <f ca="1">IF(Ergebnisse!K43=Ergebnisse!$B$98,Ergebnisse!K43,"")</f>
        <v>ok</v>
      </c>
      <c r="AZ43" s="2"/>
      <c r="BA43" s="2">
        <f>IF(Ergebnisse!BA43="","",Ergebnisse!BA43)</f>
        <v>23</v>
      </c>
      <c r="BB43" s="6">
        <f>IF(Ergebnisse!BB43="","",Ergebnisse!BB43)</f>
        <v>46190.5</v>
      </c>
      <c r="BC43" s="6" t="str">
        <f>IF(Ergebnisse!BC43="","",Ergebnisse!BC43)</f>
        <v>Houston</v>
      </c>
      <c r="BD43" s="56" t="str">
        <f>IF(Ergebnisse!BD43="","",Ergebnisse!BD43)</f>
        <v>Portugal</v>
      </c>
      <c r="BE43" s="40"/>
      <c r="BF43" s="56" t="str">
        <f>IF(Ergebnisse!BF43="","",Ergebnisse!BF43)</f>
        <v>DR Kongo</v>
      </c>
      <c r="BG43" s="53"/>
      <c r="BH43" s="57">
        <v>3</v>
      </c>
      <c r="BI43" s="11" t="s">
        <v>25</v>
      </c>
      <c r="BJ43" s="57">
        <v>1</v>
      </c>
      <c r="BL43" s="1"/>
      <c r="BY43" s="2"/>
      <c r="CX43" s="17">
        <f ca="1">IF($CX$97="",IF(OR(Ergebnisse!BH43="",Ergebnisse!BJ43=""),0,IF(AND(BH43=Ergebnisse!BH43,BJ43=Ergebnisse!BJ43),7,MIN(7,(BH43-BJ43=Ergebnisse!BH43-Ergebnisse!BJ43)*4+(AND(BH43-BJ43&lt;&gt;Ergebnisse!BH43-Ergebnisse!BJ43,SIGN(BH43-BJ43)=SIGN(Ergebnisse!BH43-Ergebnisse!BJ43)))*2+(BH43=Ergebnisse!BH43)+(BJ43=Ergebnisse!BJ43)))),INT(RAND()*8))</f>
        <v>3</v>
      </c>
      <c r="CY43" s="17" t="str">
        <f ca="1">IF(Ergebnisse!BK43=Ergebnisse!$B$98,Ergebnisse!BK43,"")</f>
        <v>ok</v>
      </c>
      <c r="DA43" s="165" t="s">
        <v>63</v>
      </c>
      <c r="DB43" s="272">
        <v>24</v>
      </c>
    </row>
    <row r="44" spans="1:106">
      <c r="A44" s="2">
        <f>IF(Ergebnisse!A44="","",Ergebnisse!A44)</f>
        <v>13</v>
      </c>
      <c r="B44" s="6">
        <f>IF(Ergebnisse!B44="","",Ergebnisse!B44)</f>
        <v>46188.75</v>
      </c>
      <c r="C44" s="6" t="str">
        <f>IF(Ergebnisse!C44="","",Ergebnisse!C44)</f>
        <v>Miami</v>
      </c>
      <c r="D44" s="56" t="str">
        <f>IF(Ergebnisse!D44="","",Ergebnisse!D44)</f>
        <v>Saudiarabien</v>
      </c>
      <c r="E44" s="40"/>
      <c r="F44" s="56" t="str">
        <f>IF(Ergebnisse!F44="","",Ergebnisse!F44)</f>
        <v>Uruguay</v>
      </c>
      <c r="G44" s="53"/>
      <c r="H44" s="57">
        <v>3</v>
      </c>
      <c r="I44" s="11" t="s">
        <v>25</v>
      </c>
      <c r="J44" s="57">
        <v>3</v>
      </c>
      <c r="L44" s="1"/>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17">
        <f ca="1">IF($CX$97="",IF(OR(Ergebnisse!H44="",Ergebnisse!J44=""),0,IF(AND(H44=Ergebnisse!H44,J44=Ergebnisse!J44),7,MIN(7,(H44-J44=Ergebnisse!H44-Ergebnisse!J44)*4+(AND(H44-J44&lt;&gt;Ergebnisse!H44-Ergebnisse!J44,SIGN(H44-J44)=SIGN(Ergebnisse!H44-Ergebnisse!J44)))*2+(H44=Ergebnisse!H44)+(J44=Ergebnisse!J44)))),INT(RAND()*8))</f>
        <v>0</v>
      </c>
      <c r="AY44" s="17" t="str">
        <f ca="1">IF(Ergebnisse!K44=Ergebnisse!$B$98,Ergebnisse!K44,"")</f>
        <v>ok</v>
      </c>
      <c r="AZ44" s="2"/>
      <c r="BA44" s="2">
        <f>IF(Ergebnisse!BA44="","",Ergebnisse!BA44)</f>
        <v>24</v>
      </c>
      <c r="BB44" s="6">
        <f>IF(Ergebnisse!BB44="","",Ergebnisse!BB44)</f>
        <v>46190.875</v>
      </c>
      <c r="BC44" s="6" t="str">
        <f>IF(Ergebnisse!BC44="","",Ergebnisse!BC44)</f>
        <v>Mexico City</v>
      </c>
      <c r="BD44" s="56" t="str">
        <f>IF(Ergebnisse!BD44="","",Ergebnisse!BD44)</f>
        <v>Usbekistan</v>
      </c>
      <c r="BE44" s="40"/>
      <c r="BF44" s="56" t="str">
        <f>IF(Ergebnisse!BF44="","",Ergebnisse!BF44)</f>
        <v>Kolumbien</v>
      </c>
      <c r="BG44" s="53"/>
      <c r="BH44" s="57">
        <v>3</v>
      </c>
      <c r="BI44" s="11" t="s">
        <v>25</v>
      </c>
      <c r="BJ44" s="57">
        <v>3</v>
      </c>
      <c r="BL44" s="1"/>
      <c r="BY44" s="2"/>
      <c r="CX44" s="17">
        <f ca="1">IF($CX$97="",IF(OR(Ergebnisse!BH44="",Ergebnisse!BJ44=""),0,IF(AND(BH44=Ergebnisse!BH44,BJ44=Ergebnisse!BJ44),7,MIN(7,(BH44-BJ44=Ergebnisse!BH44-Ergebnisse!BJ44)*4+(AND(BH44-BJ44&lt;&gt;Ergebnisse!BH44-Ergebnisse!BJ44,SIGN(BH44-BJ44)=SIGN(Ergebnisse!BH44-Ergebnisse!BJ44)))*2+(BH44=Ergebnisse!BH44)+(BJ44=Ergebnisse!BJ44)))),INT(RAND()*8))</f>
        <v>0</v>
      </c>
      <c r="CY44" s="17" t="str">
        <f ca="1">IF(Ergebnisse!BK44=Ergebnisse!$B$98,Ergebnisse!BK44,"")</f>
        <v>ok</v>
      </c>
    </row>
    <row r="45" spans="1:106">
      <c r="A45" s="2">
        <f>IF(Ergebnisse!A45="","",Ergebnisse!A45)</f>
        <v>38</v>
      </c>
      <c r="B45" s="6">
        <f>IF(Ergebnisse!B45="","",Ergebnisse!B45)</f>
        <v>46194.5</v>
      </c>
      <c r="C45" s="6" t="str">
        <f>IF(Ergebnisse!C45="","",Ergebnisse!C45)</f>
        <v>Atlanta</v>
      </c>
      <c r="D45" s="56" t="str">
        <f>IF(Ergebnisse!D45="","",Ergebnisse!D45)</f>
        <v>Spanien</v>
      </c>
      <c r="E45" s="40"/>
      <c r="F45" s="56" t="str">
        <f>IF(Ergebnisse!F45="","",Ergebnisse!F45)</f>
        <v>Saudiarabien</v>
      </c>
      <c r="G45" s="53"/>
      <c r="H45" s="57">
        <v>5</v>
      </c>
      <c r="I45" s="11" t="s">
        <v>25</v>
      </c>
      <c r="J45" s="57">
        <v>5</v>
      </c>
      <c r="L45" s="1"/>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17">
        <f ca="1">IF($CX$97="",IF(OR(Ergebnisse!H45="",Ergebnisse!J45=""),0,IF(AND(H45=Ergebnisse!H45,J45=Ergebnisse!J45),7,MIN(7,(H45-J45=Ergebnisse!H45-Ergebnisse!J45)*4+(AND(H45-J45&lt;&gt;Ergebnisse!H45-Ergebnisse!J45,SIGN(H45-J45)=SIGN(Ergebnisse!H45-Ergebnisse!J45)))*2+(H45=Ergebnisse!H45)+(J45=Ergebnisse!J45)))),INT(RAND()*8))</f>
        <v>0</v>
      </c>
      <c r="AY45" s="17" t="str">
        <f ca="1">IF(Ergebnisse!K45=Ergebnisse!$B$98,Ergebnisse!K45,"")</f>
        <v>ok</v>
      </c>
      <c r="AZ45" s="2"/>
      <c r="BA45" s="2">
        <f>IF(Ergebnisse!BA45="","",Ergebnisse!BA45)</f>
        <v>47</v>
      </c>
      <c r="BB45" s="6">
        <f>IF(Ergebnisse!BB45="","",Ergebnisse!BB45)</f>
        <v>46196.5</v>
      </c>
      <c r="BC45" s="6" t="str">
        <f>IF(Ergebnisse!BC45="","",Ergebnisse!BC45)</f>
        <v>Houston</v>
      </c>
      <c r="BD45" s="56" t="str">
        <f>IF(Ergebnisse!BD45="","",Ergebnisse!BD45)</f>
        <v>Portugal</v>
      </c>
      <c r="BE45" s="40"/>
      <c r="BF45" s="56" t="str">
        <f>IF(Ergebnisse!BF45="","",Ergebnisse!BF45)</f>
        <v>Usbekistan</v>
      </c>
      <c r="BG45" s="53"/>
      <c r="BH45" s="57">
        <v>5</v>
      </c>
      <c r="BI45" s="11" t="s">
        <v>25</v>
      </c>
      <c r="BJ45" s="57">
        <v>5</v>
      </c>
      <c r="BL45" s="1"/>
      <c r="BY45" s="2"/>
      <c r="CX45" s="17">
        <f ca="1">IF($CX$97="",IF(OR(Ergebnisse!BH45="",Ergebnisse!BJ45=""),0,IF(AND(BH45=Ergebnisse!BH45,BJ45=Ergebnisse!BJ45),7,MIN(7,(BH45-BJ45=Ergebnisse!BH45-Ergebnisse!BJ45)*4+(AND(BH45-BJ45&lt;&gt;Ergebnisse!BH45-Ergebnisse!BJ45,SIGN(BH45-BJ45)=SIGN(Ergebnisse!BH45-Ergebnisse!BJ45)))*2+(BH45=Ergebnisse!BH45)+(BJ45=Ergebnisse!BJ45)))),INT(RAND()*8))</f>
        <v>0</v>
      </c>
      <c r="CY45" s="17" t="str">
        <f ca="1">IF(Ergebnisse!BK45=Ergebnisse!$B$98,Ergebnisse!BK45,"")</f>
        <v>ok</v>
      </c>
      <c r="DA45" s="165" t="s">
        <v>180</v>
      </c>
      <c r="DB45" s="186">
        <f>DB47*(2*DB46)</f>
        <v>64</v>
      </c>
    </row>
    <row r="46" spans="1:106">
      <c r="A46" s="2">
        <f>IF(Ergebnisse!A46="","",Ergebnisse!A46)</f>
        <v>37</v>
      </c>
      <c r="B46" s="6">
        <f>IF(Ergebnisse!B46="","",Ergebnisse!B46)</f>
        <v>46194.75</v>
      </c>
      <c r="C46" s="6" t="str">
        <f>IF(Ergebnisse!C46="","",Ergebnisse!C46)</f>
        <v>Miami</v>
      </c>
      <c r="D46" s="56" t="str">
        <f>IF(Ergebnisse!D46="","",Ergebnisse!D46)</f>
        <v>Uruguay</v>
      </c>
      <c r="E46" s="40"/>
      <c r="F46" s="56" t="str">
        <f>IF(Ergebnisse!F46="","",Ergebnisse!F46)</f>
        <v>Kap Verde</v>
      </c>
      <c r="G46" s="53"/>
      <c r="H46" s="57">
        <v>5</v>
      </c>
      <c r="I46" s="11" t="s">
        <v>25</v>
      </c>
      <c r="J46" s="57">
        <v>4</v>
      </c>
      <c r="L46" s="1"/>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17">
        <f ca="1">IF($CX$97="",IF(OR(Ergebnisse!H46="",Ergebnisse!J46=""),0,IF(AND(H46=Ergebnisse!H46,J46=Ergebnisse!J46),7,MIN(7,(H46-J46=Ergebnisse!H46-Ergebnisse!J46)*4+(AND(H46-J46&lt;&gt;Ergebnisse!H46-Ergebnisse!J46,SIGN(H46-J46)=SIGN(Ergebnisse!H46-Ergebnisse!J46)))*2+(H46=Ergebnisse!H46)+(J46=Ergebnisse!J46)))),INT(RAND()*8))</f>
        <v>3</v>
      </c>
      <c r="AY46" s="17" t="str">
        <f ca="1">IF(Ergebnisse!K46=Ergebnisse!$B$98,Ergebnisse!K46,"")</f>
        <v>ok</v>
      </c>
      <c r="AZ46" s="2"/>
      <c r="BA46" s="2">
        <f>IF(Ergebnisse!BA46="","",Ergebnisse!BA46)</f>
        <v>48</v>
      </c>
      <c r="BB46" s="6">
        <f>IF(Ergebnisse!BB46="","",Ergebnisse!BB46)</f>
        <v>46196.875</v>
      </c>
      <c r="BC46" s="6" t="str">
        <f>IF(Ergebnisse!BC46="","",Ergebnisse!BC46)</f>
        <v>Guadalajara</v>
      </c>
      <c r="BD46" s="56" t="str">
        <f>IF(Ergebnisse!BD46="","",Ergebnisse!BD46)</f>
        <v>Kolumbien</v>
      </c>
      <c r="BE46" s="40"/>
      <c r="BF46" s="56" t="str">
        <f>IF(Ergebnisse!BF46="","",Ergebnisse!BF46)</f>
        <v>DR Kongo</v>
      </c>
      <c r="BG46" s="53"/>
      <c r="BH46" s="57">
        <v>4</v>
      </c>
      <c r="BI46" s="11" t="s">
        <v>25</v>
      </c>
      <c r="BJ46" s="57">
        <v>3</v>
      </c>
      <c r="BL46" s="1"/>
      <c r="BY46" s="2"/>
      <c r="CX46" s="17">
        <f ca="1">IF($CX$97="",IF(OR(Ergebnisse!BH46="",Ergebnisse!BJ46=""),0,IF(AND(BH46=Ergebnisse!BH46,BJ46=Ergebnisse!BJ46),7,MIN(7,(BH46-BJ46=Ergebnisse!BH46-Ergebnisse!BJ46)*4+(AND(BH46-BJ46&lt;&gt;Ergebnisse!BH46-Ergebnisse!BJ46,SIGN(BH46-BJ46)=SIGN(Ergebnisse!BH46-Ergebnisse!BJ46)))*2+(BH46=Ergebnisse!BH46)+(BJ46=Ergebnisse!BJ46)))),INT(RAND()*8))</f>
        <v>1</v>
      </c>
      <c r="CY46" s="17" t="str">
        <f ca="1">IF(Ergebnisse!BK46=Ergebnisse!$B$98,Ergebnisse!BK46,"")</f>
        <v>ok</v>
      </c>
      <c r="DA46" s="167" t="s">
        <v>181</v>
      </c>
      <c r="DB46" s="270">
        <v>1</v>
      </c>
    </row>
    <row r="47" spans="1:106">
      <c r="A47" s="2">
        <f>IF(Ergebnisse!A47="","",Ergebnisse!A47)</f>
        <v>66</v>
      </c>
      <c r="B47" s="6">
        <f>IF(Ergebnisse!B47="","",Ergebnisse!B47)</f>
        <v>46199.791666666672</v>
      </c>
      <c r="C47" s="6" t="str">
        <f>IF(Ergebnisse!C47="","",Ergebnisse!C47)</f>
        <v>Guadalajara</v>
      </c>
      <c r="D47" s="56" t="str">
        <f>IF(Ergebnisse!D47="","",Ergebnisse!D47)</f>
        <v>Uruguay</v>
      </c>
      <c r="E47" s="40"/>
      <c r="F47" s="56" t="str">
        <f>IF(Ergebnisse!F47="","",Ergebnisse!F47)</f>
        <v>Spanien</v>
      </c>
      <c r="G47" s="53"/>
      <c r="H47" s="57">
        <v>3</v>
      </c>
      <c r="I47" s="11" t="s">
        <v>25</v>
      </c>
      <c r="J47" s="57">
        <v>4</v>
      </c>
      <c r="L47" s="1"/>
      <c r="M47" s="233" t="s">
        <v>66</v>
      </c>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17">
        <f ca="1">IF($CX$97="",IF(OR(Ergebnisse!H47="",Ergebnisse!J47=""),0,IF(AND(H47=Ergebnisse!H47,J47=Ergebnisse!J47),7,MIN(7,(H47-J47=Ergebnisse!H47-Ergebnisse!J47)*4+(AND(H47-J47&lt;&gt;Ergebnisse!H47-Ergebnisse!J47,SIGN(H47-J47)=SIGN(Ergebnisse!H47-Ergebnisse!J47)))*2+(H47=Ergebnisse!H47)+(J47=Ergebnisse!J47)))),INT(RAND()*8))</f>
        <v>1</v>
      </c>
      <c r="AY47" s="17" t="str">
        <f ca="1">IF(Ergebnisse!K47=Ergebnisse!$B$98,Ergebnisse!K47,"")</f>
        <v>ok</v>
      </c>
      <c r="AZ47" s="2"/>
      <c r="BA47" s="2">
        <f>IF(Ergebnisse!BA47="","",Ergebnisse!BA47)</f>
        <v>72</v>
      </c>
      <c r="BB47" s="6">
        <f>IF(Ergebnisse!BB47="","",Ergebnisse!BB47)</f>
        <v>46200.8125</v>
      </c>
      <c r="BC47" s="6" t="str">
        <f>IF(Ergebnisse!BC47="","",Ergebnisse!BC47)</f>
        <v>Atlanta</v>
      </c>
      <c r="BD47" s="56" t="str">
        <f>IF(Ergebnisse!BD47="","",Ergebnisse!BD47)</f>
        <v>Kolumbien</v>
      </c>
      <c r="BE47" s="40"/>
      <c r="BF47" s="56" t="str">
        <f>IF(Ergebnisse!BF47="","",Ergebnisse!BF47)</f>
        <v>Portugal</v>
      </c>
      <c r="BG47" s="53"/>
      <c r="BH47" s="57">
        <v>3</v>
      </c>
      <c r="BI47" s="11" t="s">
        <v>25</v>
      </c>
      <c r="BJ47" s="57">
        <v>3</v>
      </c>
      <c r="BL47" s="1"/>
      <c r="BM47" s="232" t="s">
        <v>190</v>
      </c>
      <c r="BY47" s="2"/>
      <c r="CX47" s="17">
        <f ca="1">IF($CX$97="",IF(OR(Ergebnisse!BH47="",Ergebnisse!BJ47=""),0,IF(AND(BH47=Ergebnisse!BH47,BJ47=Ergebnisse!BJ47),7,MIN(7,(BH47-BJ47=Ergebnisse!BH47-Ergebnisse!BJ47)*4+(AND(BH47-BJ47&lt;&gt;Ergebnisse!BH47-Ergebnisse!BJ47,SIGN(BH47-BJ47)=SIGN(Ergebnisse!BH47-Ergebnisse!BJ47)))*2+(BH47=Ergebnisse!BH47)+(BJ47=Ergebnisse!BJ47)))),INT(RAND()*8))</f>
        <v>1</v>
      </c>
      <c r="CY47" s="17" t="str">
        <f ca="1">IF(Ergebnisse!BK47=Ergebnisse!$B$98,Ergebnisse!BK47,"")</f>
        <v>ok</v>
      </c>
      <c r="CZ47" s="55"/>
      <c r="DA47" s="168" t="s">
        <v>182</v>
      </c>
      <c r="DB47" s="188">
        <v>32</v>
      </c>
    </row>
    <row r="48" spans="1:106">
      <c r="A48" s="2">
        <f>IF(Ergebnisse!A48="","",Ergebnisse!A48)</f>
        <v>65</v>
      </c>
      <c r="B48" s="6">
        <f>IF(Ergebnisse!B48="","",Ergebnisse!B48)</f>
        <v>46199.791666666672</v>
      </c>
      <c r="C48" s="6" t="str">
        <f>IF(Ergebnisse!C48="","",Ergebnisse!C48)</f>
        <v>Houston</v>
      </c>
      <c r="D48" s="56" t="str">
        <f>IF(Ergebnisse!D48="","",Ergebnisse!D48)</f>
        <v>Kap Verde</v>
      </c>
      <c r="E48" s="40"/>
      <c r="F48" s="56" t="str">
        <f>IF(Ergebnisse!F48="","",Ergebnisse!F48)</f>
        <v>Saudiarabien</v>
      </c>
      <c r="G48" s="53"/>
      <c r="H48" s="57">
        <v>2</v>
      </c>
      <c r="I48" s="11" t="s">
        <v>25</v>
      </c>
      <c r="J48" s="57">
        <v>3</v>
      </c>
      <c r="L48" s="1"/>
      <c r="M48" s="233" t="s">
        <v>237</v>
      </c>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17">
        <f ca="1">IF($CX$97="",IF(OR(Ergebnisse!H48="",Ergebnisse!J48=""),0,IF(AND(H48=Ergebnisse!H48,J48=Ergebnisse!J48),7,MIN(7,(H48-J48=Ergebnisse!H48-Ergebnisse!J48)*4+(AND(H48-J48&lt;&gt;Ergebnisse!H48-Ergebnisse!J48,SIGN(H48-J48)=SIGN(Ergebnisse!H48-Ergebnisse!J48)))*2+(H48=Ergebnisse!H48)+(J48=Ergebnisse!J48)))),INT(RAND()*8))</f>
        <v>1</v>
      </c>
      <c r="AY48" s="17" t="str">
        <f ca="1">IF(Ergebnisse!K48=Ergebnisse!$B$98,Ergebnisse!K48,"")</f>
        <v>ok</v>
      </c>
      <c r="AZ48" s="2"/>
      <c r="BA48" s="2">
        <f>IF(Ergebnisse!BA48="","",Ergebnisse!BA48)</f>
        <v>71</v>
      </c>
      <c r="BB48" s="6">
        <f>IF(Ergebnisse!BB48="","",Ergebnisse!BB48)</f>
        <v>46200.8125</v>
      </c>
      <c r="BC48" s="6" t="str">
        <f>IF(Ergebnisse!BC48="","",Ergebnisse!BC48)</f>
        <v>Miami</v>
      </c>
      <c r="BD48" s="56" t="str">
        <f>IF(Ergebnisse!BD48="","",Ergebnisse!BD48)</f>
        <v>DR Kongo</v>
      </c>
      <c r="BE48" s="40"/>
      <c r="BF48" s="56" t="str">
        <f>IF(Ergebnisse!BF48="","",Ergebnisse!BF48)</f>
        <v>Usbekistan</v>
      </c>
      <c r="BG48" s="53"/>
      <c r="BH48" s="57">
        <v>1</v>
      </c>
      <c r="BI48" s="11" t="s">
        <v>25</v>
      </c>
      <c r="BJ48" s="57">
        <v>2</v>
      </c>
      <c r="BL48" s="1"/>
      <c r="BM48" s="232" t="s">
        <v>238</v>
      </c>
      <c r="BY48" s="2"/>
      <c r="CX48" s="17">
        <f ca="1">IF($CX$97="",IF(OR(Ergebnisse!BH48="",Ergebnisse!BJ48=""),0,IF(AND(BH48=Ergebnisse!BH48,BJ48=Ergebnisse!BJ48),7,MIN(7,(BH48-BJ48=Ergebnisse!BH48-Ergebnisse!BJ48)*4+(AND(BH48-BJ48&lt;&gt;Ergebnisse!BH48-Ergebnisse!BJ48,SIGN(BH48-BJ48)=SIGN(Ergebnisse!BH48-Ergebnisse!BJ48)))*2+(BH48=Ergebnisse!BH48)+(BJ48=Ergebnisse!BJ48)))),INT(RAND()*8))</f>
        <v>0</v>
      </c>
      <c r="CY48" s="17" t="str">
        <f ca="1">IF(Ergebnisse!BK48=Ergebnisse!$B$98,Ergebnisse!BK48,"")</f>
        <v>ok</v>
      </c>
      <c r="CZ48" s="55"/>
      <c r="DA48" s="163"/>
      <c r="DB48" s="187"/>
    </row>
    <row r="49" spans="1:106">
      <c r="E49" s="55"/>
      <c r="F49" s="55"/>
      <c r="G49" s="55"/>
      <c r="M49" s="233" t="s">
        <v>239</v>
      </c>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29">
        <f ca="1">IF($CX$97="",2*COUNTIF(Ergebnisse!$D$63:'Ergebnisse'!$F$78,M49),2*INT(RAND()*2))</f>
        <v>2</v>
      </c>
      <c r="AY49" s="17" t="str">
        <f ca="1">IF(COUNTIF(Ergebnisse!K43:'Ergebnisse'!K48,Ergebnisse!$B$98)=6,"ok","")</f>
        <v>ok</v>
      </c>
      <c r="AZ49" s="2"/>
      <c r="BE49" s="55"/>
      <c r="BF49" s="55"/>
      <c r="BG49" s="55"/>
      <c r="BM49" s="232" t="s">
        <v>240</v>
      </c>
      <c r="BY49" s="2"/>
      <c r="CX49" s="231">
        <f ca="1">IF($CX$97="",2*COUNTIF(Ergebnisse!$D$63:'Ergebnisse'!$F$78,BM49),2*INT(RAND()*2))</f>
        <v>0</v>
      </c>
      <c r="CY49" s="17" t="str">
        <f ca="1">IF(COUNTIF(Ergebnisse!BK43:'Ergebnisse'!BK48,Ergebnisse!$B$98)=6,"ok","")</f>
        <v>ok</v>
      </c>
      <c r="CZ49" s="55"/>
      <c r="DA49" s="165" t="s">
        <v>74</v>
      </c>
      <c r="DB49" s="186">
        <f>DB3+DB9+DB14+DB19+DB25+DB32+DB38+DB43+DB45</f>
        <v>1000</v>
      </c>
    </row>
    <row r="50" spans="1:106">
      <c r="D50" s="55"/>
      <c r="E50" s="58"/>
      <c r="F50" s="59"/>
      <c r="G50" s="59"/>
      <c r="H50" s="55"/>
      <c r="I50" s="55"/>
      <c r="J50" s="55"/>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Z50" s="2"/>
      <c r="BD50" s="55"/>
      <c r="BE50" s="58"/>
      <c r="BF50" s="59"/>
      <c r="BG50" s="59"/>
      <c r="BH50" s="55"/>
      <c r="BI50" s="55"/>
      <c r="BJ50" s="55"/>
      <c r="BY50" s="2"/>
      <c r="CX50" s="1"/>
      <c r="CZ50" s="55"/>
    </row>
    <row r="51" spans="1:106">
      <c r="A51" s="10"/>
      <c r="B51" s="234" t="s">
        <v>0</v>
      </c>
      <c r="C51" s="235" t="s">
        <v>247</v>
      </c>
      <c r="D51" s="53" t="s">
        <v>2</v>
      </c>
      <c r="E51" s="54"/>
      <c r="F51" s="53"/>
      <c r="G51" s="53"/>
      <c r="H51" s="20"/>
      <c r="I51" s="19"/>
      <c r="J51" s="20"/>
      <c r="K51" s="180"/>
      <c r="L51" s="17"/>
      <c r="M51" s="35"/>
      <c r="N51" s="17"/>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10"/>
      <c r="AX51" s="234">
        <f ca="1">IF($CX$97="",2*COUNTIF(Ergebnisse!$D$63:'Ergebnisse'!$F$78,M57),2*INT(RAND()*2))</f>
        <v>2</v>
      </c>
      <c r="AY51" s="17" t="str">
        <f ca="1">IF(COUNTIF(Ergebnisse!K53:'Ergebnisse'!K58,Ergebnisse!$B$98)=6,"ok","")</f>
        <v>ok</v>
      </c>
      <c r="AZ51" s="10"/>
      <c r="BA51" s="10"/>
      <c r="BB51" s="236" t="s">
        <v>0</v>
      </c>
      <c r="BC51" s="237" t="s">
        <v>248</v>
      </c>
      <c r="BD51" s="53" t="s">
        <v>2</v>
      </c>
      <c r="BE51" s="54"/>
      <c r="BF51" s="53"/>
      <c r="BG51" s="53"/>
      <c r="BH51" s="20"/>
      <c r="BI51" s="19"/>
      <c r="BJ51" s="20"/>
      <c r="BK51" s="180"/>
      <c r="BL51" s="17"/>
      <c r="BM51" s="35"/>
      <c r="BN51" s="17"/>
      <c r="BY51" s="2"/>
      <c r="CX51" s="236">
        <f ca="1">IF($CX$97="",2*COUNTIF(Ergebnisse!$D$63:'Ergebnisse'!$F$78,BM57),2*INT(RAND()*2))</f>
        <v>2</v>
      </c>
      <c r="CY51" s="17" t="str">
        <f ca="1">IF(COUNTIF(Ergebnisse!BK53:'Ergebnisse'!BK58,Ergebnisse!$B$98)=6,"ok","")</f>
        <v>ok</v>
      </c>
      <c r="CZ51" s="55"/>
    </row>
    <row r="52" spans="1:106">
      <c r="B52" s="3" t="s">
        <v>22</v>
      </c>
      <c r="C52" s="3" t="s">
        <v>23</v>
      </c>
      <c r="D52" s="55"/>
      <c r="E52" s="55"/>
      <c r="F52" s="55"/>
      <c r="G52" s="55"/>
      <c r="L52" s="1"/>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34">
        <f ca="1">IF($CX$97="",2*COUNTIF(Ergebnisse!$D$63:'Ergebnisse'!$F$78,M58),2*INT(RAND()*2))</f>
        <v>2</v>
      </c>
      <c r="AY52" s="17" t="str">
        <f ca="1">IF(COUNTIF(Ergebnisse!K53:'Ergebnisse'!K58,Ergebnisse!$B$98)=6,"ok","")</f>
        <v>ok</v>
      </c>
      <c r="AZ52" s="2"/>
      <c r="BB52" s="3" t="s">
        <v>22</v>
      </c>
      <c r="BC52" s="3" t="s">
        <v>23</v>
      </c>
      <c r="BD52" s="55"/>
      <c r="BE52" s="55"/>
      <c r="BF52" s="55"/>
      <c r="BG52" s="55"/>
      <c r="BL52" s="1"/>
      <c r="BY52" s="2"/>
      <c r="CX52" s="236">
        <f ca="1">IF($CX$97="",2*COUNTIF(Ergebnisse!$D$63:'Ergebnisse'!$F$78,BM58),2*INT(RAND()*2))</f>
        <v>0</v>
      </c>
      <c r="CY52" s="17" t="str">
        <f ca="1">IF(COUNTIF(Ergebnisse!BK53:'Ergebnisse'!BK58,Ergebnisse!$B$98)=6,"ok","")</f>
        <v>ok</v>
      </c>
      <c r="CZ52" s="55"/>
      <c r="DA52" s="2" t="s">
        <v>456</v>
      </c>
    </row>
    <row r="53" spans="1:106">
      <c r="A53" s="2">
        <f>IF(Ergebnisse!A53="","",Ergebnisse!A53)</f>
        <v>17</v>
      </c>
      <c r="B53" s="6">
        <f>IF(Ergebnisse!B53="","",Ergebnisse!B53)</f>
        <v>46189.625</v>
      </c>
      <c r="C53" s="6" t="str">
        <f>IF(Ergebnisse!C53="","",Ergebnisse!C53)</f>
        <v>New York</v>
      </c>
      <c r="D53" s="56" t="str">
        <f>IF(Ergebnisse!D53="","",Ergebnisse!D53)</f>
        <v>Frankreich</v>
      </c>
      <c r="E53" s="40"/>
      <c r="F53" s="56" t="str">
        <f>IF(Ergebnisse!F53="","",Ergebnisse!F53)</f>
        <v>Senegal</v>
      </c>
      <c r="G53" s="53"/>
      <c r="H53" s="57">
        <v>5</v>
      </c>
      <c r="I53" s="11" t="s">
        <v>25</v>
      </c>
      <c r="J53" s="57">
        <v>4</v>
      </c>
      <c r="L53" s="1"/>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17">
        <f ca="1">IF($CX$97="",IF(OR(Ergebnisse!H53="",Ergebnisse!J53=""),0,IF(AND(H53=Ergebnisse!H53,J53=Ergebnisse!J53),7,MIN(7,(H53-J53=Ergebnisse!H53-Ergebnisse!J53)*4+(AND(H53-J53&lt;&gt;Ergebnisse!H53-Ergebnisse!J53,SIGN(H53-J53)=SIGN(Ergebnisse!H53-Ergebnisse!J53)))*2+(H53=Ergebnisse!H53)+(J53=Ergebnisse!J53)))),INT(RAND()*8))</f>
        <v>4</v>
      </c>
      <c r="AY53" s="17" t="str">
        <f ca="1">IF(Ergebnisse!K53=Ergebnisse!$B$98,Ergebnisse!K53,"")</f>
        <v>ok</v>
      </c>
      <c r="AZ53" s="2"/>
      <c r="BA53" s="2">
        <f>IF(Ergebnisse!BA53="","",Ergebnisse!BA53)</f>
        <v>22</v>
      </c>
      <c r="BB53" s="6">
        <f>IF(Ergebnisse!BB53="","",Ergebnisse!BB53)</f>
        <v>46190.625</v>
      </c>
      <c r="BC53" s="6" t="str">
        <f>IF(Ergebnisse!BC53="","",Ergebnisse!BC53)</f>
        <v>Dallas</v>
      </c>
      <c r="BD53" s="56" t="str">
        <f>IF(Ergebnisse!BD53="","",Ergebnisse!BD53)</f>
        <v>England</v>
      </c>
      <c r="BE53" s="40"/>
      <c r="BF53" s="56" t="str">
        <f>IF(Ergebnisse!BF53="","",Ergebnisse!BF53)</f>
        <v>Kroatien</v>
      </c>
      <c r="BG53" s="53"/>
      <c r="BH53" s="57">
        <v>0</v>
      </c>
      <c r="BI53" s="11" t="s">
        <v>25</v>
      </c>
      <c r="BJ53" s="57">
        <v>0</v>
      </c>
      <c r="BL53" s="1"/>
      <c r="BY53" s="2"/>
      <c r="CX53" s="17">
        <f ca="1">IF($CX$97="",IF(OR(Ergebnisse!BH53="",Ergebnisse!BJ53=""),0,IF(AND(BH53=Ergebnisse!BH53,BJ53=Ergebnisse!BJ53),7,MIN(7,(BH53-BJ53=Ergebnisse!BH53-Ergebnisse!BJ53)*4+(AND(BH53-BJ53&lt;&gt;Ergebnisse!BH53-Ergebnisse!BJ53,SIGN(BH53-BJ53)=SIGN(Ergebnisse!BH53-Ergebnisse!BJ53)))*2+(BH53=Ergebnisse!BH53)+(BJ53=Ergebnisse!BJ53)))),INT(RAND()*8))</f>
        <v>0</v>
      </c>
      <c r="CY53" s="17" t="str">
        <f ca="1">IF(Ergebnisse!BK53=Ergebnisse!$B$98,Ergebnisse!BK53,"")</f>
        <v>ok</v>
      </c>
      <c r="CZ53" s="55"/>
    </row>
    <row r="54" spans="1:106">
      <c r="A54" s="2">
        <f>IF(Ergebnisse!A54="","",Ergebnisse!A54)</f>
        <v>18</v>
      </c>
      <c r="B54" s="6">
        <f>IF(Ergebnisse!B54="","",Ergebnisse!B54)</f>
        <v>46189.75</v>
      </c>
      <c r="C54" s="6" t="str">
        <f>IF(Ergebnisse!C54="","",Ergebnisse!C54)</f>
        <v>Boston</v>
      </c>
      <c r="D54" s="56" t="str">
        <f>IF(Ergebnisse!D54="","",Ergebnisse!D54)</f>
        <v>Irak</v>
      </c>
      <c r="E54" s="40"/>
      <c r="F54" s="56" t="str">
        <f>IF(Ergebnisse!F54="","",Ergebnisse!F54)</f>
        <v>Norwegen</v>
      </c>
      <c r="G54" s="53"/>
      <c r="H54" s="57">
        <v>1</v>
      </c>
      <c r="I54" s="11" t="s">
        <v>25</v>
      </c>
      <c r="J54" s="57">
        <v>2</v>
      </c>
      <c r="L54" s="1"/>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17">
        <f ca="1">IF($CX$97="",IF(OR(Ergebnisse!H54="",Ergebnisse!J54=""),0,IF(AND(H54=Ergebnisse!H54,J54=Ergebnisse!J54),7,MIN(7,(H54-J54=Ergebnisse!H54-Ergebnisse!J54)*4+(AND(H54-J54&lt;&gt;Ergebnisse!H54-Ergebnisse!J54,SIGN(H54-J54)=SIGN(Ergebnisse!H54-Ergebnisse!J54)))*2+(H54=Ergebnisse!H54)+(J54=Ergebnisse!J54)))),INT(RAND()*8))</f>
        <v>0</v>
      </c>
      <c r="AY54" s="17" t="str">
        <f ca="1">IF(Ergebnisse!K54=Ergebnisse!$B$98,Ergebnisse!K54,"")</f>
        <v>ok</v>
      </c>
      <c r="AZ54" s="2"/>
      <c r="BA54" s="2">
        <f>IF(Ergebnisse!BA54="","",Ergebnisse!BA54)</f>
        <v>21</v>
      </c>
      <c r="BB54" s="6">
        <f>IF(Ergebnisse!BB54="","",Ergebnisse!BB54)</f>
        <v>46190.791666666664</v>
      </c>
      <c r="BC54" s="6" t="str">
        <f>IF(Ergebnisse!BC54="","",Ergebnisse!BC54)</f>
        <v>Toronto</v>
      </c>
      <c r="BD54" s="56" t="str">
        <f>IF(Ergebnisse!BD54="","",Ergebnisse!BD54)</f>
        <v>Ghana</v>
      </c>
      <c r="BE54" s="40"/>
      <c r="BF54" s="56" t="str">
        <f>IF(Ergebnisse!BF54="","",Ergebnisse!BF54)</f>
        <v>Panama</v>
      </c>
      <c r="BG54" s="53"/>
      <c r="BH54" s="57">
        <v>4</v>
      </c>
      <c r="BI54" s="11" t="s">
        <v>25</v>
      </c>
      <c r="BJ54" s="57">
        <v>5</v>
      </c>
      <c r="BL54" s="1"/>
      <c r="BY54" s="2"/>
      <c r="CX54" s="17">
        <f ca="1">IF($CX$97="",IF(OR(Ergebnisse!BH54="",Ergebnisse!BJ54=""),0,IF(AND(BH54=Ergebnisse!BH54,BJ54=Ergebnisse!BJ54),7,MIN(7,(BH54-BJ54=Ergebnisse!BH54-Ergebnisse!BJ54)*4+(AND(BH54-BJ54&lt;&gt;Ergebnisse!BH54-Ergebnisse!BJ54,SIGN(BH54-BJ54)=SIGN(Ergebnisse!BH54-Ergebnisse!BJ54)))*2+(BH54=Ergebnisse!BH54)+(BJ54=Ergebnisse!BJ54)))),INT(RAND()*8))</f>
        <v>0</v>
      </c>
      <c r="CY54" s="17" t="str">
        <f ca="1">IF(Ergebnisse!BK54=Ergebnisse!$B$98,Ergebnisse!BK54,"")</f>
        <v>ok</v>
      </c>
      <c r="CZ54" s="55"/>
    </row>
    <row r="55" spans="1:106">
      <c r="A55" s="2">
        <f>IF(Ergebnisse!A55="","",Ergebnisse!A55)</f>
        <v>42</v>
      </c>
      <c r="B55" s="6">
        <f>IF(Ergebnisse!B55="","",Ergebnisse!B55)</f>
        <v>46195.708333333336</v>
      </c>
      <c r="C55" s="6" t="str">
        <f>IF(Ergebnisse!C55="","",Ergebnisse!C55)</f>
        <v>Philadelphia</v>
      </c>
      <c r="D55" s="56" t="str">
        <f>IF(Ergebnisse!D55="","",Ergebnisse!D55)</f>
        <v>Frankreich</v>
      </c>
      <c r="E55" s="40"/>
      <c r="F55" s="56" t="str">
        <f>IF(Ergebnisse!F55="","",Ergebnisse!F55)</f>
        <v>Irak</v>
      </c>
      <c r="G55" s="53"/>
      <c r="H55" s="57">
        <v>4</v>
      </c>
      <c r="I55" s="11" t="s">
        <v>25</v>
      </c>
      <c r="J55" s="57">
        <v>2</v>
      </c>
      <c r="L55" s="1"/>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17">
        <f ca="1">IF($CX$97="",IF(OR(Ergebnisse!H55="",Ergebnisse!J55=""),0,IF(AND(H55=Ergebnisse!H55,J55=Ergebnisse!J55),7,MIN(7,(H55-J55=Ergebnisse!H55-Ergebnisse!J55)*4+(AND(H55-J55&lt;&gt;Ergebnisse!H55-Ergebnisse!J55,SIGN(H55-J55)=SIGN(Ergebnisse!H55-Ergebnisse!J55)))*2+(H55=Ergebnisse!H55)+(J55=Ergebnisse!J55)))),INT(RAND()*8))</f>
        <v>0</v>
      </c>
      <c r="AY55" s="17" t="str">
        <f ca="1">IF(Ergebnisse!K55=Ergebnisse!$B$98,Ergebnisse!K55,"")</f>
        <v>ok</v>
      </c>
      <c r="AZ55" s="2"/>
      <c r="BA55" s="2">
        <f>IF(Ergebnisse!BA55="","",Ergebnisse!BA55)</f>
        <v>45</v>
      </c>
      <c r="BB55" s="6">
        <f>IF(Ergebnisse!BB55="","",Ergebnisse!BB55)</f>
        <v>46196.666666666664</v>
      </c>
      <c r="BC55" s="6" t="str">
        <f>IF(Ergebnisse!BC55="","",Ergebnisse!BC55)</f>
        <v>Boston</v>
      </c>
      <c r="BD55" s="56" t="str">
        <f>IF(Ergebnisse!BD55="","",Ergebnisse!BD55)</f>
        <v>England</v>
      </c>
      <c r="BE55" s="40"/>
      <c r="BF55" s="56" t="str">
        <f>IF(Ergebnisse!BF55="","",Ergebnisse!BF55)</f>
        <v>Ghana</v>
      </c>
      <c r="BG55" s="53"/>
      <c r="BH55" s="57">
        <v>4</v>
      </c>
      <c r="BI55" s="11" t="s">
        <v>25</v>
      </c>
      <c r="BJ55" s="57">
        <v>2</v>
      </c>
      <c r="BL55" s="1"/>
      <c r="BY55" s="2"/>
      <c r="CX55" s="17">
        <f ca="1">IF($CX$97="",IF(OR(Ergebnisse!BH55="",Ergebnisse!BJ55=""),0,IF(AND(BH55=Ergebnisse!BH55,BJ55=Ergebnisse!BJ55),7,MIN(7,(BH55-BJ55=Ergebnisse!BH55-Ergebnisse!BJ55)*4+(AND(BH55-BJ55&lt;&gt;Ergebnisse!BH55-Ergebnisse!BJ55,SIGN(BH55-BJ55)=SIGN(Ergebnisse!BH55-Ergebnisse!BJ55)))*2+(BH55=Ergebnisse!BH55)+(BJ55=Ergebnisse!BJ55)))),INT(RAND()*8))</f>
        <v>0</v>
      </c>
      <c r="CY55" s="17" t="str">
        <f ca="1">IF(Ergebnisse!BK55=Ergebnisse!$B$98,Ergebnisse!BK55,"")</f>
        <v>ok</v>
      </c>
      <c r="CZ55" s="55"/>
    </row>
    <row r="56" spans="1:106">
      <c r="A56" s="2">
        <f>IF(Ergebnisse!A56="","",Ergebnisse!A56)</f>
        <v>41</v>
      </c>
      <c r="B56" s="6">
        <f>IF(Ergebnisse!B56="","",Ergebnisse!B56)</f>
        <v>46195.833333333336</v>
      </c>
      <c r="C56" s="6" t="str">
        <f>IF(Ergebnisse!C56="","",Ergebnisse!C56)</f>
        <v>New York</v>
      </c>
      <c r="D56" s="56" t="str">
        <f>IF(Ergebnisse!D56="","",Ergebnisse!D56)</f>
        <v>Norwegen</v>
      </c>
      <c r="E56" s="40"/>
      <c r="F56" s="56" t="str">
        <f>IF(Ergebnisse!F56="","",Ergebnisse!F56)</f>
        <v>Senegal</v>
      </c>
      <c r="G56" s="53"/>
      <c r="H56" s="57">
        <v>1</v>
      </c>
      <c r="I56" s="11" t="s">
        <v>25</v>
      </c>
      <c r="J56" s="57">
        <v>2</v>
      </c>
      <c r="L56" s="1"/>
      <c r="N56" s="1"/>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17">
        <f ca="1">IF($CX$97="",IF(OR(Ergebnisse!H56="",Ergebnisse!J56=""),0,IF(AND(H56=Ergebnisse!H56,J56=Ergebnisse!J56),7,MIN(7,(H56-J56=Ergebnisse!H56-Ergebnisse!J56)*4+(AND(H56-J56&lt;&gt;Ergebnisse!H56-Ergebnisse!J56,SIGN(H56-J56)=SIGN(Ergebnisse!H56-Ergebnisse!J56)))*2+(H56=Ergebnisse!H56)+(J56=Ergebnisse!J56)))),INT(RAND()*8))</f>
        <v>3</v>
      </c>
      <c r="AY56" s="17" t="str">
        <f ca="1">IF(Ergebnisse!K56=Ergebnisse!$B$98,Ergebnisse!K56,"")</f>
        <v>ok</v>
      </c>
      <c r="AZ56" s="2"/>
      <c r="BA56" s="2">
        <f>IF(Ergebnisse!BA56="","",Ergebnisse!BA56)</f>
        <v>46</v>
      </c>
      <c r="BB56" s="6">
        <f>IF(Ergebnisse!BB56="","",Ergebnisse!BB56)</f>
        <v>46196.791666666664</v>
      </c>
      <c r="BC56" s="6" t="str">
        <f>IF(Ergebnisse!BC56="","",Ergebnisse!BC56)</f>
        <v>Toronto</v>
      </c>
      <c r="BD56" s="56" t="str">
        <f>IF(Ergebnisse!BD56="","",Ergebnisse!BD56)</f>
        <v>Panama</v>
      </c>
      <c r="BE56" s="40"/>
      <c r="BF56" s="56" t="str">
        <f>IF(Ergebnisse!BF56="","",Ergebnisse!BF56)</f>
        <v>Kroatien</v>
      </c>
      <c r="BG56" s="53"/>
      <c r="BH56" s="57">
        <v>3</v>
      </c>
      <c r="BI56" s="11" t="s">
        <v>25</v>
      </c>
      <c r="BJ56" s="57">
        <v>3</v>
      </c>
      <c r="BL56" s="1"/>
      <c r="BN56" s="1"/>
      <c r="BY56" s="2"/>
      <c r="CX56" s="17">
        <f ca="1">IF($CX$97="",IF(OR(Ergebnisse!BH56="",Ergebnisse!BJ56=""),0,IF(AND(BH56=Ergebnisse!BH56,BJ56=Ergebnisse!BJ56),7,MIN(7,(BH56-BJ56=Ergebnisse!BH56-Ergebnisse!BJ56)*4+(AND(BH56-BJ56&lt;&gt;Ergebnisse!BH56-Ergebnisse!BJ56,SIGN(BH56-BJ56)=SIGN(Ergebnisse!BH56-Ergebnisse!BJ56)))*2+(BH56=Ergebnisse!BH56)+(BJ56=Ergebnisse!BJ56)))),INT(RAND()*8))</f>
        <v>0</v>
      </c>
      <c r="CY56" s="17" t="str">
        <f ca="1">IF(Ergebnisse!BK56=Ergebnisse!$B$98,Ergebnisse!BK56,"")</f>
        <v>ok</v>
      </c>
      <c r="CZ56" s="55"/>
    </row>
    <row r="57" spans="1:106">
      <c r="A57" s="2">
        <f>IF(Ergebnisse!A57="","",Ergebnisse!A57)</f>
        <v>61</v>
      </c>
      <c r="B57" s="6">
        <f>IF(Ergebnisse!B57="","",Ergebnisse!B57)</f>
        <v>46199.625</v>
      </c>
      <c r="C57" s="6" t="str">
        <f>IF(Ergebnisse!C57="","",Ergebnisse!C57)</f>
        <v>Boston</v>
      </c>
      <c r="D57" s="56" t="str">
        <f>IF(Ergebnisse!D57="","",Ergebnisse!D57)</f>
        <v>Norwegen</v>
      </c>
      <c r="E57" s="40"/>
      <c r="F57" s="56" t="str">
        <f>IF(Ergebnisse!F57="","",Ergebnisse!F57)</f>
        <v>Frankreich</v>
      </c>
      <c r="G57" s="55"/>
      <c r="H57" s="57">
        <v>2</v>
      </c>
      <c r="I57" s="11" t="s">
        <v>25</v>
      </c>
      <c r="J57" s="57">
        <v>4</v>
      </c>
      <c r="M57" s="238" t="s">
        <v>69</v>
      </c>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17">
        <f ca="1">IF($CX$97="",IF(OR(Ergebnisse!H57="",Ergebnisse!J57=""),0,IF(AND(H57=Ergebnisse!H57,J57=Ergebnisse!J57),7,MIN(7,(H57-J57=Ergebnisse!H57-Ergebnisse!J57)*4+(AND(H57-J57&lt;&gt;Ergebnisse!H57-Ergebnisse!J57,SIGN(H57-J57)=SIGN(Ergebnisse!H57-Ergebnisse!J57)))*2+(H57=Ergebnisse!H57)+(J57=Ergebnisse!J57)))),INT(RAND()*8))</f>
        <v>2</v>
      </c>
      <c r="AY57" s="17" t="str">
        <f ca="1">IF(Ergebnisse!K57=Ergebnisse!$B$98,Ergebnisse!K57,"")</f>
        <v>ok</v>
      </c>
      <c r="AZ57" s="2"/>
      <c r="BA57" s="2">
        <f>IF(Ergebnisse!BA57="","",Ergebnisse!BA57)</f>
        <v>68</v>
      </c>
      <c r="BB57" s="6">
        <f>IF(Ergebnisse!BB57="","",Ergebnisse!BB57)</f>
        <v>46200.708333333336</v>
      </c>
      <c r="BC57" s="6" t="str">
        <f>IF(Ergebnisse!BC57="","",Ergebnisse!BC57)</f>
        <v>Philadelphia</v>
      </c>
      <c r="BD57" s="56" t="str">
        <f>IF(Ergebnisse!BD57="","",Ergebnisse!BD57)</f>
        <v>Panama</v>
      </c>
      <c r="BE57" s="40"/>
      <c r="BF57" s="56" t="str">
        <f>IF(Ergebnisse!BF57="","",Ergebnisse!BF57)</f>
        <v>England</v>
      </c>
      <c r="BG57" s="55"/>
      <c r="BH57" s="57">
        <v>3</v>
      </c>
      <c r="BI57" s="11" t="s">
        <v>25</v>
      </c>
      <c r="BJ57" s="57">
        <v>3</v>
      </c>
      <c r="BM57" s="237" t="s">
        <v>253</v>
      </c>
      <c r="BY57" s="2"/>
      <c r="CX57" s="17">
        <f ca="1">IF($CX$97="",IF(OR(Ergebnisse!BH57="",Ergebnisse!BJ57=""),0,IF(AND(BH57=Ergebnisse!BH57,BJ57=Ergebnisse!BJ57),7,MIN(7,(BH57-BJ57=Ergebnisse!BH57-Ergebnisse!BJ57)*4+(AND(BH57-BJ57&lt;&gt;Ergebnisse!BH57-Ergebnisse!BJ57,SIGN(BH57-BJ57)=SIGN(Ergebnisse!BH57-Ergebnisse!BJ57)))*2+(BH57=Ergebnisse!BH57)+(BJ57=Ergebnisse!BJ57)))),INT(RAND()*8))</f>
        <v>7</v>
      </c>
      <c r="CY57" s="17" t="str">
        <f ca="1">IF(Ergebnisse!BK57=Ergebnisse!$B$98,Ergebnisse!BK57,"")</f>
        <v>ok</v>
      </c>
      <c r="CZ57" s="55"/>
    </row>
    <row r="58" spans="1:106">
      <c r="A58" s="2">
        <f>IF(Ergebnisse!A58="","",Ergebnisse!A58)</f>
        <v>62</v>
      </c>
      <c r="B58" s="6">
        <f>IF(Ergebnisse!B58="","",Ergebnisse!B58)</f>
        <v>46199.625</v>
      </c>
      <c r="C58" s="6" t="str">
        <f>IF(Ergebnisse!C58="","",Ergebnisse!C58)</f>
        <v>Toronto</v>
      </c>
      <c r="D58" s="56" t="str">
        <f>IF(Ergebnisse!D58="","",Ergebnisse!D58)</f>
        <v>Senegal</v>
      </c>
      <c r="E58" s="40"/>
      <c r="F58" s="56" t="str">
        <f>IF(Ergebnisse!F58="","",Ergebnisse!F58)</f>
        <v>Irak</v>
      </c>
      <c r="G58" s="55"/>
      <c r="H58" s="57">
        <v>2</v>
      </c>
      <c r="I58" s="11" t="s">
        <v>25</v>
      </c>
      <c r="J58" s="57">
        <v>1</v>
      </c>
      <c r="M58" s="238" t="s">
        <v>249</v>
      </c>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17">
        <f ca="1">IF($CX$97="",IF(OR(Ergebnisse!H58="",Ergebnisse!J58=""),0,IF(AND(H58=Ergebnisse!H58,J58=Ergebnisse!J58),7,MIN(7,(H58-J58=Ergebnisse!H58-Ergebnisse!J58)*4+(AND(H58-J58&lt;&gt;Ergebnisse!H58-Ergebnisse!J58,SIGN(H58-J58)=SIGN(Ergebnisse!H58-Ergebnisse!J58)))*2+(H58=Ergebnisse!H58)+(J58=Ergebnisse!J58)))),INT(RAND()*8))</f>
        <v>4</v>
      </c>
      <c r="AY58" s="17" t="str">
        <f ca="1">IF(Ergebnisse!K58=Ergebnisse!$B$98,Ergebnisse!K58,"")</f>
        <v>ok</v>
      </c>
      <c r="AZ58" s="2"/>
      <c r="BA58" s="2">
        <f>IF(Ergebnisse!BA58="","",Ergebnisse!BA58)</f>
        <v>67</v>
      </c>
      <c r="BB58" s="6">
        <f>IF(Ergebnisse!BB58="","",Ergebnisse!BB58)</f>
        <v>46200.708333333336</v>
      </c>
      <c r="BC58" s="6" t="str">
        <f>IF(Ergebnisse!BC58="","",Ergebnisse!BC58)</f>
        <v>New York</v>
      </c>
      <c r="BD58" s="56" t="str">
        <f>IF(Ergebnisse!BD58="","",Ergebnisse!BD58)</f>
        <v>Kroatien</v>
      </c>
      <c r="BE58" s="40"/>
      <c r="BF58" s="56" t="str">
        <f>IF(Ergebnisse!BF58="","",Ergebnisse!BF58)</f>
        <v>Ghana</v>
      </c>
      <c r="BG58" s="55"/>
      <c r="BH58" s="57">
        <v>3</v>
      </c>
      <c r="BI58" s="11" t="s">
        <v>25</v>
      </c>
      <c r="BJ58" s="57">
        <v>1</v>
      </c>
      <c r="BM58" s="237" t="s">
        <v>70</v>
      </c>
      <c r="BY58" s="2"/>
      <c r="CX58" s="17">
        <f ca="1">IF($CX$97="",IF(OR(Ergebnisse!BH58="",Ergebnisse!BJ58=""),0,IF(AND(BH58=Ergebnisse!BH58,BJ58=Ergebnisse!BJ58),7,MIN(7,(BH58-BJ58=Ergebnisse!BH58-Ergebnisse!BJ58)*4+(AND(BH58-BJ58&lt;&gt;Ergebnisse!BH58-Ergebnisse!BJ58,SIGN(BH58-BJ58)=SIGN(Ergebnisse!BH58-Ergebnisse!BJ58)))*2+(BH58=Ergebnisse!BH58)+(BJ58=Ergebnisse!BJ58)))),INT(RAND()*8))</f>
        <v>1</v>
      </c>
      <c r="CY58" s="17" t="str">
        <f ca="1">IF(Ergebnisse!BK58=Ergebnisse!$B$98,Ergebnisse!BK58,"")</f>
        <v>ok</v>
      </c>
      <c r="CZ58" s="55"/>
    </row>
    <row r="59" spans="1:106">
      <c r="E59" s="55"/>
      <c r="F59" s="55"/>
      <c r="G59" s="55"/>
      <c r="M59" s="238" t="s">
        <v>252</v>
      </c>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34">
        <f ca="1">IF($CX$97="",2*COUNTIF(Ergebnisse!$D$63:'Ergebnisse'!$F$78,M59),2*INT(RAND()*2))</f>
        <v>0</v>
      </c>
      <c r="AY59" s="17" t="str">
        <f ca="1">IF(COUNTIF(Ergebnisse!K53:'Ergebnisse'!K58,Ergebnisse!$B$98)=6,"ok","")</f>
        <v>ok</v>
      </c>
      <c r="AZ59" s="2"/>
      <c r="BE59" s="55"/>
      <c r="BF59" s="55"/>
      <c r="BG59" s="55"/>
      <c r="BM59" s="237" t="s">
        <v>188</v>
      </c>
      <c r="BY59" s="2"/>
      <c r="CX59" s="236">
        <f ca="1">IF($CX$97="",2*COUNTIF(Ergebnisse!$D$63:'Ergebnisse'!$F$78,BM59),2*INT(RAND()*2))</f>
        <v>2</v>
      </c>
      <c r="CY59" s="17" t="str">
        <f ca="1">IF(COUNTIF(Ergebnisse!BK53:'Ergebnisse'!BK58,Ergebnisse!$B$98)=6,"ok","")</f>
        <v>ok</v>
      </c>
      <c r="CZ59" s="55"/>
    </row>
    <row r="60" spans="1:106">
      <c r="D60" s="55"/>
      <c r="E60" s="58"/>
      <c r="F60" s="59"/>
      <c r="G60" s="59"/>
      <c r="H60" s="55"/>
      <c r="I60" s="55"/>
      <c r="J60" s="55"/>
      <c r="AE60" s="108"/>
      <c r="AF60" s="219"/>
      <c r="AG60" s="219"/>
      <c r="AH60" s="219"/>
      <c r="AI60" s="219"/>
      <c r="AJ60" s="219"/>
      <c r="AK60" s="219"/>
      <c r="AL60" s="219"/>
      <c r="AM60" s="219"/>
      <c r="AN60" s="219"/>
      <c r="AO60" s="219"/>
      <c r="AP60" s="219"/>
      <c r="AQ60" s="219"/>
      <c r="AR60" s="219"/>
      <c r="AS60" s="219"/>
      <c r="AT60" s="219"/>
      <c r="AV60" s="219"/>
      <c r="AW60" s="2"/>
      <c r="AY60" s="17"/>
      <c r="AZ60" s="2"/>
      <c r="BD60" s="55"/>
      <c r="BE60" s="58"/>
      <c r="BF60" s="59"/>
      <c r="BG60" s="59"/>
      <c r="BH60" s="55"/>
      <c r="BI60" s="55"/>
      <c r="BJ60" s="55"/>
      <c r="BY60" s="2"/>
      <c r="CX60" s="1"/>
      <c r="CZ60" s="55"/>
    </row>
    <row r="61" spans="1:106">
      <c r="A61" s="10"/>
      <c r="B61" s="21" t="s">
        <v>260</v>
      </c>
      <c r="C61" s="21"/>
      <c r="D61" s="17"/>
      <c r="E61" s="14"/>
      <c r="F61" s="17"/>
      <c r="G61" s="17"/>
      <c r="H61" s="20"/>
      <c r="I61" s="19"/>
      <c r="J61" s="20"/>
      <c r="K61" s="181"/>
      <c r="L61" s="17"/>
      <c r="M61" s="21"/>
      <c r="N61" s="17"/>
      <c r="O61" s="17"/>
      <c r="P61" s="17"/>
      <c r="Q61" s="17"/>
      <c r="R61" s="17"/>
      <c r="S61" s="53"/>
      <c r="T61" s="53"/>
      <c r="U61" s="53"/>
      <c r="V61" s="53"/>
      <c r="W61" s="53"/>
      <c r="X61" s="53"/>
      <c r="Y61" s="56"/>
      <c r="Z61" s="53"/>
      <c r="AA61" s="53"/>
      <c r="AB61" s="53"/>
      <c r="AC61" s="53"/>
      <c r="AD61" s="176"/>
      <c r="AE61" s="19"/>
      <c r="AF61" s="53"/>
      <c r="AG61" s="53"/>
      <c r="AH61" s="53"/>
      <c r="AI61" s="59"/>
      <c r="AJ61" s="59"/>
      <c r="AK61" s="59"/>
      <c r="AL61" s="59"/>
      <c r="AM61" s="59"/>
      <c r="AN61" s="59"/>
      <c r="AO61" s="59"/>
      <c r="AP61" s="59"/>
      <c r="AQ61" s="59"/>
      <c r="AR61" s="59"/>
      <c r="AS61" s="59"/>
      <c r="AT61" s="59"/>
      <c r="AU61" s="59"/>
      <c r="AV61" s="59"/>
      <c r="AZ61" s="206"/>
      <c r="BA61" s="10"/>
      <c r="BB61" s="10"/>
      <c r="BC61" s="10"/>
      <c r="BD61" s="10"/>
      <c r="BE61" s="10"/>
      <c r="BF61" s="10"/>
      <c r="BG61" s="10"/>
      <c r="BH61" s="10"/>
      <c r="BI61" s="10"/>
      <c r="BJ61" s="10"/>
      <c r="BK61" s="10"/>
      <c r="BL61" s="10"/>
      <c r="BM61" s="10"/>
      <c r="BN61" s="10"/>
      <c r="BO61" s="10"/>
      <c r="BP61" s="10"/>
      <c r="BQ61" s="1"/>
      <c r="BR61" s="1"/>
      <c r="BS61" s="62"/>
      <c r="BT61" s="62"/>
      <c r="BU61" s="62"/>
      <c r="BV61" s="62"/>
      <c r="BW61" s="62"/>
      <c r="BX61" s="62"/>
      <c r="BY61" s="63"/>
      <c r="BZ61" s="62"/>
      <c r="CA61" s="62"/>
      <c r="CB61" s="62"/>
      <c r="CC61" s="62"/>
      <c r="CD61" s="62"/>
      <c r="CE61" s="66"/>
      <c r="CF61" s="66"/>
      <c r="CG61" s="66"/>
      <c r="CH61" s="66"/>
      <c r="CI61" s="66"/>
      <c r="CJ61" s="66"/>
      <c r="CK61" s="66"/>
      <c r="CL61" s="55"/>
      <c r="CM61" s="55"/>
      <c r="CN61" s="55"/>
      <c r="CO61" s="62"/>
      <c r="CP61" s="55"/>
      <c r="CQ61" s="55"/>
      <c r="CR61" s="55"/>
      <c r="CS61" s="55"/>
      <c r="CT61" s="55"/>
      <c r="CU61" s="55"/>
      <c r="CV61" s="55"/>
      <c r="CW61" s="55"/>
      <c r="CX61" s="1"/>
      <c r="CZ61" s="55"/>
      <c r="DA61" s="163"/>
      <c r="DB61" s="164"/>
    </row>
    <row r="62" spans="1:106">
      <c r="B62" s="3" t="s">
        <v>22</v>
      </c>
      <c r="C62" s="3" t="s">
        <v>23</v>
      </c>
      <c r="D62" s="17"/>
      <c r="E62" s="14"/>
      <c r="F62" s="17"/>
      <c r="G62" s="17"/>
      <c r="H62" s="20"/>
      <c r="I62" s="11"/>
      <c r="J62" s="20"/>
      <c r="K62" s="181"/>
      <c r="L62" s="1"/>
      <c r="M62" s="3"/>
      <c r="N62" s="1"/>
      <c r="O62" s="1"/>
      <c r="P62" s="1"/>
      <c r="Q62" s="1"/>
      <c r="R62" s="1"/>
      <c r="V62" s="62"/>
      <c r="W62" s="62"/>
      <c r="Z62" s="62"/>
      <c r="AA62" s="58"/>
      <c r="AB62" s="62"/>
      <c r="AC62" s="58"/>
      <c r="AE62" s="19"/>
      <c r="AF62" s="62"/>
      <c r="AG62" s="62"/>
      <c r="AH62" s="62"/>
      <c r="AZ62" s="206"/>
      <c r="BA62" s="206"/>
      <c r="BB62" s="206"/>
      <c r="BC62" s="206"/>
      <c r="BD62" s="206"/>
      <c r="BE62" s="206"/>
      <c r="BF62" s="206"/>
      <c r="BG62" s="206"/>
      <c r="BH62" s="206"/>
      <c r="BI62" s="206"/>
      <c r="BJ62" s="206"/>
      <c r="BK62" s="206"/>
      <c r="BL62" s="206"/>
      <c r="BM62" s="206"/>
      <c r="BN62" s="206"/>
      <c r="BO62" s="206"/>
      <c r="BP62" s="206"/>
      <c r="BQ62" s="206"/>
      <c r="BR62" s="206"/>
      <c r="BS62" s="206"/>
      <c r="BT62" s="206"/>
      <c r="BU62" s="206"/>
      <c r="BV62" s="55"/>
      <c r="BW62" s="55"/>
      <c r="BX62" s="55"/>
      <c r="BZ62" s="55"/>
      <c r="CA62" s="55"/>
      <c r="CB62" s="55"/>
      <c r="CC62" s="55"/>
      <c r="CD62" s="55"/>
      <c r="CE62" s="66"/>
      <c r="CF62" s="66"/>
      <c r="CG62" s="66"/>
      <c r="CH62" s="66"/>
      <c r="CI62" s="66"/>
      <c r="CJ62" s="66"/>
      <c r="CK62" s="66"/>
      <c r="CL62" s="55"/>
      <c r="CM62" s="55"/>
      <c r="CN62" s="55"/>
      <c r="CO62" s="55"/>
      <c r="CP62" s="55"/>
      <c r="CQ62" s="55"/>
      <c r="CR62" s="55"/>
      <c r="CS62" s="55"/>
      <c r="CT62" s="55"/>
      <c r="CU62" s="55"/>
      <c r="CV62" s="55"/>
      <c r="CW62" s="55"/>
      <c r="CZ62" s="55"/>
    </row>
    <row r="63" spans="1:106">
      <c r="A63" s="2">
        <f>IF(Ergebnisse!A63="","",Ergebnisse!A63)</f>
        <v>73</v>
      </c>
      <c r="B63" s="6">
        <f>IF(Ergebnisse!B63="","",Ergebnisse!B63)</f>
        <v>46201.5</v>
      </c>
      <c r="C63" s="6" t="str">
        <f>IF(Ergebnisse!C63="","",Ergebnisse!C63)</f>
        <v>Los Angeles</v>
      </c>
      <c r="D63" s="26" t="s">
        <v>205</v>
      </c>
      <c r="E63" s="15"/>
      <c r="F63" s="37" t="s">
        <v>208</v>
      </c>
      <c r="G63" s="17"/>
      <c r="H63" s="107">
        <v>4</v>
      </c>
      <c r="I63" s="11" t="s">
        <v>25</v>
      </c>
      <c r="J63" s="107">
        <v>3</v>
      </c>
      <c r="L63" s="1"/>
      <c r="M63" s="240" t="s">
        <v>205</v>
      </c>
      <c r="N63" s="1"/>
      <c r="O63" s="1"/>
      <c r="P63" s="1"/>
      <c r="Q63" s="1"/>
      <c r="R63" s="1"/>
      <c r="V63" s="62"/>
      <c r="W63" s="62"/>
      <c r="Z63" s="62"/>
      <c r="AB63" s="62"/>
      <c r="AE63" s="2"/>
      <c r="AF63" s="206"/>
      <c r="AG63" s="206"/>
      <c r="AH63" s="206"/>
      <c r="AI63" s="206"/>
      <c r="AJ63" s="206"/>
      <c r="AK63" s="206"/>
      <c r="AL63" s="206"/>
      <c r="AM63" s="206"/>
      <c r="AN63" s="206"/>
      <c r="AO63" s="206"/>
      <c r="AP63" s="206"/>
      <c r="AX63" s="17">
        <f ca="1">IF(AY63="",0,IF($CX$97="",(D63=Ergebnisse!D63)+(F63=Ergebnisse!F63)+(SIGN(H63-J63)=SIGN(Ergebnisse!H63-Ergebnisse!J63))*7+(H63=Ergebnisse!H63)+(J63=Ergebnisse!J63),INT(RAND()*12)))</f>
        <v>0</v>
      </c>
      <c r="AY63" s="17" t="str">
        <f ca="1">IF(Ergebnisse!K63=Ergebnisse!$B$98,Ergebnisse!K63,"")</f>
        <v>ok</v>
      </c>
      <c r="AZ63" s="206"/>
      <c r="BA63" s="206"/>
      <c r="BB63" s="206"/>
      <c r="BC63" s="206"/>
      <c r="BD63" s="206"/>
      <c r="BE63" s="206"/>
      <c r="BF63" s="206"/>
      <c r="BG63" s="206"/>
      <c r="BH63" s="206"/>
      <c r="BI63" s="206"/>
      <c r="BJ63" s="206"/>
      <c r="BK63" s="206"/>
      <c r="BL63" s="206"/>
      <c r="BM63" s="206"/>
      <c r="BN63" s="206"/>
      <c r="BO63" s="206"/>
      <c r="BP63" s="206"/>
      <c r="BQ63" s="206"/>
      <c r="BR63" s="206"/>
      <c r="BS63" s="206"/>
      <c r="BT63" s="206"/>
      <c r="BU63" s="206"/>
      <c r="BV63" s="55"/>
      <c r="BW63" s="55"/>
      <c r="BX63" s="55"/>
      <c r="BZ63" s="55"/>
      <c r="CA63" s="55"/>
      <c r="CB63" s="55"/>
      <c r="CC63" s="55"/>
      <c r="CD63" s="55"/>
      <c r="CE63" s="66"/>
      <c r="CF63" s="66"/>
      <c r="CG63" s="66"/>
      <c r="CH63" s="66"/>
      <c r="CI63" s="66"/>
      <c r="CJ63" s="66"/>
      <c r="CK63" s="66"/>
      <c r="CL63" s="55"/>
      <c r="CM63" s="55"/>
      <c r="CN63" s="55"/>
      <c r="CO63" s="55"/>
      <c r="CP63" s="55"/>
      <c r="CQ63" s="55"/>
      <c r="CR63" s="55"/>
      <c r="CS63" s="55"/>
      <c r="CT63" s="55"/>
      <c r="CU63" s="55"/>
      <c r="CV63" s="55"/>
      <c r="CW63" s="55"/>
    </row>
    <row r="64" spans="1:106">
      <c r="A64" s="2">
        <f>IF(Ergebnisse!A64="","",Ergebnisse!A64)</f>
        <v>76</v>
      </c>
      <c r="B64" s="6">
        <f>IF(Ergebnisse!B64="","",Ergebnisse!B64)</f>
        <v>46202.5</v>
      </c>
      <c r="C64" s="6" t="str">
        <f>IF(Ergebnisse!C64="","",Ergebnisse!C64)</f>
        <v>Houston</v>
      </c>
      <c r="D64" s="38" t="s">
        <v>214</v>
      </c>
      <c r="E64" s="15"/>
      <c r="F64" s="223" t="s">
        <v>215</v>
      </c>
      <c r="G64" s="17"/>
      <c r="H64" s="107">
        <v>0</v>
      </c>
      <c r="I64" s="11" t="s">
        <v>25</v>
      </c>
      <c r="J64" s="107">
        <v>1</v>
      </c>
      <c r="L64" s="1"/>
      <c r="M64" s="240" t="s">
        <v>215</v>
      </c>
      <c r="N64" s="1"/>
      <c r="O64" s="1"/>
      <c r="P64" s="1"/>
      <c r="Q64" s="1"/>
      <c r="R64" s="1"/>
      <c r="V64" s="62"/>
      <c r="W64" s="62"/>
      <c r="AA64" s="201"/>
      <c r="AC64" s="58"/>
      <c r="AE64" s="2"/>
      <c r="AF64" s="206"/>
      <c r="AG64" s="206"/>
      <c r="AH64" s="206"/>
      <c r="AI64" s="206"/>
      <c r="AJ64" s="206"/>
      <c r="AK64" s="206"/>
      <c r="AL64" s="206"/>
      <c r="AM64" s="206"/>
      <c r="AN64" s="206"/>
      <c r="AO64" s="206"/>
      <c r="AP64" s="206"/>
      <c r="AX64" s="17">
        <f ca="1">IF(AY64="",0,IF($CX$97="",(D64=Ergebnisse!D64)+(F64=Ergebnisse!F64)+(SIGN(H64-J64)=SIGN(Ergebnisse!H64-Ergebnisse!J64))*7+(H64=Ergebnisse!H64)+(J64=Ergebnisse!J64),INT(RAND()*12)))</f>
        <v>7</v>
      </c>
      <c r="AY64" s="17" t="str">
        <f ca="1">IF(Ergebnisse!K64=Ergebnisse!$B$98,Ergebnisse!K64,"")</f>
        <v>ok</v>
      </c>
      <c r="AZ64" s="206"/>
      <c r="BA64" s="206"/>
      <c r="BB64" s="206"/>
      <c r="BC64" s="206"/>
      <c r="BD64" s="206"/>
      <c r="BE64" s="206"/>
      <c r="BF64" s="206"/>
      <c r="BG64" s="206"/>
      <c r="BH64" s="206"/>
      <c r="BI64" s="206"/>
      <c r="BJ64" s="206"/>
      <c r="BK64" s="206"/>
      <c r="BL64" s="206"/>
      <c r="BM64" s="206"/>
      <c r="BN64" s="206"/>
      <c r="BO64" s="206"/>
      <c r="BP64" s="206"/>
      <c r="BQ64" s="206"/>
      <c r="BR64" s="206"/>
      <c r="BS64" s="206"/>
      <c r="BT64" s="206"/>
      <c r="BU64" s="206"/>
      <c r="BV64" s="55"/>
      <c r="BW64" s="55"/>
      <c r="BX64" s="55"/>
      <c r="BZ64" s="55"/>
      <c r="CA64" s="55"/>
      <c r="CB64" s="55"/>
      <c r="CC64" s="55"/>
      <c r="CD64" s="55"/>
      <c r="CE64" s="66"/>
      <c r="CF64" s="66"/>
      <c r="CG64" s="66"/>
      <c r="CH64" s="66"/>
      <c r="CI64" s="66"/>
      <c r="CJ64" s="66"/>
      <c r="CK64" s="66"/>
      <c r="CL64" s="55"/>
      <c r="CM64" s="55"/>
      <c r="CN64" s="55"/>
      <c r="CO64" s="55"/>
      <c r="CP64" s="55"/>
      <c r="CQ64" s="55"/>
      <c r="CR64" s="55"/>
      <c r="CS64" s="55"/>
      <c r="CT64" s="55"/>
      <c r="CU64" s="55"/>
      <c r="CV64" s="55"/>
      <c r="CW64" s="55"/>
    </row>
    <row r="65" spans="1:101">
      <c r="A65" s="2">
        <f>IF(Ergebnisse!A65="","",Ergebnisse!A65)</f>
        <v>74</v>
      </c>
      <c r="B65" s="6">
        <f>IF(Ergebnisse!B65="","",Ergebnisse!B65)</f>
        <v>46202.6875</v>
      </c>
      <c r="C65" s="6" t="str">
        <f>IF(Ergebnisse!C65="","",Ergebnisse!C65)</f>
        <v>Boston</v>
      </c>
      <c r="D65" s="73" t="s">
        <v>67</v>
      </c>
      <c r="E65" s="15"/>
      <c r="F65" s="34" t="s">
        <v>206</v>
      </c>
      <c r="G65" s="17"/>
      <c r="H65" s="107">
        <v>2</v>
      </c>
      <c r="I65" s="11" t="s">
        <v>25</v>
      </c>
      <c r="J65" s="107">
        <v>1</v>
      </c>
      <c r="L65" s="1"/>
      <c r="M65" s="242" t="s">
        <v>67</v>
      </c>
      <c r="N65" s="1"/>
      <c r="O65" s="1"/>
      <c r="P65" s="1"/>
      <c r="Q65" s="1"/>
      <c r="R65" s="1"/>
      <c r="V65" s="62"/>
      <c r="W65" s="62"/>
      <c r="Z65" s="62"/>
      <c r="AC65" s="58"/>
      <c r="AE65" s="2"/>
      <c r="AF65" s="206"/>
      <c r="AG65" s="206"/>
      <c r="AH65" s="206"/>
      <c r="AI65" s="206"/>
      <c r="AJ65" s="206"/>
      <c r="AK65" s="206"/>
      <c r="AL65" s="206"/>
      <c r="AM65" s="206"/>
      <c r="AN65" s="206"/>
      <c r="AO65" s="206"/>
      <c r="AP65" s="206"/>
      <c r="AX65" s="17">
        <f ca="1">IF(AY65="",0,IF($CX$97="",(D65=Ergebnisse!D65)+(F65=Ergebnisse!F65)+(SIGN(H65-J65)=SIGN(Ergebnisse!H65-Ergebnisse!J65))*7+(H65=Ergebnisse!H65)+(J65=Ergebnisse!J65),INT(RAND()*12)))</f>
        <v>9</v>
      </c>
      <c r="AY65" s="17" t="str">
        <f ca="1">IF(Ergebnisse!K65=Ergebnisse!$B$98,Ergebnisse!K65,"")</f>
        <v>ok</v>
      </c>
      <c r="AZ65" s="206"/>
      <c r="BA65" s="206"/>
      <c r="BB65" s="206"/>
      <c r="BC65" s="206"/>
      <c r="BD65" s="206"/>
      <c r="BE65" s="206"/>
      <c r="BF65" s="206"/>
      <c r="BG65" s="206"/>
      <c r="BH65" s="206"/>
      <c r="BI65" s="206"/>
      <c r="BJ65" s="206"/>
      <c r="BK65" s="206"/>
      <c r="BL65" s="206"/>
      <c r="BM65" s="206"/>
      <c r="BN65" s="206"/>
      <c r="BO65" s="206"/>
      <c r="BP65" s="206"/>
      <c r="BQ65" s="206"/>
      <c r="BR65" s="206"/>
      <c r="BS65" s="206"/>
      <c r="BT65" s="206"/>
      <c r="BU65" s="206"/>
      <c r="BV65" s="59"/>
      <c r="BW65" s="59"/>
      <c r="BX65" s="53"/>
      <c r="BY65" s="59"/>
      <c r="BZ65" s="59"/>
      <c r="CA65" s="59"/>
      <c r="CB65" s="59"/>
      <c r="CC65" s="59"/>
      <c r="CD65" s="59"/>
      <c r="CE65" s="66"/>
      <c r="CF65" s="66"/>
      <c r="CG65" s="66"/>
      <c r="CH65" s="66"/>
      <c r="CI65" s="66"/>
      <c r="CJ65" s="66"/>
      <c r="CK65" s="66"/>
      <c r="CL65" s="59"/>
      <c r="CM65" s="59"/>
      <c r="CN65" s="59"/>
      <c r="CO65" s="59"/>
      <c r="CP65" s="59"/>
      <c r="CQ65" s="59"/>
      <c r="CR65" s="59"/>
      <c r="CS65" s="59"/>
      <c r="CT65" s="59"/>
      <c r="CU65" s="59"/>
      <c r="CW65" s="55"/>
    </row>
    <row r="66" spans="1:101">
      <c r="A66" s="2">
        <f>IF(Ergebnisse!A66="","",Ergebnisse!A66)</f>
        <v>75</v>
      </c>
      <c r="B66" s="6">
        <f>IF(Ergebnisse!B66="","",Ergebnisse!B66)</f>
        <v>46202.833333333336</v>
      </c>
      <c r="C66" s="6" t="str">
        <f>IF(Ergebnisse!C66="","",Ergebnisse!C66)</f>
        <v>Monterrey</v>
      </c>
      <c r="D66" s="223" t="s">
        <v>71</v>
      </c>
      <c r="E66" s="15"/>
      <c r="F66" s="38" t="s">
        <v>213</v>
      </c>
      <c r="G66" s="17"/>
      <c r="H66" s="107">
        <v>1</v>
      </c>
      <c r="I66" s="11" t="s">
        <v>25</v>
      </c>
      <c r="J66" s="107">
        <v>0</v>
      </c>
      <c r="L66" s="1"/>
      <c r="M66" s="242" t="s">
        <v>71</v>
      </c>
      <c r="N66" s="1"/>
      <c r="O66" s="1"/>
      <c r="P66" s="1"/>
      <c r="Q66" s="1"/>
      <c r="R66" s="1"/>
      <c r="V66" s="62"/>
      <c r="W66" s="62"/>
      <c r="Z66" s="62"/>
      <c r="AC66" s="58"/>
      <c r="AE66" s="2"/>
      <c r="AF66" s="206"/>
      <c r="AG66" s="206"/>
      <c r="AH66" s="206"/>
      <c r="AI66" s="206"/>
      <c r="AJ66" s="206"/>
      <c r="AK66" s="206"/>
      <c r="AL66" s="206"/>
      <c r="AM66" s="206"/>
      <c r="AN66" s="206"/>
      <c r="AO66" s="206"/>
      <c r="AP66" s="206"/>
      <c r="AX66" s="17">
        <f ca="1">IF(AY66="",0,IF($CX$97="",(D66=Ergebnisse!D66)+(F66=Ergebnisse!F66)+(SIGN(H66-J66)=SIGN(Ergebnisse!H66-Ergebnisse!J66))*7+(H66=Ergebnisse!H66)+(J66=Ergebnisse!J66),INT(RAND()*12)))</f>
        <v>1</v>
      </c>
      <c r="AY66" s="17" t="str">
        <f ca="1">IF(Ergebnisse!K66=Ergebnisse!$B$98,Ergebnisse!K66,"")</f>
        <v>ok</v>
      </c>
      <c r="AZ66" s="206"/>
      <c r="BA66" s="206"/>
      <c r="BB66" s="206"/>
      <c r="BC66" s="206"/>
      <c r="BD66" s="206"/>
      <c r="BE66" s="206"/>
      <c r="BF66" s="206"/>
      <c r="BG66" s="206"/>
      <c r="BH66" s="206"/>
      <c r="BI66" s="206"/>
      <c r="BJ66" s="206"/>
      <c r="BK66" s="206"/>
      <c r="BL66" s="206"/>
      <c r="BM66" s="206"/>
      <c r="BN66" s="206"/>
      <c r="BO66" s="206"/>
      <c r="BP66" s="206"/>
      <c r="BQ66" s="206"/>
      <c r="BR66" s="206"/>
      <c r="BS66" s="206"/>
      <c r="BT66" s="206"/>
      <c r="BU66" s="206"/>
      <c r="BV66" s="55"/>
      <c r="BW66" s="55"/>
      <c r="BX66" s="62"/>
      <c r="BY66" s="153"/>
      <c r="BZ66" s="55"/>
      <c r="CA66" s="55"/>
      <c r="CB66" s="55"/>
      <c r="CC66" s="55"/>
      <c r="CD66" s="174"/>
      <c r="CE66" s="66"/>
      <c r="CF66" s="66"/>
      <c r="CG66" s="66"/>
      <c r="CH66" s="66"/>
      <c r="CI66" s="66"/>
      <c r="CJ66" s="66"/>
      <c r="CK66" s="66"/>
      <c r="CL66" s="55"/>
      <c r="CM66" s="55"/>
      <c r="CN66" s="55"/>
      <c r="CO66" s="55"/>
      <c r="CP66" s="55"/>
      <c r="CQ66" s="55"/>
      <c r="CR66" s="55"/>
      <c r="CS66" s="55"/>
      <c r="CT66" s="55"/>
      <c r="CU66" s="55"/>
      <c r="CW66" s="55"/>
    </row>
    <row r="67" spans="1:101">
      <c r="A67" s="2">
        <f>IF(Ergebnisse!A67="","",Ergebnisse!A67)</f>
        <v>78</v>
      </c>
      <c r="B67" s="6">
        <f>IF(Ergebnisse!B67="","",Ergebnisse!B67)</f>
        <v>46203.5</v>
      </c>
      <c r="C67" s="6" t="str">
        <f>IF(Ergebnisse!C67="","",Ergebnisse!C67)</f>
        <v>Dallas</v>
      </c>
      <c r="D67" s="73" t="s">
        <v>211</v>
      </c>
      <c r="E67" s="15"/>
      <c r="F67" s="238" t="s">
        <v>249</v>
      </c>
      <c r="G67" s="17"/>
      <c r="H67" s="107">
        <v>2</v>
      </c>
      <c r="I67" s="11" t="s">
        <v>25</v>
      </c>
      <c r="J67" s="107">
        <v>1</v>
      </c>
      <c r="L67" s="1"/>
      <c r="M67" s="249" t="s">
        <v>211</v>
      </c>
      <c r="N67" s="1"/>
      <c r="O67" s="1"/>
      <c r="P67" s="1"/>
      <c r="Q67" s="1"/>
      <c r="R67" s="1"/>
      <c r="V67" s="62"/>
      <c r="W67" s="62"/>
      <c r="Z67" s="62"/>
      <c r="AC67" s="58"/>
      <c r="AE67" s="2"/>
      <c r="AF67" s="206"/>
      <c r="AG67" s="206"/>
      <c r="AH67" s="206"/>
      <c r="AI67" s="206"/>
      <c r="AJ67" s="206"/>
      <c r="AK67" s="206"/>
      <c r="AL67" s="206"/>
      <c r="AM67" s="206"/>
      <c r="AN67" s="206"/>
      <c r="AO67" s="206"/>
      <c r="AP67" s="206"/>
      <c r="AX67" s="17">
        <f ca="1">IF(AY67="",0,IF($CX$97="",(D67=Ergebnisse!D67)+(F67=Ergebnisse!F67)+(SIGN(H67-J67)=SIGN(Ergebnisse!H67-Ergebnisse!J67))*7+(H67=Ergebnisse!H67)+(J67=Ergebnisse!J67),INT(RAND()*12)))</f>
        <v>9</v>
      </c>
      <c r="AY67" s="17" t="str">
        <f ca="1">IF(Ergebnisse!K67=Ergebnisse!$B$98,Ergebnisse!K67,"")</f>
        <v>ok</v>
      </c>
      <c r="AZ67" s="206"/>
      <c r="BA67" s="206"/>
      <c r="BB67" s="206"/>
      <c r="BC67" s="206"/>
      <c r="BD67" s="206"/>
      <c r="BE67" s="206"/>
      <c r="BF67" s="206"/>
      <c r="BG67" s="206"/>
      <c r="BH67" s="206"/>
      <c r="BI67" s="206"/>
      <c r="BJ67" s="206"/>
      <c r="BK67" s="206"/>
      <c r="BL67" s="206"/>
      <c r="BM67" s="206"/>
      <c r="BN67" s="206"/>
      <c r="BO67" s="206"/>
      <c r="BP67" s="206"/>
      <c r="BQ67" s="206"/>
      <c r="BR67" s="206"/>
      <c r="BS67" s="206"/>
      <c r="BT67" s="206"/>
      <c r="BU67" s="206"/>
      <c r="BV67" s="55"/>
      <c r="BW67" s="55"/>
      <c r="BX67" s="62"/>
      <c r="BY67" s="153"/>
      <c r="BZ67" s="55"/>
      <c r="CA67" s="55"/>
      <c r="CB67" s="55"/>
      <c r="CC67" s="55"/>
      <c r="CD67" s="174"/>
      <c r="CE67" s="66"/>
      <c r="CF67" s="66"/>
      <c r="CG67" s="66"/>
      <c r="CH67" s="66"/>
      <c r="CI67" s="66"/>
      <c r="CJ67" s="66"/>
      <c r="CK67" s="66"/>
      <c r="CL67" s="55"/>
      <c r="CM67" s="55"/>
      <c r="CN67" s="55"/>
      <c r="CO67" s="55"/>
      <c r="CP67" s="55"/>
      <c r="CQ67" s="55"/>
      <c r="CR67" s="55"/>
      <c r="CS67" s="55"/>
      <c r="CT67" s="55"/>
      <c r="CU67" s="55"/>
      <c r="CW67" s="55"/>
    </row>
    <row r="68" spans="1:101">
      <c r="A68" s="2">
        <f>IF(Ergebnisse!A68="","",Ergebnisse!A68)</f>
        <v>77</v>
      </c>
      <c r="B68" s="6">
        <f>IF(Ergebnisse!B68="","",Ergebnisse!B68)</f>
        <v>46203.708333333336</v>
      </c>
      <c r="C68" s="6" t="str">
        <f>IF(Ergebnisse!C68="","",Ergebnisse!C68)</f>
        <v>New York</v>
      </c>
      <c r="D68" s="238" t="s">
        <v>69</v>
      </c>
      <c r="E68" s="15"/>
      <c r="F68" s="34" t="s">
        <v>218</v>
      </c>
      <c r="G68" s="17"/>
      <c r="H68" s="107">
        <v>3</v>
      </c>
      <c r="I68" s="11" t="s">
        <v>25</v>
      </c>
      <c r="J68" s="107">
        <v>1</v>
      </c>
      <c r="L68" s="1"/>
      <c r="M68" s="249" t="s">
        <v>69</v>
      </c>
      <c r="N68" s="1"/>
      <c r="O68" s="1"/>
      <c r="P68" s="1"/>
      <c r="Q68" s="1"/>
      <c r="R68" s="1"/>
      <c r="V68" s="62"/>
      <c r="W68" s="62"/>
      <c r="Z68" s="62"/>
      <c r="AC68" s="58"/>
      <c r="AE68" s="2"/>
      <c r="AF68" s="206"/>
      <c r="AG68" s="206"/>
      <c r="AH68" s="206"/>
      <c r="AI68" s="206"/>
      <c r="AJ68" s="206"/>
      <c r="AK68" s="206"/>
      <c r="AL68" s="206"/>
      <c r="AM68" s="206"/>
      <c r="AN68" s="206"/>
      <c r="AO68" s="206"/>
      <c r="AP68" s="206"/>
      <c r="AX68" s="17">
        <f ca="1">IF(AY68="",0,IF($CX$97="",(D68=Ergebnisse!D68)+(F68=Ergebnisse!F68)+(SIGN(H68-J68)=SIGN(Ergebnisse!H68-Ergebnisse!J68))*7+(H68=Ergebnisse!H68)+(J68=Ergebnisse!J68),INT(RAND()*12)))</f>
        <v>10</v>
      </c>
      <c r="AY68" s="17" t="str">
        <f ca="1">IF(Ergebnisse!K68=Ergebnisse!$B$98,Ergebnisse!K68,"")</f>
        <v>ok</v>
      </c>
      <c r="AZ68" s="206"/>
      <c r="BA68" s="206"/>
      <c r="BB68" s="206"/>
      <c r="BC68" s="206"/>
      <c r="BD68" s="206"/>
      <c r="BE68" s="206"/>
      <c r="BF68" s="206"/>
      <c r="BG68" s="206"/>
      <c r="BH68" s="206"/>
      <c r="BI68" s="206"/>
      <c r="BJ68" s="206"/>
      <c r="BK68" s="206"/>
      <c r="BL68" s="206"/>
      <c r="BM68" s="206"/>
      <c r="BN68" s="206"/>
      <c r="BO68" s="206"/>
      <c r="BP68" s="206"/>
      <c r="BQ68" s="206"/>
      <c r="BR68" s="206"/>
      <c r="BS68" s="206"/>
      <c r="BT68" s="206"/>
      <c r="BU68" s="206"/>
      <c r="BV68" s="55"/>
      <c r="BW68" s="55"/>
      <c r="BX68" s="62"/>
      <c r="BY68" s="153"/>
      <c r="BZ68" s="55"/>
      <c r="CA68" s="55"/>
      <c r="CB68" s="55"/>
      <c r="CC68" s="55"/>
      <c r="CD68" s="174"/>
      <c r="CE68" s="66"/>
      <c r="CF68" s="66"/>
      <c r="CG68" s="66"/>
      <c r="CH68" s="66"/>
      <c r="CI68" s="66"/>
      <c r="CJ68" s="66"/>
      <c r="CK68" s="66"/>
      <c r="CL68" s="55"/>
      <c r="CM68" s="55"/>
      <c r="CN68" s="55"/>
      <c r="CO68" s="55"/>
      <c r="CP68" s="55"/>
      <c r="CQ68" s="55"/>
      <c r="CR68" s="55"/>
      <c r="CS68" s="55"/>
      <c r="CT68" s="55"/>
      <c r="CU68" s="55"/>
      <c r="CW68" s="55"/>
    </row>
    <row r="69" spans="1:101">
      <c r="A69" s="2">
        <f>IF(Ergebnisse!A69="","",Ergebnisse!A69)</f>
        <v>79</v>
      </c>
      <c r="B69" s="6">
        <f>IF(Ergebnisse!B69="","",Ergebnisse!B69)</f>
        <v>46203.833333333336</v>
      </c>
      <c r="C69" s="6" t="str">
        <f>IF(Ergebnisse!C69="","",Ergebnisse!C69)</f>
        <v>Mexico City</v>
      </c>
      <c r="D69" s="251" t="s">
        <v>201</v>
      </c>
      <c r="E69" s="15"/>
      <c r="F69" s="34" t="s">
        <v>239</v>
      </c>
      <c r="G69" s="17"/>
      <c r="H69" s="107">
        <v>3</v>
      </c>
      <c r="I69" s="11" t="s">
        <v>25</v>
      </c>
      <c r="J69" s="107">
        <v>2</v>
      </c>
      <c r="L69" s="1"/>
      <c r="M69" s="252" t="s">
        <v>201</v>
      </c>
      <c r="N69" s="1"/>
      <c r="O69" s="1"/>
      <c r="P69" s="1"/>
      <c r="Q69" s="1"/>
      <c r="R69" s="1"/>
      <c r="V69" s="62"/>
      <c r="W69" s="62"/>
      <c r="Z69" s="62"/>
      <c r="AC69" s="58"/>
      <c r="AE69" s="2"/>
      <c r="AF69" s="206"/>
      <c r="AG69" s="206"/>
      <c r="AH69" s="206"/>
      <c r="AI69" s="206"/>
      <c r="AJ69" s="206"/>
      <c r="AK69" s="206"/>
      <c r="AL69" s="206"/>
      <c r="AM69" s="206"/>
      <c r="AN69" s="206"/>
      <c r="AO69" s="206"/>
      <c r="AP69" s="206"/>
      <c r="AX69" s="17">
        <f ca="1">IF(AY69="",0,IF($CX$97="",(D69=Ergebnisse!D69)+(F69=Ergebnisse!F69)+(SIGN(H69-J69)=SIGN(Ergebnisse!H69-Ergebnisse!J69))*7+(H69=Ergebnisse!H69)+(J69=Ergebnisse!J69),INT(RAND()*12)))</f>
        <v>9</v>
      </c>
      <c r="AY69" s="17" t="str">
        <f ca="1">IF(Ergebnisse!K69=Ergebnisse!$B$98,Ergebnisse!K69,"")</f>
        <v>ok</v>
      </c>
      <c r="AZ69" s="206"/>
      <c r="BA69" s="206"/>
      <c r="BB69" s="206"/>
      <c r="BC69" s="206"/>
      <c r="BD69" s="206"/>
      <c r="BE69" s="206"/>
      <c r="BF69" s="206"/>
      <c r="BG69" s="206"/>
      <c r="BH69" s="206"/>
      <c r="BI69" s="206"/>
      <c r="BJ69" s="206"/>
      <c r="BK69" s="206"/>
      <c r="BL69" s="206"/>
      <c r="BM69" s="206"/>
      <c r="BN69" s="206"/>
      <c r="BO69" s="206"/>
      <c r="BP69" s="206"/>
      <c r="BQ69" s="206"/>
      <c r="BR69" s="206"/>
      <c r="BS69" s="206"/>
      <c r="BT69" s="206"/>
      <c r="BU69" s="206"/>
      <c r="BV69" s="55"/>
      <c r="BW69" s="55"/>
      <c r="BX69" s="62"/>
      <c r="BY69" s="153"/>
      <c r="BZ69" s="55"/>
      <c r="CA69" s="55"/>
      <c r="CB69" s="55"/>
      <c r="CC69" s="55"/>
      <c r="CD69" s="174"/>
      <c r="CE69" s="66"/>
      <c r="CF69" s="66"/>
      <c r="CG69" s="66"/>
      <c r="CH69" s="66"/>
      <c r="CI69" s="66"/>
      <c r="CJ69" s="66"/>
      <c r="CK69" s="66"/>
      <c r="CL69" s="55"/>
      <c r="CM69" s="55"/>
      <c r="CN69" s="55"/>
      <c r="CO69" s="55"/>
      <c r="CP69" s="55"/>
      <c r="CQ69" s="55"/>
      <c r="CR69" s="55"/>
      <c r="CS69" s="55"/>
      <c r="CT69" s="55"/>
      <c r="CU69" s="55"/>
      <c r="CW69" s="55"/>
    </row>
    <row r="70" spans="1:101">
      <c r="A70" s="2">
        <f>IF(Ergebnisse!A70="","",Ergebnisse!A70)</f>
        <v>80</v>
      </c>
      <c r="B70" s="6">
        <f>IF(Ergebnisse!B70="","",Ergebnisse!B70)</f>
        <v>46204.5</v>
      </c>
      <c r="C70" s="6" t="str">
        <f>IF(Ergebnisse!C70="","",Ergebnisse!C70)</f>
        <v>Atlanta</v>
      </c>
      <c r="D70" s="237" t="s">
        <v>253</v>
      </c>
      <c r="E70" s="15"/>
      <c r="F70" s="34" t="s">
        <v>240</v>
      </c>
      <c r="G70" s="17"/>
      <c r="H70" s="107">
        <v>1</v>
      </c>
      <c r="I70" s="11" t="s">
        <v>25</v>
      </c>
      <c r="J70" s="107">
        <v>0</v>
      </c>
      <c r="L70" s="1"/>
      <c r="M70" s="252" t="s">
        <v>253</v>
      </c>
      <c r="N70" s="1"/>
      <c r="O70" s="1"/>
      <c r="P70" s="1"/>
      <c r="Q70" s="1"/>
      <c r="R70" s="1"/>
      <c r="V70" s="62"/>
      <c r="W70" s="62"/>
      <c r="Z70" s="62"/>
      <c r="AC70" s="58"/>
      <c r="AE70" s="2"/>
      <c r="AF70" s="206"/>
      <c r="AG70" s="206"/>
      <c r="AH70" s="206"/>
      <c r="AI70" s="206"/>
      <c r="AJ70" s="206"/>
      <c r="AK70" s="206"/>
      <c r="AL70" s="206"/>
      <c r="AM70" s="206"/>
      <c r="AN70" s="206"/>
      <c r="AO70" s="206"/>
      <c r="AP70" s="206"/>
      <c r="AX70" s="17">
        <f ca="1">IF(AY70="",0,IF($CX$97="",(D70=Ergebnisse!D70)+(F70=Ergebnisse!F70)+(SIGN(H70-J70)=SIGN(Ergebnisse!H70-Ergebnisse!J70))*7+(H70=Ergebnisse!H70)+(J70=Ergebnisse!J70),INT(RAND()*12)))</f>
        <v>0</v>
      </c>
      <c r="AY70" s="17" t="str">
        <f ca="1">IF(Ergebnisse!K70=Ergebnisse!$B$98,Ergebnisse!K70,"")</f>
        <v>ok</v>
      </c>
      <c r="AZ70" s="206"/>
      <c r="BA70" s="206"/>
      <c r="BB70" s="206"/>
      <c r="BC70" s="206"/>
      <c r="BD70" s="206"/>
      <c r="BE70" s="206"/>
      <c r="BF70" s="206"/>
      <c r="BG70" s="206"/>
      <c r="BH70" s="206"/>
      <c r="BI70" s="206"/>
      <c r="BJ70" s="206"/>
      <c r="BK70" s="206"/>
      <c r="BL70" s="206"/>
      <c r="BM70" s="206"/>
      <c r="BN70" s="206"/>
      <c r="BO70" s="206"/>
      <c r="BP70" s="206"/>
      <c r="BQ70" s="206"/>
      <c r="BR70" s="206"/>
      <c r="BS70" s="206"/>
      <c r="BT70" s="206"/>
      <c r="BU70" s="206"/>
      <c r="BV70" s="55"/>
      <c r="BW70" s="55"/>
      <c r="BX70" s="62"/>
      <c r="BY70" s="153"/>
      <c r="BZ70" s="55"/>
      <c r="CA70" s="55"/>
      <c r="CB70" s="55"/>
      <c r="CC70" s="55"/>
      <c r="CD70" s="174"/>
      <c r="CE70" s="66"/>
      <c r="CF70" s="66"/>
      <c r="CG70" s="66"/>
      <c r="CH70" s="66"/>
      <c r="CI70" s="66"/>
      <c r="CJ70" s="66"/>
      <c r="CK70" s="66"/>
      <c r="CL70" s="55"/>
      <c r="CM70" s="55"/>
      <c r="CN70" s="55"/>
      <c r="CO70" s="55"/>
      <c r="CP70" s="55"/>
      <c r="CQ70" s="55"/>
      <c r="CR70" s="55"/>
      <c r="CS70" s="55"/>
      <c r="CT70" s="55"/>
      <c r="CU70" s="55"/>
      <c r="CW70" s="55"/>
    </row>
    <row r="71" spans="1:101">
      <c r="A71" s="2">
        <f>IF(Ergebnisse!A71="","",Ergebnisse!A71)</f>
        <v>82</v>
      </c>
      <c r="B71" s="6">
        <f>IF(Ergebnisse!B71="","",Ergebnisse!B71)</f>
        <v>46204.541666666664</v>
      </c>
      <c r="C71" s="6" t="str">
        <f>IF(Ergebnisse!C71="","",Ergebnisse!C71)</f>
        <v>Seattle</v>
      </c>
      <c r="D71" s="228" t="s">
        <v>186</v>
      </c>
      <c r="E71" s="15"/>
      <c r="F71" s="34" t="s">
        <v>189</v>
      </c>
      <c r="G71" s="17"/>
      <c r="H71" s="107">
        <v>2</v>
      </c>
      <c r="I71" s="11" t="s">
        <v>25</v>
      </c>
      <c r="J71" s="107">
        <v>1</v>
      </c>
      <c r="L71" s="1"/>
      <c r="M71" s="240" t="s">
        <v>186</v>
      </c>
      <c r="N71" s="1"/>
      <c r="O71" s="1"/>
      <c r="P71" s="1"/>
      <c r="Q71" s="1"/>
      <c r="R71" s="1"/>
      <c r="S71" s="4"/>
      <c r="T71" s="4"/>
      <c r="U71" s="4"/>
      <c r="V71" s="4"/>
      <c r="W71" s="4"/>
      <c r="X71" s="4"/>
      <c r="Z71" s="62"/>
      <c r="AC71" s="58"/>
      <c r="AE71" s="2"/>
      <c r="AF71" s="206"/>
      <c r="AG71" s="206"/>
      <c r="AH71" s="206"/>
      <c r="AI71" s="206"/>
      <c r="AJ71" s="206"/>
      <c r="AK71" s="206"/>
      <c r="AL71" s="206"/>
      <c r="AM71" s="206"/>
      <c r="AN71" s="206"/>
      <c r="AO71" s="206"/>
      <c r="AP71" s="206"/>
      <c r="AX71" s="17">
        <f ca="1">IF(AY71="",0,IF($CX$97="",(D71=Ergebnisse!D71)+(F71=Ergebnisse!F71)+(SIGN(H71-J71)=SIGN(Ergebnisse!H71-Ergebnisse!J71))*7+(H71=Ergebnisse!H71)+(J71=Ergebnisse!J71),INT(RAND()*12)))</f>
        <v>7</v>
      </c>
      <c r="AY71" s="17" t="str">
        <f ca="1">IF(Ergebnisse!K71=Ergebnisse!$B$98,Ergebnisse!K71,"")</f>
        <v>ok</v>
      </c>
      <c r="AZ71" s="206"/>
      <c r="BA71" s="206"/>
      <c r="BB71" s="206"/>
      <c r="BC71" s="206"/>
      <c r="BD71" s="206"/>
      <c r="BE71" s="206"/>
      <c r="BF71" s="206"/>
      <c r="BG71" s="206"/>
      <c r="BH71" s="206"/>
      <c r="BI71" s="206"/>
      <c r="BJ71" s="206"/>
      <c r="BK71" s="206"/>
      <c r="BL71" s="206"/>
      <c r="BM71" s="206"/>
      <c r="BN71" s="206"/>
      <c r="BO71" s="206"/>
      <c r="BP71" s="206"/>
      <c r="BQ71" s="206"/>
      <c r="BR71" s="206"/>
      <c r="BS71" s="206"/>
      <c r="BT71" s="206"/>
      <c r="BU71" s="206"/>
      <c r="BV71" s="55"/>
      <c r="BW71" s="55"/>
      <c r="BX71" s="62"/>
      <c r="BY71" s="153"/>
      <c r="BZ71" s="55"/>
      <c r="CA71" s="55"/>
      <c r="CB71" s="55"/>
      <c r="CC71" s="55"/>
      <c r="CD71" s="174"/>
      <c r="CE71" s="66"/>
      <c r="CF71" s="66"/>
      <c r="CG71" s="66"/>
      <c r="CH71" s="66"/>
      <c r="CI71" s="66"/>
      <c r="CJ71" s="66"/>
      <c r="CK71" s="66"/>
      <c r="CL71" s="55"/>
      <c r="CM71" s="55"/>
      <c r="CN71" s="55"/>
      <c r="CO71" s="55"/>
      <c r="CP71" s="55"/>
      <c r="CQ71" s="55"/>
      <c r="CR71" s="55"/>
      <c r="CS71" s="55"/>
      <c r="CT71" s="55"/>
      <c r="CU71" s="55"/>
      <c r="CW71" s="55"/>
    </row>
    <row r="72" spans="1:101">
      <c r="A72" s="2">
        <f>IF(Ergebnisse!A72="","",Ergebnisse!A72)</f>
        <v>81</v>
      </c>
      <c r="B72" s="6">
        <f>IF(Ergebnisse!B72="","",Ergebnisse!B72)</f>
        <v>46204.708333333336</v>
      </c>
      <c r="C72" s="6" t="str">
        <f>IF(Ergebnisse!C72="","",Ergebnisse!C72)</f>
        <v>San Francisco</v>
      </c>
      <c r="D72" s="177" t="s">
        <v>185</v>
      </c>
      <c r="E72" s="15"/>
      <c r="F72" s="34" t="s">
        <v>212</v>
      </c>
      <c r="G72" s="17"/>
      <c r="H72" s="107">
        <v>0</v>
      </c>
      <c r="I72" s="11" t="s">
        <v>25</v>
      </c>
      <c r="J72" s="107">
        <v>1</v>
      </c>
      <c r="L72" s="1"/>
      <c r="M72" s="240" t="s">
        <v>212</v>
      </c>
      <c r="N72" s="1"/>
      <c r="O72" s="1"/>
      <c r="P72" s="1"/>
      <c r="Q72" s="1"/>
      <c r="R72" s="1"/>
      <c r="S72" s="4"/>
      <c r="T72" s="4"/>
      <c r="U72" s="4"/>
      <c r="V72" s="4"/>
      <c r="W72" s="4"/>
      <c r="X72" s="4"/>
      <c r="AC72" s="58"/>
      <c r="AE72" s="2"/>
      <c r="AF72" s="206"/>
      <c r="AG72" s="206"/>
      <c r="AH72" s="206"/>
      <c r="AI72" s="206"/>
      <c r="AJ72" s="206"/>
      <c r="AK72" s="206"/>
      <c r="AL72" s="206"/>
      <c r="AM72" s="206"/>
      <c r="AN72" s="206"/>
      <c r="AO72" s="206"/>
      <c r="AP72" s="206"/>
      <c r="AX72" s="17">
        <f ca="1">IF(AY72="",0,IF($CX$97="",(D72=Ergebnisse!D72)+(F72=Ergebnisse!F72)+(SIGN(H72-J72)=SIGN(Ergebnisse!H72-Ergebnisse!J72))*7+(H72=Ergebnisse!H72)+(J72=Ergebnisse!J72),INT(RAND()*12)))</f>
        <v>2</v>
      </c>
      <c r="AY72" s="17" t="str">
        <f ca="1">IF(Ergebnisse!K72=Ergebnisse!$B$98,Ergebnisse!K72,"")</f>
        <v>ok</v>
      </c>
      <c r="AZ72" s="206"/>
      <c r="BA72" s="206"/>
      <c r="BB72" s="206"/>
      <c r="BC72" s="206"/>
      <c r="BD72" s="206"/>
      <c r="BE72" s="206"/>
      <c r="BF72" s="206"/>
      <c r="BG72" s="206"/>
      <c r="BH72" s="206"/>
      <c r="BI72" s="206"/>
      <c r="BJ72" s="206"/>
      <c r="BK72" s="206"/>
      <c r="BL72" s="206"/>
      <c r="BM72" s="206"/>
      <c r="BN72" s="206"/>
      <c r="BO72" s="206"/>
      <c r="BP72" s="206"/>
      <c r="BQ72" s="206"/>
      <c r="BR72" s="206"/>
      <c r="BS72" s="206"/>
      <c r="BT72" s="206"/>
      <c r="BU72" s="206"/>
      <c r="BV72" s="55"/>
      <c r="BW72" s="55"/>
      <c r="BX72" s="62"/>
      <c r="BY72" s="253"/>
      <c r="BZ72" s="55"/>
      <c r="CA72" s="55"/>
      <c r="CB72" s="55"/>
      <c r="CC72" s="55"/>
      <c r="CD72" s="174"/>
      <c r="CE72" s="66"/>
      <c r="CF72" s="66"/>
      <c r="CG72" s="66"/>
      <c r="CH72" s="66"/>
      <c r="CI72" s="66"/>
      <c r="CJ72" s="66"/>
      <c r="CK72" s="66"/>
      <c r="CL72" s="55"/>
      <c r="CM72" s="55"/>
      <c r="CN72" s="55"/>
      <c r="CO72" s="55"/>
      <c r="CP72" s="55"/>
      <c r="CQ72" s="55"/>
      <c r="CR72" s="55"/>
      <c r="CS72" s="55"/>
      <c r="CT72" s="55"/>
      <c r="CU72" s="55"/>
      <c r="CW72" s="55"/>
    </row>
    <row r="73" spans="1:101">
      <c r="A73" s="2">
        <f>IF(Ergebnisse!A73="","",Ergebnisse!A73)</f>
        <v>84</v>
      </c>
      <c r="B73" s="6">
        <f>IF(Ergebnisse!B73="","",Ergebnisse!B73)</f>
        <v>46205.5</v>
      </c>
      <c r="C73" s="6" t="str">
        <f>IF(Ergebnisse!C73="","",Ergebnisse!C73)</f>
        <v>Los Angeles</v>
      </c>
      <c r="D73" s="233" t="s">
        <v>66</v>
      </c>
      <c r="E73" s="15"/>
      <c r="F73" s="227" t="s">
        <v>223</v>
      </c>
      <c r="G73" s="17"/>
      <c r="H73" s="107">
        <v>3</v>
      </c>
      <c r="I73" s="11" t="s">
        <v>25</v>
      </c>
      <c r="J73" s="107">
        <v>2</v>
      </c>
      <c r="L73" s="1"/>
      <c r="M73" s="242" t="s">
        <v>66</v>
      </c>
      <c r="N73" s="1"/>
      <c r="O73" s="1"/>
      <c r="P73" s="1"/>
      <c r="Q73" s="1"/>
      <c r="R73" s="1"/>
      <c r="S73" s="4"/>
      <c r="T73" s="4"/>
      <c r="U73" s="4"/>
      <c r="V73" s="4"/>
      <c r="W73" s="4"/>
      <c r="X73" s="4"/>
      <c r="Z73" s="62"/>
      <c r="AC73" s="58"/>
      <c r="AE73" s="2"/>
      <c r="AF73" s="206"/>
      <c r="AG73" s="206"/>
      <c r="AH73" s="206"/>
      <c r="AI73" s="206"/>
      <c r="AJ73" s="206"/>
      <c r="AK73" s="206"/>
      <c r="AL73" s="206"/>
      <c r="AM73" s="206"/>
      <c r="AN73" s="206"/>
      <c r="AO73" s="206"/>
      <c r="AP73" s="206"/>
      <c r="AX73" s="17">
        <f ca="1">IF(AY73="",0,IF($CX$97="",(D73=Ergebnisse!D73)+(F73=Ergebnisse!F73)+(SIGN(H73-J73)=SIGN(Ergebnisse!H73-Ergebnisse!J73))*7+(H73=Ergebnisse!H73)+(J73=Ergebnisse!J73),INT(RAND()*12)))</f>
        <v>1</v>
      </c>
      <c r="AY73" s="17" t="str">
        <f ca="1">IF(Ergebnisse!K73=Ergebnisse!$B$98,Ergebnisse!K73,"")</f>
        <v>ok</v>
      </c>
      <c r="AZ73" s="206"/>
      <c r="BA73" s="206"/>
      <c r="BB73" s="206"/>
      <c r="BC73" s="206"/>
      <c r="BD73" s="206"/>
      <c r="BE73" s="206"/>
      <c r="BF73" s="206"/>
      <c r="BG73" s="206"/>
      <c r="BH73" s="206"/>
      <c r="BI73" s="206"/>
      <c r="BJ73" s="206"/>
      <c r="BK73" s="206"/>
      <c r="BL73" s="206"/>
      <c r="BM73" s="206"/>
      <c r="BN73" s="206"/>
      <c r="BO73" s="206"/>
      <c r="BP73" s="206"/>
      <c r="BQ73" s="206"/>
      <c r="BR73" s="206"/>
      <c r="BS73" s="206"/>
      <c r="BT73" s="206"/>
      <c r="BU73" s="206"/>
      <c r="BV73" s="55"/>
      <c r="BW73" s="55"/>
      <c r="BX73" s="62"/>
      <c r="BY73" s="153"/>
      <c r="BZ73" s="55"/>
      <c r="CA73" s="55"/>
      <c r="CB73" s="55"/>
      <c r="CC73" s="55"/>
      <c r="CD73" s="174"/>
      <c r="CE73" s="66"/>
      <c r="CF73" s="66"/>
      <c r="CG73" s="66"/>
      <c r="CH73" s="66"/>
      <c r="CI73" s="66"/>
      <c r="CJ73" s="66"/>
      <c r="CK73" s="66"/>
      <c r="CL73" s="55"/>
      <c r="CM73" s="55"/>
      <c r="CN73" s="55"/>
      <c r="CO73" s="55"/>
      <c r="CP73" s="55"/>
      <c r="CQ73" s="55"/>
      <c r="CR73" s="55"/>
      <c r="CS73" s="55"/>
      <c r="CT73" s="55"/>
      <c r="CU73" s="55"/>
      <c r="CW73" s="55"/>
    </row>
    <row r="74" spans="1:101">
      <c r="A74" s="2">
        <f>IF(Ergebnisse!A74="","",Ergebnisse!A74)</f>
        <v>83</v>
      </c>
      <c r="B74" s="6">
        <f>IF(Ergebnisse!B74="","",Ergebnisse!B74)</f>
        <v>46205.791666666664</v>
      </c>
      <c r="C74" s="6" t="str">
        <f>IF(Ergebnisse!C74="","",Ergebnisse!C74)</f>
        <v>Toronto</v>
      </c>
      <c r="D74" s="232" t="s">
        <v>238</v>
      </c>
      <c r="E74" s="15"/>
      <c r="F74" s="237" t="s">
        <v>70</v>
      </c>
      <c r="G74" s="17"/>
      <c r="H74" s="107">
        <v>2</v>
      </c>
      <c r="I74" s="11" t="s">
        <v>25</v>
      </c>
      <c r="J74" s="107">
        <v>4</v>
      </c>
      <c r="L74" s="1"/>
      <c r="M74" s="242" t="s">
        <v>70</v>
      </c>
      <c r="N74" s="1"/>
      <c r="O74" s="1"/>
      <c r="P74" s="1"/>
      <c r="Q74" s="1"/>
      <c r="R74" s="1"/>
      <c r="S74" s="4"/>
      <c r="T74" s="4"/>
      <c r="U74" s="4"/>
      <c r="V74" s="4"/>
      <c r="W74" s="4"/>
      <c r="X74" s="4"/>
      <c r="Z74" s="62"/>
      <c r="AC74" s="58"/>
      <c r="AE74" s="2"/>
      <c r="AF74" s="206"/>
      <c r="AG74" s="206"/>
      <c r="AH74" s="206"/>
      <c r="AI74" s="206"/>
      <c r="AJ74" s="206"/>
      <c r="AK74" s="206"/>
      <c r="AL74" s="206"/>
      <c r="AM74" s="206"/>
      <c r="AN74" s="206"/>
      <c r="AO74" s="206"/>
      <c r="AP74" s="206"/>
      <c r="AX74" s="17">
        <f ca="1">IF(AY74="",0,IF($CX$97="",(D74=Ergebnisse!D74)+(F74=Ergebnisse!F74)+(SIGN(H74-J74)=SIGN(Ergebnisse!H74-Ergebnisse!J74))*7+(H74=Ergebnisse!H74)+(J74=Ergebnisse!J74),INT(RAND()*12)))</f>
        <v>9</v>
      </c>
      <c r="AY74" s="17" t="str">
        <f ca="1">IF(Ergebnisse!K74=Ergebnisse!$B$98,Ergebnisse!K74,"")</f>
        <v>ok</v>
      </c>
      <c r="AZ74" s="206"/>
      <c r="BA74" s="206"/>
      <c r="BB74" s="206"/>
      <c r="BC74" s="206"/>
      <c r="BD74" s="206"/>
      <c r="BE74" s="206"/>
      <c r="BF74" s="206"/>
      <c r="BG74" s="206"/>
      <c r="BH74" s="206"/>
      <c r="BI74" s="206"/>
      <c r="BJ74" s="206"/>
      <c r="BK74" s="206"/>
      <c r="BL74" s="206"/>
      <c r="BM74" s="206"/>
      <c r="BN74" s="206"/>
      <c r="BO74" s="206"/>
      <c r="BP74" s="206"/>
      <c r="BQ74" s="206"/>
      <c r="BR74" s="206"/>
      <c r="BS74" s="206"/>
      <c r="BT74" s="206"/>
      <c r="BU74" s="206"/>
      <c r="BV74" s="55"/>
      <c r="BW74" s="55"/>
      <c r="BX74" s="62"/>
      <c r="BY74" s="153"/>
      <c r="BZ74" s="55"/>
      <c r="CA74" s="55"/>
      <c r="CB74" s="55"/>
      <c r="CC74" s="55"/>
      <c r="CD74" s="174"/>
      <c r="CE74" s="66"/>
      <c r="CF74" s="66"/>
      <c r="CG74" s="66"/>
      <c r="CH74" s="66"/>
      <c r="CI74" s="66"/>
      <c r="CJ74" s="66"/>
      <c r="CK74" s="66"/>
      <c r="CL74" s="55"/>
      <c r="CM74" s="55"/>
      <c r="CN74" s="55"/>
      <c r="CO74" s="55"/>
      <c r="CP74" s="55"/>
      <c r="CQ74" s="55"/>
      <c r="CR74" s="55"/>
      <c r="CS74" s="55"/>
      <c r="CT74" s="55"/>
      <c r="CU74" s="55"/>
      <c r="CW74" s="55"/>
    </row>
    <row r="75" spans="1:101">
      <c r="A75" s="2">
        <f>IF(Ergebnisse!A75="","",Ergebnisse!A75)</f>
        <v>85</v>
      </c>
      <c r="B75" s="6">
        <f>IF(Ergebnisse!B75="","",Ergebnisse!B75)</f>
        <v>46205.833333333336</v>
      </c>
      <c r="C75" s="6" t="str">
        <f>IF(Ergebnisse!C75="","",Ergebnisse!C75)</f>
        <v>Vancouver</v>
      </c>
      <c r="D75" s="37" t="s">
        <v>68</v>
      </c>
      <c r="E75" s="15"/>
      <c r="F75" s="34" t="s">
        <v>222</v>
      </c>
      <c r="G75" s="17"/>
      <c r="H75" s="107">
        <v>5</v>
      </c>
      <c r="I75" s="11" t="s">
        <v>25</v>
      </c>
      <c r="J75" s="107">
        <v>4</v>
      </c>
      <c r="L75" s="1"/>
      <c r="M75" s="249" t="s">
        <v>68</v>
      </c>
      <c r="N75" s="1"/>
      <c r="O75" s="1"/>
      <c r="P75" s="1"/>
      <c r="Q75" s="1"/>
      <c r="R75" s="1"/>
      <c r="S75" s="4"/>
      <c r="T75" s="4"/>
      <c r="U75" s="4"/>
      <c r="V75" s="4"/>
      <c r="W75" s="4"/>
      <c r="X75" s="4"/>
      <c r="Z75" s="62"/>
      <c r="AC75" s="58"/>
      <c r="AE75" s="2"/>
      <c r="AF75" s="206"/>
      <c r="AG75" s="206"/>
      <c r="AH75" s="206"/>
      <c r="AI75" s="206"/>
      <c r="AJ75" s="206"/>
      <c r="AK75" s="206"/>
      <c r="AL75" s="206"/>
      <c r="AM75" s="206"/>
      <c r="AN75" s="206"/>
      <c r="AO75" s="206"/>
      <c r="AP75" s="206"/>
      <c r="AX75" s="17">
        <f ca="1">IF(AY75="",0,IF($CX$97="",(D75=Ergebnisse!D75)+(F75=Ergebnisse!F75)+(SIGN(H75-J75)=SIGN(Ergebnisse!H75-Ergebnisse!J75))*7+(H75=Ergebnisse!H75)+(J75=Ergebnisse!J75),INT(RAND()*12)))</f>
        <v>0</v>
      </c>
      <c r="AY75" s="17" t="str">
        <f ca="1">IF(Ergebnisse!K75=Ergebnisse!$B$98,Ergebnisse!K75,"")</f>
        <v>ok</v>
      </c>
      <c r="AZ75" s="206"/>
      <c r="BA75" s="206"/>
      <c r="BB75" s="206"/>
      <c r="BC75" s="206"/>
      <c r="BD75" s="206"/>
      <c r="BE75" s="206"/>
      <c r="BF75" s="206"/>
      <c r="BG75" s="206"/>
      <c r="BH75" s="206"/>
      <c r="BI75" s="206"/>
      <c r="BJ75" s="206"/>
      <c r="BK75" s="206"/>
      <c r="BL75" s="206"/>
      <c r="BM75" s="206"/>
      <c r="BN75" s="206"/>
      <c r="BO75" s="206"/>
      <c r="BP75" s="206"/>
      <c r="BQ75" s="206"/>
      <c r="BR75" s="206"/>
      <c r="BS75" s="206"/>
      <c r="BT75" s="206"/>
      <c r="BU75" s="206"/>
      <c r="BV75" s="55"/>
      <c r="BW75" s="55"/>
      <c r="BX75" s="62"/>
      <c r="BY75" s="153"/>
      <c r="BZ75" s="55"/>
      <c r="CA75" s="55"/>
      <c r="CB75" s="55"/>
      <c r="CC75" s="55"/>
      <c r="CD75" s="174"/>
      <c r="CE75" s="66"/>
      <c r="CF75" s="66"/>
      <c r="CG75" s="66"/>
      <c r="CH75" s="66"/>
      <c r="CI75" s="66"/>
      <c r="CJ75" s="66"/>
      <c r="CK75" s="66"/>
      <c r="CL75" s="55"/>
      <c r="CM75" s="55"/>
      <c r="CN75" s="55"/>
      <c r="CO75" s="55"/>
      <c r="CP75" s="55"/>
      <c r="CQ75" s="55"/>
      <c r="CR75" s="55"/>
      <c r="CS75" s="55"/>
      <c r="CT75" s="55"/>
      <c r="CU75" s="55"/>
      <c r="CW75" s="55"/>
    </row>
    <row r="76" spans="1:101">
      <c r="A76" s="2">
        <f>IF(Ergebnisse!A76="","",Ergebnisse!A76)</f>
        <v>88</v>
      </c>
      <c r="B76" s="6">
        <f>IF(Ergebnisse!B76="","",Ergebnisse!B76)</f>
        <v>46206.541666666672</v>
      </c>
      <c r="C76" s="6" t="str">
        <f>IF(Ergebnisse!C76="","",Ergebnisse!C76)</f>
        <v>Dallas</v>
      </c>
      <c r="D76" s="177" t="s">
        <v>202</v>
      </c>
      <c r="E76" s="15"/>
      <c r="F76" s="228" t="s">
        <v>224</v>
      </c>
      <c r="G76" s="17"/>
      <c r="H76" s="107">
        <v>3</v>
      </c>
      <c r="I76" s="11" t="s">
        <v>25</v>
      </c>
      <c r="J76" s="107">
        <v>1</v>
      </c>
      <c r="L76" s="1"/>
      <c r="M76" s="249" t="s">
        <v>202</v>
      </c>
      <c r="N76" s="1"/>
      <c r="O76" s="1"/>
      <c r="P76" s="1"/>
      <c r="Q76" s="1"/>
      <c r="R76" s="1"/>
      <c r="S76" s="4"/>
      <c r="T76" s="4"/>
      <c r="U76" s="4"/>
      <c r="V76" s="4"/>
      <c r="W76" s="4"/>
      <c r="X76" s="4"/>
      <c r="Z76" s="62"/>
      <c r="AC76" s="58"/>
      <c r="AE76" s="2"/>
      <c r="AF76" s="206"/>
      <c r="AG76" s="206"/>
      <c r="AH76" s="206"/>
      <c r="AI76" s="206"/>
      <c r="AJ76" s="206"/>
      <c r="AK76" s="206"/>
      <c r="AL76" s="206"/>
      <c r="AM76" s="206"/>
      <c r="AN76" s="206"/>
      <c r="AO76" s="206"/>
      <c r="AP76" s="206"/>
      <c r="AX76" s="17">
        <f ca="1">IF(AY76="",0,IF($CX$97="",(D76=Ergebnisse!D76)+(F76=Ergebnisse!F76)+(SIGN(H76-J76)=SIGN(Ergebnisse!H76-Ergebnisse!J76))*7+(H76=Ergebnisse!H76)+(J76=Ergebnisse!J76),INT(RAND()*12)))</f>
        <v>9</v>
      </c>
      <c r="AY76" s="17" t="str">
        <f ca="1">IF(Ergebnisse!K76=Ergebnisse!$B$98,Ergebnisse!K76,"")</f>
        <v>ok</v>
      </c>
      <c r="AZ76" s="206"/>
      <c r="BA76" s="206"/>
      <c r="BB76" s="206"/>
      <c r="BC76" s="206"/>
      <c r="BD76" s="206"/>
      <c r="BE76" s="206"/>
      <c r="BF76" s="206"/>
      <c r="BG76" s="206"/>
      <c r="BH76" s="206"/>
      <c r="BI76" s="206"/>
      <c r="BJ76" s="206"/>
      <c r="BK76" s="206"/>
      <c r="BL76" s="206"/>
      <c r="BM76" s="206"/>
      <c r="BN76" s="206"/>
      <c r="BO76" s="206"/>
      <c r="BP76" s="206"/>
      <c r="BQ76" s="206"/>
      <c r="BR76" s="206"/>
      <c r="BS76" s="206"/>
      <c r="BT76" s="206"/>
      <c r="BU76" s="206"/>
      <c r="BV76" s="55"/>
      <c r="BW76" s="55"/>
      <c r="BX76" s="62"/>
      <c r="BY76" s="153"/>
      <c r="BZ76" s="55"/>
      <c r="CA76" s="55"/>
      <c r="CB76" s="55"/>
      <c r="CC76" s="55"/>
      <c r="CD76" s="174"/>
      <c r="CE76" s="66"/>
      <c r="CF76" s="66"/>
      <c r="CG76" s="66"/>
      <c r="CH76" s="66"/>
      <c r="CI76" s="66"/>
      <c r="CJ76" s="66"/>
      <c r="CK76" s="66"/>
      <c r="CL76" s="55"/>
      <c r="CM76" s="55"/>
      <c r="CN76" s="55"/>
      <c r="CO76" s="55"/>
      <c r="CP76" s="55"/>
      <c r="CQ76" s="55"/>
      <c r="CR76" s="55"/>
      <c r="CS76" s="55"/>
      <c r="CT76" s="55"/>
      <c r="CU76" s="55"/>
      <c r="CW76" s="55"/>
    </row>
    <row r="77" spans="1:101">
      <c r="A77" s="2">
        <f>IF(Ergebnisse!A77="","",Ergebnisse!A77)</f>
        <v>86</v>
      </c>
      <c r="B77" s="6">
        <f>IF(Ergebnisse!B77="","",Ergebnisse!B77)</f>
        <v>46206.75</v>
      </c>
      <c r="C77" s="6" t="str">
        <f>IF(Ergebnisse!C77="","",Ergebnisse!C77)</f>
        <v>Miami</v>
      </c>
      <c r="D77" s="227" t="s">
        <v>221</v>
      </c>
      <c r="E77" s="15"/>
      <c r="F77" s="233" t="s">
        <v>237</v>
      </c>
      <c r="G77" s="17"/>
      <c r="H77" s="107">
        <v>3</v>
      </c>
      <c r="I77" s="11" t="s">
        <v>25</v>
      </c>
      <c r="J77" s="107">
        <v>1</v>
      </c>
      <c r="L77" s="1"/>
      <c r="M77" s="252" t="s">
        <v>221</v>
      </c>
      <c r="N77" s="1"/>
      <c r="O77" s="1"/>
      <c r="P77" s="1"/>
      <c r="Q77" s="1"/>
      <c r="R77" s="1"/>
      <c r="S77" s="4"/>
      <c r="T77" s="4"/>
      <c r="U77" s="4"/>
      <c r="V77" s="4"/>
      <c r="W77" s="4"/>
      <c r="X77" s="4"/>
      <c r="Z77" s="62"/>
      <c r="AC77" s="58"/>
      <c r="AE77" s="2"/>
      <c r="AF77" s="206"/>
      <c r="AG77" s="206"/>
      <c r="AH77" s="206"/>
      <c r="AI77" s="206"/>
      <c r="AJ77" s="206"/>
      <c r="AK77" s="206"/>
      <c r="AL77" s="206"/>
      <c r="AM77" s="206"/>
      <c r="AN77" s="206"/>
      <c r="AO77" s="206"/>
      <c r="AP77" s="206"/>
      <c r="AX77" s="17">
        <f ca="1">IF(AY77="",0,IF($CX$97="",(D77=Ergebnisse!D77)+(F77=Ergebnisse!F77)+(SIGN(H77-J77)=SIGN(Ergebnisse!H77-Ergebnisse!J77))*7+(H77=Ergebnisse!H77)+(J77=Ergebnisse!J77),INT(RAND()*12)))</f>
        <v>9</v>
      </c>
      <c r="AY77" s="17" t="str">
        <f ca="1">IF(Ergebnisse!K77=Ergebnisse!$B$98,Ergebnisse!K77,"")</f>
        <v>ok</v>
      </c>
      <c r="AZ77" s="206"/>
      <c r="BA77" s="206"/>
      <c r="BB77" s="206"/>
      <c r="BC77" s="206"/>
      <c r="BD77" s="206"/>
      <c r="BE77" s="206"/>
      <c r="BF77" s="206"/>
      <c r="BG77" s="206"/>
      <c r="BH77" s="206"/>
      <c r="BI77" s="206"/>
      <c r="BJ77" s="206"/>
      <c r="BK77" s="206"/>
      <c r="BL77" s="206"/>
      <c r="BM77" s="206"/>
      <c r="BN77" s="206"/>
      <c r="BO77" s="206"/>
      <c r="BP77" s="206"/>
      <c r="BQ77" s="206"/>
      <c r="BR77" s="206"/>
      <c r="BS77" s="206"/>
      <c r="BT77" s="206"/>
      <c r="BU77" s="206"/>
      <c r="BV77" s="55"/>
      <c r="BW77" s="55"/>
      <c r="BX77" s="62"/>
      <c r="BY77" s="153"/>
      <c r="BZ77" s="55"/>
      <c r="CA77" s="55"/>
      <c r="CB77" s="55"/>
      <c r="CC77" s="55"/>
      <c r="CD77" s="174"/>
      <c r="CE77" s="66"/>
      <c r="CF77" s="66"/>
      <c r="CG77" s="66"/>
      <c r="CH77" s="66"/>
      <c r="CI77" s="66"/>
      <c r="CJ77" s="66"/>
      <c r="CK77" s="66"/>
      <c r="CL77" s="55"/>
      <c r="CM77" s="55"/>
      <c r="CN77" s="55"/>
      <c r="CO77" s="55"/>
      <c r="CP77" s="55"/>
      <c r="CQ77" s="55"/>
      <c r="CR77" s="55"/>
      <c r="CS77" s="55"/>
      <c r="CT77" s="55"/>
      <c r="CU77" s="55"/>
      <c r="CW77" s="55"/>
    </row>
    <row r="78" spans="1:101">
      <c r="A78" s="2">
        <f>IF(Ergebnisse!A78="","",Ergebnisse!A78)</f>
        <v>87</v>
      </c>
      <c r="B78" s="6">
        <f>IF(Ergebnisse!B78="","",Ergebnisse!B78)</f>
        <v>46206.854166666672</v>
      </c>
      <c r="C78" s="6" t="str">
        <f>IF(Ergebnisse!C78="","",Ergebnisse!C78)</f>
        <v>Kansas City</v>
      </c>
      <c r="D78" s="232" t="s">
        <v>190</v>
      </c>
      <c r="E78" s="15"/>
      <c r="F78" s="34" t="s">
        <v>188</v>
      </c>
      <c r="G78" s="17"/>
      <c r="H78" s="107">
        <v>1</v>
      </c>
      <c r="I78" s="11" t="s">
        <v>25</v>
      </c>
      <c r="J78" s="107">
        <v>0</v>
      </c>
      <c r="L78" s="1"/>
      <c r="M78" s="252" t="s">
        <v>190</v>
      </c>
      <c r="N78" s="1"/>
      <c r="O78" s="1"/>
      <c r="P78" s="1"/>
      <c r="Q78" s="1"/>
      <c r="R78" s="1"/>
      <c r="S78" s="4"/>
      <c r="T78" s="4"/>
      <c r="U78" s="4"/>
      <c r="V78" s="4"/>
      <c r="W78" s="4"/>
      <c r="X78" s="4"/>
      <c r="Z78" s="62"/>
      <c r="AC78" s="58"/>
      <c r="AE78" s="2"/>
      <c r="AF78" s="206"/>
      <c r="AG78" s="206"/>
      <c r="AH78" s="206"/>
      <c r="AI78" s="206"/>
      <c r="AJ78" s="206"/>
      <c r="AK78" s="206"/>
      <c r="AL78" s="206"/>
      <c r="AM78" s="206"/>
      <c r="AN78" s="206"/>
      <c r="AO78" s="206"/>
      <c r="AP78" s="206"/>
      <c r="AX78" s="17">
        <f ca="1">IF(AY78="",0,IF($CX$97="",(D78=Ergebnisse!D78)+(F78=Ergebnisse!F78)+(SIGN(H78-J78)=SIGN(Ergebnisse!H78-Ergebnisse!J78))*7+(H78=Ergebnisse!H78)+(J78=Ergebnisse!J78),INT(RAND()*12)))</f>
        <v>3</v>
      </c>
      <c r="AY78" s="17" t="str">
        <f ca="1">IF(Ergebnisse!K78=Ergebnisse!$B$98,Ergebnisse!K78,"")</f>
        <v>ok</v>
      </c>
      <c r="AZ78" s="206"/>
      <c r="BA78" s="206"/>
      <c r="BB78" s="206"/>
      <c r="BC78" s="206"/>
      <c r="BD78" s="206"/>
      <c r="BE78" s="206"/>
      <c r="BF78" s="206"/>
      <c r="BG78" s="206"/>
      <c r="BH78" s="206"/>
      <c r="BI78" s="206"/>
      <c r="BJ78" s="206"/>
      <c r="BK78" s="206"/>
      <c r="BL78" s="206"/>
      <c r="BM78" s="206"/>
      <c r="BN78" s="206"/>
      <c r="BO78" s="206"/>
      <c r="BP78" s="206"/>
      <c r="BQ78" s="206"/>
      <c r="BR78" s="206"/>
      <c r="BS78" s="206"/>
      <c r="BT78" s="206"/>
      <c r="BU78" s="206"/>
      <c r="BV78" s="55"/>
      <c r="BW78" s="55"/>
      <c r="BX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c r="CW78" s="55"/>
    </row>
    <row r="79" spans="1:101">
      <c r="B79" s="6"/>
      <c r="C79" s="6"/>
      <c r="D79" s="4"/>
      <c r="E79" s="15"/>
      <c r="F79" s="4"/>
      <c r="G79" s="4"/>
      <c r="H79" s="4"/>
      <c r="I79" s="4"/>
      <c r="J79" s="4"/>
      <c r="K79" s="4"/>
      <c r="L79" s="4"/>
      <c r="M79" s="4"/>
      <c r="N79" s="4"/>
      <c r="O79" s="4"/>
      <c r="P79" s="4"/>
      <c r="Q79" s="4"/>
      <c r="R79" s="4"/>
      <c r="S79" s="4"/>
      <c r="T79" s="4"/>
      <c r="U79" s="4"/>
      <c r="V79" s="4"/>
      <c r="W79" s="4"/>
      <c r="X79" s="4"/>
      <c r="Y79" s="4"/>
      <c r="Z79" s="4"/>
      <c r="AA79" s="4"/>
      <c r="AB79" s="4"/>
      <c r="AC79" s="58"/>
      <c r="AF79" s="206"/>
      <c r="AG79" s="206"/>
      <c r="AH79" s="206"/>
      <c r="AI79" s="206"/>
      <c r="AJ79" s="206"/>
      <c r="AK79" s="206"/>
      <c r="AL79" s="206"/>
      <c r="AM79" s="206"/>
      <c r="AN79" s="206"/>
      <c r="AO79" s="206"/>
      <c r="AP79" s="206"/>
      <c r="AZ79" s="206"/>
      <c r="BB79" s="58"/>
      <c r="BH79" s="2"/>
      <c r="BI79" s="2"/>
      <c r="BJ79" s="1"/>
      <c r="BK79" s="2"/>
      <c r="BM79" s="2"/>
      <c r="BS79" s="55"/>
      <c r="BT79" s="55"/>
      <c r="BU79" s="55"/>
      <c r="BV79" s="55"/>
      <c r="BW79" s="55"/>
      <c r="BX79" s="55"/>
      <c r="BZ79" s="55"/>
      <c r="CA79" s="55"/>
      <c r="CB79" s="55"/>
      <c r="CC79" s="55"/>
      <c r="CD79" s="55"/>
      <c r="CE79" s="55"/>
      <c r="CF79" s="55"/>
      <c r="CG79" s="55"/>
      <c r="CH79" s="55"/>
      <c r="CI79" s="55"/>
      <c r="CJ79" s="55"/>
      <c r="CK79" s="55"/>
      <c r="CL79" s="55"/>
      <c r="CM79" s="55"/>
      <c r="CN79" s="55"/>
      <c r="CO79" s="55"/>
      <c r="CP79" s="55"/>
      <c r="CQ79" s="55"/>
      <c r="CR79" s="55"/>
      <c r="CS79" s="55"/>
      <c r="CT79" s="55"/>
      <c r="CU79" s="55"/>
      <c r="CV79" s="55"/>
      <c r="CW79" s="55"/>
    </row>
    <row r="80" spans="1:101">
      <c r="B80" s="17" t="s">
        <v>43</v>
      </c>
      <c r="C80" s="21"/>
      <c r="D80" s="17"/>
      <c r="E80" s="15"/>
      <c r="F80" s="17"/>
      <c r="G80" s="17"/>
      <c r="H80" s="20"/>
      <c r="I80" s="19"/>
      <c r="J80" s="20"/>
      <c r="K80" s="181"/>
      <c r="L80" s="17"/>
      <c r="M80" s="21"/>
      <c r="N80" s="17"/>
      <c r="O80" s="17"/>
      <c r="P80" s="17"/>
      <c r="Q80" s="17"/>
      <c r="R80" s="17"/>
      <c r="S80" s="62"/>
      <c r="T80" s="62"/>
      <c r="U80" s="62"/>
      <c r="V80" s="62"/>
      <c r="W80" s="62"/>
      <c r="Y80" s="206"/>
      <c r="Z80" s="206"/>
      <c r="AA80" s="206"/>
      <c r="AB80" s="206"/>
      <c r="AC80" s="206"/>
      <c r="AE80" s="108"/>
      <c r="AF80" s="206"/>
      <c r="AG80" s="206"/>
      <c r="AH80" s="206"/>
      <c r="AI80" s="206"/>
      <c r="AJ80" s="206"/>
      <c r="AK80" s="206"/>
      <c r="AL80" s="206"/>
      <c r="AM80" s="206"/>
      <c r="AN80" s="206"/>
      <c r="AO80" s="206"/>
      <c r="AP80" s="206"/>
      <c r="AZ80" s="206"/>
      <c r="BB80" s="255" t="s">
        <v>44</v>
      </c>
      <c r="BH80" s="2"/>
      <c r="BI80" s="2"/>
      <c r="BJ80" s="1"/>
      <c r="BK80" s="2"/>
      <c r="BM80" s="2"/>
      <c r="BS80" s="55"/>
      <c r="BT80" s="55"/>
      <c r="BU80" s="55"/>
      <c r="BV80" s="55"/>
      <c r="BW80" s="55"/>
      <c r="BX80" s="55"/>
      <c r="BZ80" s="55"/>
      <c r="CA80" s="55"/>
      <c r="CB80" s="55"/>
      <c r="CC80" s="55"/>
      <c r="CD80" s="58"/>
      <c r="CE80" s="55"/>
      <c r="CF80" s="55"/>
      <c r="CG80" s="55"/>
      <c r="CH80" s="55"/>
      <c r="CI80" s="55"/>
      <c r="CJ80" s="55"/>
      <c r="CK80" s="55"/>
      <c r="CL80" s="55"/>
      <c r="CM80" s="55"/>
      <c r="CN80" s="55"/>
      <c r="CO80" s="55"/>
      <c r="CP80" s="55"/>
      <c r="CQ80" s="55"/>
      <c r="CR80" s="55"/>
      <c r="CS80" s="55"/>
      <c r="CT80" s="55"/>
      <c r="CU80" s="55"/>
      <c r="CV80" s="55"/>
      <c r="CW80" s="55"/>
    </row>
    <row r="81" spans="1:103">
      <c r="B81" s="3" t="s">
        <v>22</v>
      </c>
      <c r="C81" s="3" t="s">
        <v>23</v>
      </c>
      <c r="D81" s="17"/>
      <c r="E81" s="15"/>
      <c r="F81" s="17"/>
      <c r="G81" s="17"/>
      <c r="H81" s="20"/>
      <c r="I81" s="11"/>
      <c r="J81" s="20"/>
      <c r="K81" s="181"/>
      <c r="L81" s="1"/>
      <c r="M81" s="3"/>
      <c r="N81" s="1"/>
      <c r="O81" s="1"/>
      <c r="P81" s="1"/>
      <c r="Q81" s="1"/>
      <c r="S81" s="62"/>
      <c r="T81" s="62"/>
      <c r="U81" s="62"/>
      <c r="V81" s="62"/>
      <c r="W81" s="62"/>
      <c r="Y81" s="206"/>
      <c r="Z81" s="206"/>
      <c r="AA81" s="206"/>
      <c r="AB81" s="206"/>
      <c r="AC81" s="206"/>
      <c r="AF81" s="206"/>
      <c r="AG81" s="206"/>
      <c r="AH81" s="206"/>
      <c r="AI81" s="206"/>
      <c r="AJ81" s="206"/>
      <c r="AK81" s="206"/>
      <c r="AL81" s="206"/>
      <c r="AM81" s="206"/>
      <c r="AN81" s="206"/>
      <c r="AO81" s="206"/>
      <c r="AP81" s="206"/>
      <c r="AX81" s="17"/>
      <c r="AY81" s="17"/>
      <c r="AZ81" s="206"/>
      <c r="BB81" s="3" t="s">
        <v>22</v>
      </c>
      <c r="BC81" s="3" t="s">
        <v>23</v>
      </c>
      <c r="BD81" s="14"/>
      <c r="BE81" s="14"/>
      <c r="BF81" s="14"/>
      <c r="BG81" s="17"/>
      <c r="BH81" s="20"/>
      <c r="BI81" s="11"/>
      <c r="BJ81" s="67"/>
      <c r="BK81" s="181"/>
      <c r="BL81" s="1"/>
      <c r="BM81" s="3"/>
      <c r="BP81" s="1"/>
      <c r="BQ81" s="1"/>
      <c r="BR81" s="1"/>
      <c r="BS81" s="62"/>
      <c r="BT81" s="62"/>
      <c r="BU81" s="62"/>
      <c r="BV81" s="62"/>
      <c r="BW81" s="62"/>
      <c r="BX81" s="62"/>
      <c r="BY81" s="206"/>
      <c r="BZ81" s="206"/>
      <c r="CA81" s="206"/>
      <c r="CB81" s="206"/>
      <c r="CC81" s="206"/>
      <c r="CD81" s="206"/>
      <c r="CE81" s="206"/>
      <c r="CF81" s="206"/>
      <c r="CG81" s="206"/>
      <c r="CH81" s="206"/>
      <c r="CI81" s="206"/>
      <c r="CJ81" s="206"/>
      <c r="CK81" s="206"/>
      <c r="CL81" s="206"/>
      <c r="CM81" s="206"/>
      <c r="CN81" s="206"/>
      <c r="CO81" s="206"/>
      <c r="CP81" s="55"/>
      <c r="CQ81" s="55"/>
      <c r="CR81" s="55"/>
      <c r="CS81" s="55"/>
      <c r="CT81" s="55"/>
      <c r="CU81" s="55"/>
      <c r="CV81" s="55"/>
      <c r="CW81" s="55"/>
    </row>
    <row r="82" spans="1:103">
      <c r="A82" s="2">
        <f>IF(Ergebnisse!A82="","",Ergebnisse!A82)</f>
        <v>89</v>
      </c>
      <c r="B82" s="6">
        <f>IF(Ergebnisse!B82="","",Ergebnisse!B82)</f>
        <v>46207.708333333336</v>
      </c>
      <c r="C82" s="6" t="str">
        <f>IF(Ergebnisse!C82="","",Ergebnisse!C82)</f>
        <v>Philadelphia</v>
      </c>
      <c r="D82" s="258" t="s">
        <v>67</v>
      </c>
      <c r="E82" s="15"/>
      <c r="F82" s="258" t="s">
        <v>69</v>
      </c>
      <c r="G82" s="3"/>
      <c r="H82" s="107">
        <v>3</v>
      </c>
      <c r="I82" s="11" t="s">
        <v>25</v>
      </c>
      <c r="J82" s="107">
        <v>4</v>
      </c>
      <c r="L82" s="1"/>
      <c r="M82" s="260" t="s">
        <v>69</v>
      </c>
      <c r="N82" s="1"/>
      <c r="O82" s="1"/>
      <c r="P82" s="14"/>
      <c r="Q82" s="3"/>
      <c r="R82" s="3"/>
      <c r="S82" s="62"/>
      <c r="T82" s="62"/>
      <c r="U82" s="62"/>
      <c r="V82" s="62"/>
      <c r="W82" s="62"/>
      <c r="Y82" s="206"/>
      <c r="Z82" s="206"/>
      <c r="AA82" s="206"/>
      <c r="AB82" s="206"/>
      <c r="AC82" s="206"/>
      <c r="AI82" s="206"/>
      <c r="AJ82" s="206"/>
      <c r="AK82" s="206"/>
      <c r="AL82" s="206"/>
      <c r="AM82" s="206"/>
      <c r="AN82" s="206"/>
      <c r="AO82" s="206"/>
      <c r="AP82" s="206"/>
      <c r="AX82" s="17">
        <f ca="1">IF(AY82="",0,IF($CX$97="",2*(D82=Ergebnisse!D82)+2*(F82=Ergebnisse!F82)+(SIGN(H82-J82)=SIGN(Ergebnisse!H82-Ergebnisse!J82))*7+(H82=Ergebnisse!H82)+(J82=Ergebnisse!J82),INT(RAND()*14)))</f>
        <v>9</v>
      </c>
      <c r="AY82" s="17" t="str">
        <f ca="1">IF(Ergebnisse!K82=Ergebnisse!$B$98,Ergebnisse!K82,"")</f>
        <v>ok</v>
      </c>
      <c r="AZ82" s="206"/>
      <c r="BA82" s="2">
        <f>IF(Ergebnisse!BA82="","",Ergebnisse!BA82)</f>
        <v>97</v>
      </c>
      <c r="BB82" s="6">
        <f>IF(Ergebnisse!BB82="","",Ergebnisse!BB82)</f>
        <v>46212.666666666664</v>
      </c>
      <c r="BC82" s="6" t="str">
        <f>IF(Ergebnisse!BC82="","",Ergebnisse!BC82)</f>
        <v>Boston</v>
      </c>
      <c r="BD82" s="41" t="s">
        <v>69</v>
      </c>
      <c r="BE82" s="15"/>
      <c r="BF82" s="41" t="s">
        <v>71</v>
      </c>
      <c r="BG82" s="14"/>
      <c r="BH82" s="107">
        <v>2</v>
      </c>
      <c r="BI82" s="11" t="s">
        <v>25</v>
      </c>
      <c r="BJ82" s="107">
        <v>1</v>
      </c>
      <c r="BL82" s="1"/>
      <c r="BM82" s="42" t="s">
        <v>69</v>
      </c>
      <c r="BN82" s="1"/>
      <c r="BO82" s="1"/>
      <c r="BQ82" s="1"/>
      <c r="BR82" s="1"/>
      <c r="BS82" s="62"/>
      <c r="BT82" s="62"/>
      <c r="BU82" s="62"/>
      <c r="BV82" s="62"/>
      <c r="BW82" s="62"/>
      <c r="BX82" s="62"/>
      <c r="BY82" s="206"/>
      <c r="BZ82" s="206"/>
      <c r="CA82" s="206"/>
      <c r="CB82" s="206"/>
      <c r="CC82" s="206"/>
      <c r="CD82" s="206"/>
      <c r="CE82" s="206"/>
      <c r="CF82" s="206"/>
      <c r="CG82" s="206"/>
      <c r="CH82" s="206"/>
      <c r="CI82" s="206"/>
      <c r="CJ82" s="206"/>
      <c r="CK82" s="206"/>
      <c r="CL82" s="206"/>
      <c r="CM82" s="206"/>
      <c r="CN82" s="206"/>
      <c r="CO82" s="206"/>
      <c r="CP82" s="55"/>
      <c r="CQ82" s="55"/>
      <c r="CR82" s="55"/>
      <c r="CS82" s="55"/>
      <c r="CT82" s="55"/>
      <c r="CU82" s="55"/>
      <c r="CV82" s="55"/>
      <c r="CW82" s="55"/>
      <c r="CX82" s="17">
        <f ca="1">IF(CY82="",0,IF($CX$97="",IF(BD82=Ergebnisse!BD82,3,IF(COUNTIF(Ergebnisse!$BD$82:$BF$85,BD82)&gt;0,1,0))+IF(BF82=Ergebnisse!BF82,3,IF(COUNTIF(Ergebnisse!$BD$82:$BF$85,BF82)&gt;0,1,0))+(SIGN(BH82-BJ82)=SIGN(Ergebnisse!BH82-Ergebnisse!BJ82))*7+(BH82=Ergebnisse!BH82)+(BJ82=Ergebnisse!BJ82),INT(RAND()*16)))</f>
        <v>10</v>
      </c>
      <c r="CY82" s="17" t="str">
        <f ca="1">IF(Ergebnisse!BK82=Ergebnisse!$B$98,Ergebnisse!BK82,"")</f>
        <v>ok</v>
      </c>
    </row>
    <row r="83" spans="1:103">
      <c r="A83" s="2">
        <f>IF(Ergebnisse!A83="","",Ergebnisse!A83)</f>
        <v>90</v>
      </c>
      <c r="B83" s="6">
        <f>IF(Ergebnisse!B83="","",Ergebnisse!B83)</f>
        <v>46207.5</v>
      </c>
      <c r="C83" s="6" t="str">
        <f>IF(Ergebnisse!C83="","",Ergebnisse!C83)</f>
        <v>Houston</v>
      </c>
      <c r="D83" s="258" t="s">
        <v>205</v>
      </c>
      <c r="E83" s="15"/>
      <c r="F83" s="258" t="s">
        <v>71</v>
      </c>
      <c r="G83" s="3"/>
      <c r="H83" s="107">
        <v>2</v>
      </c>
      <c r="I83" s="11" t="s">
        <v>25</v>
      </c>
      <c r="J83" s="107">
        <v>3</v>
      </c>
      <c r="L83" s="1"/>
      <c r="M83" s="260" t="s">
        <v>71</v>
      </c>
      <c r="N83" s="1"/>
      <c r="O83" s="1"/>
      <c r="P83" s="14"/>
      <c r="Q83" s="3"/>
      <c r="R83" s="3"/>
      <c r="S83" s="62"/>
      <c r="T83" s="62"/>
      <c r="U83" s="62"/>
      <c r="V83" s="62"/>
      <c r="W83" s="62"/>
      <c r="Y83" s="206"/>
      <c r="Z83" s="206"/>
      <c r="AA83" s="206"/>
      <c r="AB83" s="206"/>
      <c r="AC83" s="206"/>
      <c r="AI83" s="206"/>
      <c r="AJ83" s="206"/>
      <c r="AK83" s="206"/>
      <c r="AL83" s="206"/>
      <c r="AM83" s="206"/>
      <c r="AN83" s="206"/>
      <c r="AO83" s="206"/>
      <c r="AP83" s="206"/>
      <c r="AX83" s="17">
        <f ca="1">IF(AY83="",0,IF($CX$97="",2*(D83=Ergebnisse!D83)+2*(F83=Ergebnisse!F83)+(SIGN(H83-J83)=SIGN(Ergebnisse!H83-Ergebnisse!J83))*7+(H83=Ergebnisse!H83)+(J83=Ergebnisse!J83),INT(RAND()*14)))</f>
        <v>7</v>
      </c>
      <c r="AY83" s="17" t="str">
        <f ca="1">IF(Ergebnisse!K83=Ergebnisse!$B$98,Ergebnisse!K83,"")</f>
        <v>ok</v>
      </c>
      <c r="AZ83" s="206"/>
      <c r="BA83" s="2">
        <f>IF(Ergebnisse!BA83="","",Ergebnisse!BA83)</f>
        <v>98</v>
      </c>
      <c r="BB83" s="6">
        <f>IF(Ergebnisse!BB83="","",Ergebnisse!BB83)</f>
        <v>46213.5</v>
      </c>
      <c r="BC83" s="6" t="str">
        <f>IF(Ergebnisse!BC83="","",Ergebnisse!BC83)</f>
        <v>Los Angeles</v>
      </c>
      <c r="BD83" s="70" t="s">
        <v>66</v>
      </c>
      <c r="BE83" s="40"/>
      <c r="BF83" s="70" t="s">
        <v>186</v>
      </c>
      <c r="BG83" s="14"/>
      <c r="BH83" s="107">
        <v>2</v>
      </c>
      <c r="BI83" s="11" t="s">
        <v>25</v>
      </c>
      <c r="BJ83" s="107">
        <v>1</v>
      </c>
      <c r="BL83" s="1"/>
      <c r="BM83" s="69" t="s">
        <v>66</v>
      </c>
      <c r="BN83" s="1"/>
      <c r="BO83" s="1"/>
      <c r="BQ83" s="1"/>
      <c r="BR83" s="1"/>
      <c r="BS83" s="62"/>
      <c r="BT83" s="62"/>
      <c r="BU83" s="62"/>
      <c r="BV83" s="62"/>
      <c r="BW83" s="62"/>
      <c r="BX83" s="62"/>
      <c r="BY83" s="206"/>
      <c r="BZ83" s="206"/>
      <c r="CA83" s="206"/>
      <c r="CB83" s="206"/>
      <c r="CC83" s="206"/>
      <c r="CD83" s="206"/>
      <c r="CE83" s="206"/>
      <c r="CF83" s="206"/>
      <c r="CG83" s="206"/>
      <c r="CH83" s="206"/>
      <c r="CI83" s="206"/>
      <c r="CJ83" s="206"/>
      <c r="CK83" s="206"/>
      <c r="CL83" s="206"/>
      <c r="CM83" s="206"/>
      <c r="CN83" s="206"/>
      <c r="CO83" s="206"/>
      <c r="CP83" s="55"/>
      <c r="CQ83" s="55"/>
      <c r="CR83" s="55"/>
      <c r="CS83" s="55"/>
      <c r="CT83" s="55"/>
      <c r="CU83" s="55"/>
      <c r="CV83" s="55"/>
      <c r="CW83" s="55"/>
      <c r="CX83" s="17">
        <f ca="1">IF(CY83="",0,IF($CX$97="",IF(BD83=Ergebnisse!BD83,3,IF(COUNTIF(Ergebnisse!$BD$82:$BF$85,BD83)&gt;0,1,0))+IF(BF83=Ergebnisse!BF83,3,IF(COUNTIF(Ergebnisse!$BD$82:$BF$85,BF83)&gt;0,1,0))+(SIGN(BH83-BJ83)=SIGN(Ergebnisse!BH83-Ergebnisse!BJ83))*7+(BH83=Ergebnisse!BH83)+(BJ83=Ergebnisse!BJ83),INT(RAND()*16)))</f>
        <v>8</v>
      </c>
      <c r="CY83" s="17" t="str">
        <f ca="1">IF(Ergebnisse!BK83=Ergebnisse!$B$98,Ergebnisse!BK83,"")</f>
        <v>ok</v>
      </c>
    </row>
    <row r="84" spans="1:103">
      <c r="A84" s="2">
        <f>IF(Ergebnisse!A84="","",Ergebnisse!A84)</f>
        <v>91</v>
      </c>
      <c r="B84" s="6">
        <f>IF(Ergebnisse!B84="","",Ergebnisse!B84)</f>
        <v>46208.666666666664</v>
      </c>
      <c r="C84" s="6" t="str">
        <f>IF(Ergebnisse!C84="","",Ergebnisse!C84)</f>
        <v>New York</v>
      </c>
      <c r="D84" s="261" t="s">
        <v>215</v>
      </c>
      <c r="E84" s="15"/>
      <c r="F84" s="261" t="s">
        <v>211</v>
      </c>
      <c r="G84" s="3"/>
      <c r="H84" s="107">
        <v>1</v>
      </c>
      <c r="I84" s="11" t="s">
        <v>25</v>
      </c>
      <c r="J84" s="107">
        <v>0</v>
      </c>
      <c r="L84" s="1"/>
      <c r="M84" s="263" t="s">
        <v>215</v>
      </c>
      <c r="N84" s="1"/>
      <c r="O84" s="1"/>
      <c r="P84" s="14"/>
      <c r="Q84" s="3"/>
      <c r="R84" s="3"/>
      <c r="S84" s="62"/>
      <c r="T84" s="62"/>
      <c r="U84" s="62"/>
      <c r="V84" s="62"/>
      <c r="W84" s="62"/>
      <c r="Y84" s="206"/>
      <c r="Z84" s="206"/>
      <c r="AA84" s="206"/>
      <c r="AB84" s="206"/>
      <c r="AC84" s="206"/>
      <c r="AI84" s="206"/>
      <c r="AJ84" s="206"/>
      <c r="AK84" s="206"/>
      <c r="AL84" s="206"/>
      <c r="AM84" s="206"/>
      <c r="AN84" s="206"/>
      <c r="AO84" s="206"/>
      <c r="AP84" s="206"/>
      <c r="AX84" s="17">
        <f ca="1">IF(AY84="",0,IF($CX$97="",2*(D84=Ergebnisse!D84)+2*(F84=Ergebnisse!F84)+(SIGN(H84-J84)=SIGN(Ergebnisse!H84-Ergebnisse!J84))*7+(H84=Ergebnisse!H84)+(J84=Ergebnisse!J84),INT(RAND()*14)))</f>
        <v>2</v>
      </c>
      <c r="AY84" s="17" t="str">
        <f ca="1">IF(Ergebnisse!K84=Ergebnisse!$B$98,Ergebnisse!K84,"")</f>
        <v>ok</v>
      </c>
      <c r="AZ84" s="206"/>
      <c r="BA84" s="2">
        <f>IF(Ergebnisse!BA84="","",Ergebnisse!BA84)</f>
        <v>99</v>
      </c>
      <c r="BB84" s="6">
        <f>IF(Ergebnisse!BB84="","",Ergebnisse!BB84)</f>
        <v>46214.708333333336</v>
      </c>
      <c r="BC84" s="6" t="str">
        <f>IF(Ergebnisse!BC84="","",Ergebnisse!BC84)</f>
        <v>Miami</v>
      </c>
      <c r="BD84" s="45" t="s">
        <v>215</v>
      </c>
      <c r="BE84" s="40"/>
      <c r="BF84" s="45" t="s">
        <v>201</v>
      </c>
      <c r="BG84" s="14"/>
      <c r="BH84" s="107">
        <v>3</v>
      </c>
      <c r="BI84" s="11" t="s">
        <v>25</v>
      </c>
      <c r="BJ84" s="107">
        <v>4</v>
      </c>
      <c r="BL84" s="1"/>
      <c r="BM84" s="46" t="s">
        <v>201</v>
      </c>
      <c r="BN84" s="1"/>
      <c r="BO84" s="1"/>
      <c r="BP84" s="1"/>
      <c r="BQ84" s="1"/>
      <c r="BR84" s="1"/>
      <c r="BS84" s="62"/>
      <c r="BT84" s="62"/>
      <c r="BU84" s="62"/>
      <c r="BV84" s="62"/>
      <c r="BW84" s="62"/>
      <c r="BX84" s="62"/>
      <c r="BY84" s="206"/>
      <c r="BZ84" s="206"/>
      <c r="CA84" s="206"/>
      <c r="CB84" s="206"/>
      <c r="CC84" s="206"/>
      <c r="CD84" s="206"/>
      <c r="CE84" s="206"/>
      <c r="CF84" s="206"/>
      <c r="CG84" s="206"/>
      <c r="CH84" s="206"/>
      <c r="CI84" s="206"/>
      <c r="CJ84" s="206"/>
      <c r="CK84" s="206"/>
      <c r="CL84" s="206"/>
      <c r="CM84" s="206"/>
      <c r="CN84" s="206"/>
      <c r="CO84" s="206"/>
      <c r="CP84" s="55"/>
      <c r="CQ84" s="55"/>
      <c r="CR84" s="55"/>
      <c r="CS84" s="55"/>
      <c r="CT84" s="55"/>
      <c r="CU84" s="55"/>
      <c r="CV84" s="55"/>
      <c r="CW84" s="55"/>
      <c r="CX84" s="17">
        <f ca="1">IF(CY84="",0,IF($CX$97="",IF(BD84=Ergebnisse!BD84,3,IF(COUNTIF(Ergebnisse!$BD$82:$BF$85,BD84)&gt;0,1,0))+IF(BF84=Ergebnisse!BF84,3,IF(COUNTIF(Ergebnisse!$BD$82:$BF$85,BF84)&gt;0,1,0))+(SIGN(BH84-BJ84)=SIGN(Ergebnisse!BH84-Ergebnisse!BJ84))*7+(BH84=Ergebnisse!BH84)+(BJ84=Ergebnisse!BJ84),INT(RAND()*16)))</f>
        <v>7</v>
      </c>
      <c r="CY84" s="17" t="str">
        <f ca="1">IF(Ergebnisse!BK84=Ergebnisse!$B$98,Ergebnisse!BK84,"")</f>
        <v>ok</v>
      </c>
    </row>
    <row r="85" spans="1:103">
      <c r="A85" s="2">
        <f>IF(Ergebnisse!A85="","",Ergebnisse!A85)</f>
        <v>92</v>
      </c>
      <c r="B85" s="6">
        <f>IF(Ergebnisse!B85="","",Ergebnisse!B85)</f>
        <v>46208.791666666672</v>
      </c>
      <c r="C85" s="6" t="str">
        <f>IF(Ergebnisse!C85="","",Ergebnisse!C85)</f>
        <v>Mexico City</v>
      </c>
      <c r="D85" s="261" t="s">
        <v>201</v>
      </c>
      <c r="E85" s="15"/>
      <c r="F85" s="261" t="s">
        <v>253</v>
      </c>
      <c r="G85" s="3"/>
      <c r="H85" s="107">
        <v>3</v>
      </c>
      <c r="I85" s="11" t="s">
        <v>25</v>
      </c>
      <c r="J85" s="107">
        <v>2</v>
      </c>
      <c r="L85" s="1"/>
      <c r="M85" s="263" t="s">
        <v>201</v>
      </c>
      <c r="N85" s="1"/>
      <c r="O85" s="1"/>
      <c r="P85" s="14"/>
      <c r="Q85" s="3"/>
      <c r="R85" s="3"/>
      <c r="S85" s="62"/>
      <c r="T85" s="62"/>
      <c r="U85" s="62"/>
      <c r="V85" s="62"/>
      <c r="W85" s="62"/>
      <c r="Y85" s="206"/>
      <c r="Z85" s="206"/>
      <c r="AA85" s="206"/>
      <c r="AB85" s="206"/>
      <c r="AC85" s="206"/>
      <c r="AI85" s="206"/>
      <c r="AJ85" s="206"/>
      <c r="AK85" s="206"/>
      <c r="AL85" s="206"/>
      <c r="AM85" s="206"/>
      <c r="AN85" s="206"/>
      <c r="AO85" s="206"/>
      <c r="AP85" s="206"/>
      <c r="AX85" s="17">
        <f ca="1">IF(AY85="",0,IF($CX$97="",2*(D85=Ergebnisse!D85)+2*(F85=Ergebnisse!F85)+(SIGN(H85-J85)=SIGN(Ergebnisse!H85-Ergebnisse!J85))*7+(H85=Ergebnisse!H85)+(J85=Ergebnisse!J85),INT(RAND()*14)))</f>
        <v>7</v>
      </c>
      <c r="AY85" s="17" t="str">
        <f ca="1">IF(Ergebnisse!K85=Ergebnisse!$B$98,Ergebnisse!K85,"")</f>
        <v>ok</v>
      </c>
      <c r="AZ85" s="206"/>
      <c r="BA85" s="2">
        <f>IF(Ergebnisse!BA85="","",Ergebnisse!BA85)</f>
        <v>100</v>
      </c>
      <c r="BB85" s="6">
        <f>IF(Ergebnisse!BB85="","",Ergebnisse!BB85)</f>
        <v>46214.833333333336</v>
      </c>
      <c r="BC85" s="6" t="str">
        <f>IF(Ergebnisse!BC85="","",Ergebnisse!BC85)</f>
        <v>Kansas City</v>
      </c>
      <c r="BD85" s="43" t="s">
        <v>221</v>
      </c>
      <c r="BE85" s="15"/>
      <c r="BF85" s="43" t="s">
        <v>190</v>
      </c>
      <c r="BG85" s="14"/>
      <c r="BH85" s="107">
        <v>2</v>
      </c>
      <c r="BI85" s="11" t="s">
        <v>25</v>
      </c>
      <c r="BJ85" s="107">
        <v>1</v>
      </c>
      <c r="BL85" s="1"/>
      <c r="BM85" s="44" t="s">
        <v>221</v>
      </c>
      <c r="BN85" s="1"/>
      <c r="BO85" s="1"/>
      <c r="BP85" s="1"/>
      <c r="BQ85" s="1"/>
      <c r="BR85" s="1"/>
      <c r="BS85" s="62"/>
      <c r="BT85" s="62"/>
      <c r="BU85" s="62"/>
      <c r="BV85" s="62"/>
      <c r="BW85" s="62"/>
      <c r="BX85" s="62"/>
      <c r="BY85" s="206"/>
      <c r="BZ85" s="206"/>
      <c r="CA85" s="206"/>
      <c r="CB85" s="206"/>
      <c r="CC85" s="206"/>
      <c r="CD85" s="206"/>
      <c r="CE85" s="206"/>
      <c r="CF85" s="206"/>
      <c r="CG85" s="206"/>
      <c r="CH85" s="206"/>
      <c r="CI85" s="206"/>
      <c r="CJ85" s="206"/>
      <c r="CK85" s="206"/>
      <c r="CL85" s="206"/>
      <c r="CM85" s="206"/>
      <c r="CN85" s="206"/>
      <c r="CO85" s="206"/>
      <c r="CP85" s="55"/>
      <c r="CQ85" s="55"/>
      <c r="CR85" s="55"/>
      <c r="CS85" s="55"/>
      <c r="CT85" s="55"/>
      <c r="CU85" s="55"/>
      <c r="CV85" s="55"/>
      <c r="CW85" s="55"/>
      <c r="CX85" s="17">
        <f ca="1">IF(CY85="",0,IF($CX$97="",IF(BD85=Ergebnisse!BD85,3,IF(COUNTIF(Ergebnisse!$BD$82:$BF$85,BD85)&gt;0,1,0))+IF(BF85=Ergebnisse!BF85,3,IF(COUNTIF(Ergebnisse!$BD$82:$BF$85,BF85)&gt;0,1,0))+(SIGN(BH85-BJ85)=SIGN(Ergebnisse!BH85-Ergebnisse!BJ85))*7+(BH85=Ergebnisse!BH85)+(BJ85=Ergebnisse!BJ85),INT(RAND()*16)))</f>
        <v>0</v>
      </c>
      <c r="CY85" s="17" t="str">
        <f ca="1">IF(Ergebnisse!BK85=Ergebnisse!$B$98,Ergebnisse!BK85,"")</f>
        <v>ok</v>
      </c>
    </row>
    <row r="86" spans="1:103">
      <c r="A86" s="2">
        <f>IF(Ergebnisse!A86="","",Ergebnisse!A86)</f>
        <v>93</v>
      </c>
      <c r="B86" s="6">
        <f>IF(Ergebnisse!B86="","",Ergebnisse!B86)</f>
        <v>46209.583333333336</v>
      </c>
      <c r="C86" s="6" t="str">
        <f>IF(Ergebnisse!C86="","",Ergebnisse!C86)</f>
        <v>Dallas</v>
      </c>
      <c r="D86" s="256" t="s">
        <v>70</v>
      </c>
      <c r="E86" s="15"/>
      <c r="F86" s="256" t="s">
        <v>66</v>
      </c>
      <c r="G86" s="3"/>
      <c r="H86" s="107">
        <v>1</v>
      </c>
      <c r="I86" s="11" t="s">
        <v>25</v>
      </c>
      <c r="J86" s="107">
        <v>2</v>
      </c>
      <c r="L86" s="1"/>
      <c r="M86" s="257" t="s">
        <v>66</v>
      </c>
      <c r="N86" s="1"/>
      <c r="O86" s="1"/>
      <c r="P86" s="14"/>
      <c r="Q86" s="3"/>
      <c r="R86" s="3"/>
      <c r="S86" s="62"/>
      <c r="T86" s="62"/>
      <c r="U86" s="62"/>
      <c r="V86" s="62"/>
      <c r="W86" s="62"/>
      <c r="Y86" s="206"/>
      <c r="Z86" s="206"/>
      <c r="AA86" s="206"/>
      <c r="AB86" s="206"/>
      <c r="AC86" s="206"/>
      <c r="AI86" s="206"/>
      <c r="AJ86" s="206"/>
      <c r="AK86" s="206"/>
      <c r="AL86" s="206"/>
      <c r="AM86" s="206"/>
      <c r="AN86" s="206"/>
      <c r="AO86" s="206"/>
      <c r="AP86" s="206"/>
      <c r="AX86" s="17">
        <f ca="1">IF(AY86="",0,IF($CX$97="",2*(D86=Ergebnisse!D86)+2*(F86=Ergebnisse!F86)+(SIGN(H86-J86)=SIGN(Ergebnisse!H86-Ergebnisse!J86))*7+(H86=Ergebnisse!H86)+(J86=Ergebnisse!J86),INT(RAND()*14)))</f>
        <v>0</v>
      </c>
      <c r="AY86" s="17" t="str">
        <f ca="1">IF(Ergebnisse!K86=Ergebnisse!$B$98,Ergebnisse!K86,"")</f>
        <v>ok</v>
      </c>
      <c r="AZ86" s="206"/>
      <c r="BB86" s="6"/>
      <c r="BC86" s="6"/>
      <c r="BD86" s="6"/>
      <c r="BE86" s="6"/>
      <c r="BF86" s="6"/>
      <c r="BG86" s="6"/>
      <c r="BH86" s="6"/>
      <c r="BI86" s="6"/>
      <c r="BJ86" s="6"/>
      <c r="BK86" s="6"/>
      <c r="BL86" s="6"/>
      <c r="BM86" s="6"/>
      <c r="BN86" s="6"/>
      <c r="BO86" s="1"/>
      <c r="BP86" s="1"/>
      <c r="BQ86" s="1"/>
      <c r="BR86" s="1"/>
      <c r="BS86" s="62"/>
      <c r="BT86" s="62"/>
      <c r="BU86" s="62"/>
      <c r="BV86" s="62"/>
      <c r="BW86" s="62"/>
      <c r="BX86" s="62"/>
      <c r="BY86" s="206"/>
      <c r="BZ86" s="206"/>
      <c r="CA86" s="206"/>
      <c r="CB86" s="206"/>
      <c r="CC86" s="206"/>
      <c r="CD86" s="206"/>
      <c r="CE86" s="206"/>
      <c r="CF86" s="206"/>
      <c r="CG86" s="206"/>
      <c r="CH86" s="206"/>
      <c r="CI86" s="206"/>
      <c r="CJ86" s="206"/>
      <c r="CK86" s="206"/>
      <c r="CL86" s="206"/>
      <c r="CM86" s="206"/>
      <c r="CN86" s="206"/>
      <c r="CO86" s="206"/>
      <c r="CP86" s="55"/>
      <c r="CQ86" s="55"/>
      <c r="CR86" s="55"/>
      <c r="CS86" s="55"/>
      <c r="CT86" s="55"/>
      <c r="CU86" s="55"/>
      <c r="CV86" s="55"/>
      <c r="CW86" s="55"/>
      <c r="CX86" s="1"/>
    </row>
    <row r="87" spans="1:103">
      <c r="A87" s="2">
        <f>IF(Ergebnisse!A87="","",Ergebnisse!A87)</f>
        <v>94</v>
      </c>
      <c r="B87" s="6">
        <f>IF(Ergebnisse!B87="","",Ergebnisse!B87)</f>
        <v>46209.708333333336</v>
      </c>
      <c r="C87" s="6" t="str">
        <f>IF(Ergebnisse!C87="","",Ergebnisse!C87)</f>
        <v>Seattle</v>
      </c>
      <c r="D87" s="256" t="s">
        <v>212</v>
      </c>
      <c r="E87" s="15"/>
      <c r="F87" s="256" t="s">
        <v>186</v>
      </c>
      <c r="G87" s="3"/>
      <c r="H87" s="107">
        <v>0</v>
      </c>
      <c r="I87" s="11" t="s">
        <v>25</v>
      </c>
      <c r="J87" s="107">
        <v>1</v>
      </c>
      <c r="L87" s="1"/>
      <c r="M87" s="257" t="s">
        <v>186</v>
      </c>
      <c r="N87" s="1"/>
      <c r="O87" s="1"/>
      <c r="P87" s="14"/>
      <c r="Q87" s="3"/>
      <c r="R87" s="3"/>
      <c r="S87" s="62"/>
      <c r="T87" s="62"/>
      <c r="U87" s="62"/>
      <c r="V87" s="62"/>
      <c r="W87" s="62"/>
      <c r="Y87" s="206"/>
      <c r="Z87" s="206"/>
      <c r="AA87" s="206"/>
      <c r="AB87" s="206"/>
      <c r="AC87" s="206"/>
      <c r="AI87" s="206"/>
      <c r="AJ87" s="206"/>
      <c r="AK87" s="206"/>
      <c r="AL87" s="206"/>
      <c r="AM87" s="206"/>
      <c r="AN87" s="206"/>
      <c r="AO87" s="206"/>
      <c r="AP87" s="206"/>
      <c r="AX87" s="17">
        <f ca="1">IF(AY87="",0,IF($CX$97="",2*(D87=Ergebnisse!D87)+2*(F87=Ergebnisse!F87)+(SIGN(H87-J87)=SIGN(Ergebnisse!H87-Ergebnisse!J87))*7+(H87=Ergebnisse!H87)+(J87=Ergebnisse!J87),INT(RAND()*14)))</f>
        <v>7</v>
      </c>
      <c r="AY87" s="17" t="str">
        <f ca="1">IF(Ergebnisse!K87=Ergebnisse!$B$98,Ergebnisse!K87,"")</f>
        <v>ok</v>
      </c>
      <c r="AZ87" s="206"/>
      <c r="BB87" s="47" t="s">
        <v>55</v>
      </c>
      <c r="BC87" s="21"/>
      <c r="BD87" s="14"/>
      <c r="BE87" s="14"/>
      <c r="BF87" s="14"/>
      <c r="BG87" s="17"/>
      <c r="BH87" s="20"/>
      <c r="BI87" s="19"/>
      <c r="BJ87" s="20"/>
      <c r="BK87" s="181"/>
      <c r="BL87" s="17"/>
      <c r="BM87" s="21"/>
      <c r="BN87" s="17"/>
      <c r="BO87" s="17"/>
      <c r="BP87" s="17"/>
      <c r="BQ87" s="1"/>
      <c r="BR87" s="1"/>
      <c r="BS87" s="62"/>
      <c r="BT87" s="62"/>
      <c r="BU87" s="62"/>
      <c r="BV87" s="62"/>
      <c r="BW87" s="62"/>
      <c r="BX87" s="62"/>
      <c r="BY87" s="206"/>
      <c r="BZ87" s="206"/>
      <c r="CA87" s="206"/>
      <c r="CB87" s="206"/>
      <c r="CC87" s="206"/>
      <c r="CD87" s="206"/>
      <c r="CE87" s="206"/>
      <c r="CF87" s="206"/>
      <c r="CG87" s="206"/>
      <c r="CH87" s="206"/>
      <c r="CI87" s="206"/>
      <c r="CJ87" s="206"/>
      <c r="CK87" s="206"/>
      <c r="CL87" s="206"/>
      <c r="CM87" s="206"/>
      <c r="CN87" s="206"/>
      <c r="CO87" s="206"/>
      <c r="CP87" s="55"/>
      <c r="CQ87" s="55"/>
      <c r="CR87" s="55"/>
      <c r="CS87" s="55"/>
      <c r="CT87" s="55"/>
      <c r="CU87" s="55"/>
      <c r="CV87" s="55"/>
      <c r="CW87" s="55"/>
      <c r="CY87" s="17"/>
    </row>
    <row r="88" spans="1:103">
      <c r="A88" s="2">
        <f>IF(Ergebnisse!A88="","",Ergebnisse!A88)</f>
        <v>95</v>
      </c>
      <c r="B88" s="6">
        <f>IF(Ergebnisse!B88="","",Ergebnisse!B88)</f>
        <v>46210.5</v>
      </c>
      <c r="C88" s="6" t="str">
        <f>IF(Ergebnisse!C88="","",Ergebnisse!C88)</f>
        <v>Atlanta</v>
      </c>
      <c r="D88" s="259" t="s">
        <v>221</v>
      </c>
      <c r="E88" s="15"/>
      <c r="F88" s="259" t="s">
        <v>202</v>
      </c>
      <c r="G88" s="3"/>
      <c r="H88" s="107">
        <v>1</v>
      </c>
      <c r="I88" s="11" t="s">
        <v>25</v>
      </c>
      <c r="J88" s="107">
        <v>0</v>
      </c>
      <c r="L88" s="1"/>
      <c r="M88" s="262" t="s">
        <v>221</v>
      </c>
      <c r="N88" s="1"/>
      <c r="O88" s="1"/>
      <c r="P88" s="14"/>
      <c r="Q88" s="3"/>
      <c r="R88" s="3"/>
      <c r="S88" s="62"/>
      <c r="T88" s="62"/>
      <c r="U88" s="62"/>
      <c r="V88" s="62"/>
      <c r="W88" s="62"/>
      <c r="Y88" s="206"/>
      <c r="Z88" s="206"/>
      <c r="AA88" s="206"/>
      <c r="AB88" s="206"/>
      <c r="AC88" s="206"/>
      <c r="AI88" s="206"/>
      <c r="AJ88" s="206"/>
      <c r="AK88" s="206"/>
      <c r="AL88" s="206"/>
      <c r="AM88" s="206"/>
      <c r="AN88" s="206"/>
      <c r="AO88" s="206"/>
      <c r="AP88" s="206"/>
      <c r="AX88" s="17">
        <f ca="1">IF(AY88="",0,IF($CX$97="",2*(D88=Ergebnisse!D88)+2*(F88=Ergebnisse!F88)+(SIGN(H88-J88)=SIGN(Ergebnisse!H88-Ergebnisse!J88))*7+(H88=Ergebnisse!H88)+(J88=Ergebnisse!J88),INT(RAND()*14)))</f>
        <v>2</v>
      </c>
      <c r="AY88" s="17" t="str">
        <f ca="1">IF(Ergebnisse!K88=Ergebnisse!$B$98,Ergebnisse!K88,"")</f>
        <v>ok</v>
      </c>
      <c r="AZ88" s="206"/>
      <c r="BB88" s="3" t="s">
        <v>22</v>
      </c>
      <c r="BC88" s="3" t="s">
        <v>23</v>
      </c>
      <c r="BD88" s="14"/>
      <c r="BE88" s="14"/>
      <c r="BF88" s="14"/>
      <c r="BG88" s="17"/>
      <c r="BH88" s="20"/>
      <c r="BI88" s="11"/>
      <c r="BJ88" s="20"/>
      <c r="BK88" s="181"/>
      <c r="BL88" s="1"/>
      <c r="BM88" s="3"/>
      <c r="BN88" s="1"/>
      <c r="BO88" s="1"/>
      <c r="BP88" s="1"/>
      <c r="BQ88" s="1"/>
      <c r="BR88" s="1"/>
      <c r="BS88" s="62"/>
      <c r="BT88" s="62"/>
      <c r="BU88" s="62"/>
      <c r="BV88" s="62"/>
      <c r="BW88" s="62"/>
      <c r="BX88" s="62"/>
      <c r="BY88" s="206"/>
      <c r="BZ88" s="206"/>
      <c r="CA88" s="206"/>
      <c r="CB88" s="206"/>
      <c r="CC88" s="206"/>
      <c r="CD88" s="206"/>
      <c r="CE88" s="206"/>
      <c r="CF88" s="206"/>
      <c r="CG88" s="206"/>
      <c r="CH88" s="206"/>
      <c r="CI88" s="206"/>
      <c r="CJ88" s="206"/>
      <c r="CK88" s="206"/>
      <c r="CL88" s="206"/>
      <c r="CM88" s="206"/>
      <c r="CN88" s="206"/>
      <c r="CO88" s="206"/>
      <c r="CP88" s="55"/>
      <c r="CQ88" s="55"/>
      <c r="CR88" s="55"/>
      <c r="CS88" s="55"/>
      <c r="CT88" s="55"/>
      <c r="CU88" s="55"/>
      <c r="CV88" s="55"/>
      <c r="CW88" s="55"/>
      <c r="CY88" s="17"/>
    </row>
    <row r="89" spans="1:103">
      <c r="A89" s="2">
        <f>IF(Ergebnisse!A89="","",Ergebnisse!A89)</f>
        <v>96</v>
      </c>
      <c r="B89" s="6">
        <f>IF(Ergebnisse!B89="","",Ergebnisse!B89)</f>
        <v>46210.541666666664</v>
      </c>
      <c r="C89" s="6" t="str">
        <f>IF(Ergebnisse!C89="","",Ergebnisse!C89)</f>
        <v>Vancouver</v>
      </c>
      <c r="D89" s="259" t="s">
        <v>68</v>
      </c>
      <c r="E89" s="15"/>
      <c r="F89" s="259" t="s">
        <v>190</v>
      </c>
      <c r="G89" s="3"/>
      <c r="H89" s="107">
        <v>1</v>
      </c>
      <c r="I89" s="11" t="s">
        <v>25</v>
      </c>
      <c r="J89" s="107">
        <v>2</v>
      </c>
      <c r="L89" s="1"/>
      <c r="M89" s="262" t="s">
        <v>190</v>
      </c>
      <c r="N89" s="1"/>
      <c r="O89" s="1"/>
      <c r="P89" s="14"/>
      <c r="Q89" s="3"/>
      <c r="R89" s="3"/>
      <c r="S89" s="62"/>
      <c r="T89" s="62"/>
      <c r="U89" s="62"/>
      <c r="V89" s="62"/>
      <c r="W89" s="62"/>
      <c r="Y89" s="206"/>
      <c r="Z89" s="206"/>
      <c r="AA89" s="206"/>
      <c r="AB89" s="206"/>
      <c r="AC89" s="206"/>
      <c r="AI89" s="206"/>
      <c r="AJ89" s="206"/>
      <c r="AK89" s="206"/>
      <c r="AL89" s="206"/>
      <c r="AM89" s="206"/>
      <c r="AN89" s="206"/>
      <c r="AO89" s="206"/>
      <c r="AP89" s="206"/>
      <c r="AX89" s="17">
        <f ca="1">IF(AY89="",0,IF($CX$97="",2*(D89=Ergebnisse!D89)+2*(F89=Ergebnisse!F89)+(SIGN(H89-J89)=SIGN(Ergebnisse!H89-Ergebnisse!J89))*7+(H89=Ergebnisse!H89)+(J89=Ergebnisse!J89),INT(RAND()*14)))</f>
        <v>0</v>
      </c>
      <c r="AY89" s="17" t="str">
        <f ca="1">IF(Ergebnisse!K89=Ergebnisse!$B$98,Ergebnisse!K89,"")</f>
        <v>ok</v>
      </c>
      <c r="AZ89" s="206"/>
      <c r="BA89" s="2">
        <f>IF(Ergebnisse!BA89="","",Ergebnisse!BA89)</f>
        <v>101</v>
      </c>
      <c r="BB89" s="6">
        <f>IF(Ergebnisse!BB89="","",Ergebnisse!BB89)</f>
        <v>46217.583333333336</v>
      </c>
      <c r="BC89" s="6" t="str">
        <f>IF(Ergebnisse!BC89="","",Ergebnisse!BC89)</f>
        <v>Dallas</v>
      </c>
      <c r="BD89" s="18" t="s">
        <v>69</v>
      </c>
      <c r="BE89" s="15"/>
      <c r="BF89" s="71" t="s">
        <v>66</v>
      </c>
      <c r="BG89" s="17"/>
      <c r="BH89" s="107">
        <v>1</v>
      </c>
      <c r="BI89" s="11" t="s">
        <v>25</v>
      </c>
      <c r="BJ89" s="107">
        <v>0</v>
      </c>
      <c r="BL89" s="1"/>
      <c r="BM89" s="68" t="s">
        <v>69</v>
      </c>
      <c r="BN89" s="1"/>
      <c r="BO89" s="1"/>
      <c r="BP89" s="1"/>
      <c r="BQ89" s="1"/>
      <c r="BR89" s="1"/>
      <c r="BS89" s="62"/>
      <c r="BT89" s="62"/>
      <c r="BU89" s="62"/>
      <c r="BV89" s="62"/>
      <c r="BW89" s="62"/>
      <c r="BX89" s="62"/>
      <c r="BY89" s="206"/>
      <c r="BZ89" s="206"/>
      <c r="CA89" s="206"/>
      <c r="CB89" s="206"/>
      <c r="CC89" s="206"/>
      <c r="CD89" s="206"/>
      <c r="CE89" s="206"/>
      <c r="CF89" s="206"/>
      <c r="CG89" s="206"/>
      <c r="CH89" s="206"/>
      <c r="CI89" s="206"/>
      <c r="CJ89" s="206"/>
      <c r="CK89" s="206"/>
      <c r="CL89" s="206"/>
      <c r="CM89" s="206"/>
      <c r="CN89" s="206"/>
      <c r="CO89" s="206"/>
      <c r="CP89" s="55"/>
      <c r="CQ89" s="55"/>
      <c r="CR89" s="55"/>
      <c r="CS89" s="55"/>
      <c r="CT89" s="55"/>
      <c r="CU89" s="55"/>
      <c r="CV89" s="55"/>
      <c r="CW89" s="55"/>
      <c r="CX89" s="17">
        <f ca="1">IF(CY89="",0,IF($CX$97="",IF(BD89=Ergebnisse!BD89,4,IF(COUNTIF(Ergebnisse!$BD$89:$BF$90,BD89)&gt;0,2,0))+IF(BF89=Ergebnisse!BF89,4,IF(COUNTIF(Ergebnisse!$BD$89:$BF$90,BF89)&gt;0,2,0))+(SIGN(BH89-BJ89)=SIGN(Ergebnisse!BH89-Ergebnisse!BJ89))*7+(BH89=Ergebnisse!BH89)+(BJ89=Ergebnisse!BJ89),INT(RAND()*18)))</f>
        <v>11</v>
      </c>
      <c r="CY89" s="17" t="str">
        <f ca="1">IF(Ergebnisse!BK89=Ergebnisse!$B$98,Ergebnisse!BK89,"")</f>
        <v>ok</v>
      </c>
    </row>
    <row r="90" spans="1:103">
      <c r="E90" s="15"/>
      <c r="H90" s="2"/>
      <c r="I90" s="2"/>
      <c r="J90" s="2"/>
      <c r="K90" s="2"/>
      <c r="M90" s="2"/>
      <c r="S90" s="62"/>
      <c r="T90" s="62"/>
      <c r="U90" s="62"/>
      <c r="V90" s="62"/>
      <c r="W90" s="62"/>
      <c r="Y90" s="206"/>
      <c r="Z90" s="206"/>
      <c r="AA90" s="206"/>
      <c r="AB90" s="206"/>
      <c r="AC90" s="206"/>
      <c r="AI90" s="206"/>
      <c r="AJ90" s="206"/>
      <c r="AK90" s="206"/>
      <c r="AL90" s="206"/>
      <c r="AM90" s="206"/>
      <c r="AN90" s="206"/>
      <c r="AO90" s="206"/>
      <c r="AP90" s="206"/>
      <c r="AZ90" s="206"/>
      <c r="BA90" s="2">
        <f>IF(Ergebnisse!BA90="","",Ergebnisse!BA90)</f>
        <v>102</v>
      </c>
      <c r="BB90" s="6">
        <f>IF(Ergebnisse!BB90="","",Ergebnisse!BB90)</f>
        <v>46218.625</v>
      </c>
      <c r="BC90" s="6" t="str">
        <f>IF(Ergebnisse!BC90="","",Ergebnisse!BC90)</f>
        <v>Atlanta</v>
      </c>
      <c r="BD90" s="49" t="s">
        <v>201</v>
      </c>
      <c r="BE90" s="15"/>
      <c r="BF90" s="48" t="s">
        <v>221</v>
      </c>
      <c r="BG90" s="17"/>
      <c r="BH90" s="107">
        <v>0</v>
      </c>
      <c r="BI90" s="11" t="s">
        <v>25</v>
      </c>
      <c r="BJ90" s="107">
        <v>1</v>
      </c>
      <c r="BL90" s="1"/>
      <c r="BM90" s="68" t="s">
        <v>221</v>
      </c>
      <c r="BN90" s="1"/>
      <c r="BO90" s="1"/>
      <c r="BP90" s="1"/>
      <c r="BQ90" s="1"/>
      <c r="BR90" s="1"/>
      <c r="BS90" s="62"/>
      <c r="BT90" s="62"/>
      <c r="BU90" s="62"/>
      <c r="BV90" s="62"/>
      <c r="BW90" s="62"/>
      <c r="BX90" s="62"/>
      <c r="BY90" s="206"/>
      <c r="BZ90" s="206"/>
      <c r="CA90" s="206"/>
      <c r="CB90" s="206"/>
      <c r="CC90" s="206"/>
      <c r="CD90" s="206"/>
      <c r="CE90" s="206"/>
      <c r="CF90" s="206"/>
      <c r="CG90" s="206"/>
      <c r="CH90" s="206"/>
      <c r="CI90" s="206"/>
      <c r="CJ90" s="206"/>
      <c r="CK90" s="206"/>
      <c r="CL90" s="206"/>
      <c r="CM90" s="206"/>
      <c r="CN90" s="206"/>
      <c r="CO90" s="206"/>
      <c r="CP90" s="55"/>
      <c r="CQ90" s="55"/>
      <c r="CR90" s="55"/>
      <c r="CS90" s="55"/>
      <c r="CT90" s="55"/>
      <c r="CU90" s="55"/>
      <c r="CV90" s="55"/>
      <c r="CW90" s="55"/>
      <c r="CX90" s="17">
        <f ca="1">IF(CY90="",0,IF($CX$97="",IF(BD90=Ergebnisse!BD90,4,IF(COUNTIF(Ergebnisse!$BD$89:$BF$90,BD90)&gt;0,2,0))+IF(BF90=Ergebnisse!BF90,4,IF(COUNTIF(Ergebnisse!$BD$89:$BF$90,BF90)&gt;0,2,0))+(SIGN(BH90-BJ90)=SIGN(Ergebnisse!BH90-Ergebnisse!BJ90))*7+(BH90=Ergebnisse!BH90)+(BJ90=Ergebnisse!BJ90),INT(RAND()*18)))</f>
        <v>1</v>
      </c>
      <c r="CY90" s="17" t="str">
        <f ca="1">IF(Ergebnisse!BK90=Ergebnisse!$B$98,Ergebnisse!BK90,"")</f>
        <v>ok</v>
      </c>
    </row>
    <row r="91" spans="1:103">
      <c r="H91" s="2"/>
      <c r="I91" s="2"/>
      <c r="J91" s="2"/>
      <c r="K91" s="2"/>
      <c r="M91" s="2"/>
      <c r="S91" s="2"/>
      <c r="T91" s="2"/>
      <c r="U91" s="2"/>
      <c r="V91" s="2"/>
      <c r="W91" s="2"/>
      <c r="X91" s="2"/>
      <c r="Y91" s="2"/>
      <c r="Z91" s="2"/>
      <c r="AA91" s="2"/>
      <c r="AB91" s="2"/>
      <c r="AC91" s="2"/>
      <c r="AI91" s="2"/>
      <c r="AJ91" s="2"/>
      <c r="AK91" s="2"/>
      <c r="AL91" s="2"/>
      <c r="AM91" s="2"/>
      <c r="AN91" s="2"/>
      <c r="AO91" s="2"/>
      <c r="AP91" s="2"/>
      <c r="AQ91" s="2"/>
      <c r="AR91" s="2"/>
      <c r="AS91" s="2"/>
      <c r="AT91" s="2"/>
      <c r="AU91" s="2"/>
      <c r="AV91" s="2"/>
      <c r="AY91" s="17"/>
      <c r="AZ91" s="206"/>
      <c r="BB91" s="1"/>
      <c r="BC91" s="3"/>
      <c r="BD91" s="14"/>
      <c r="BE91" s="14"/>
      <c r="BF91" s="14"/>
      <c r="BG91" s="17"/>
      <c r="BH91" s="20"/>
      <c r="BI91" s="11"/>
      <c r="BJ91" s="20"/>
      <c r="BK91" s="181"/>
      <c r="BL91" s="1"/>
      <c r="BM91" s="50" t="s">
        <v>66</v>
      </c>
      <c r="BN91" s="1"/>
      <c r="BO91" s="1"/>
      <c r="BP91" s="1"/>
      <c r="BQ91" s="1"/>
      <c r="BR91" s="1"/>
      <c r="BS91" s="62"/>
      <c r="BT91" s="62"/>
      <c r="BU91" s="62"/>
      <c r="BV91" s="62"/>
      <c r="BW91" s="62"/>
      <c r="BX91" s="62"/>
      <c r="BY91" s="206"/>
      <c r="BZ91" s="206"/>
      <c r="CA91" s="206"/>
      <c r="CB91" s="206"/>
      <c r="CC91" s="206"/>
      <c r="CD91" s="206"/>
      <c r="CE91" s="206"/>
      <c r="CF91" s="206"/>
      <c r="CG91" s="206"/>
      <c r="CH91" s="206"/>
      <c r="CI91" s="206"/>
      <c r="CJ91" s="206"/>
      <c r="CK91" s="206"/>
      <c r="CL91" s="206"/>
      <c r="CM91" s="206"/>
      <c r="CN91" s="206"/>
      <c r="CO91" s="206"/>
      <c r="CP91" s="55"/>
      <c r="CQ91" s="55"/>
      <c r="CR91" s="55"/>
      <c r="CS91" s="55"/>
      <c r="CT91" s="55"/>
      <c r="CU91" s="55"/>
      <c r="CV91" s="55"/>
      <c r="CW91" s="55"/>
      <c r="CX91" s="1"/>
    </row>
    <row r="92" spans="1:103">
      <c r="B92" s="51" t="s">
        <v>62</v>
      </c>
      <c r="C92" s="3"/>
      <c r="D92" s="10"/>
      <c r="E92" s="16"/>
      <c r="F92" s="10"/>
      <c r="G92" s="10"/>
      <c r="H92" s="23"/>
      <c r="J92" s="23"/>
      <c r="K92" s="181"/>
      <c r="M92" s="2"/>
      <c r="P92" s="1"/>
      <c r="AY92" s="17" t="str">
        <f>IF(Ergebnisse!K59=Ergebnisse!$B$98,Ergebnisse!K59,"")</f>
        <v/>
      </c>
      <c r="AZ92" s="206"/>
      <c r="BB92" s="51" t="s">
        <v>64</v>
      </c>
      <c r="BC92" s="3"/>
      <c r="BD92" s="10"/>
      <c r="BE92" s="16"/>
      <c r="BF92" s="10"/>
      <c r="BG92" s="10"/>
      <c r="BH92" s="23"/>
      <c r="BJ92" s="23"/>
      <c r="BK92" s="181"/>
      <c r="BM92" s="50" t="s">
        <v>201</v>
      </c>
      <c r="BP92" s="1"/>
      <c r="BS92" s="55"/>
      <c r="BT92" s="55"/>
      <c r="BU92" s="55"/>
      <c r="BV92" s="55"/>
      <c r="BW92" s="55"/>
      <c r="BX92" s="55"/>
      <c r="BY92" s="206"/>
      <c r="BZ92" s="206"/>
      <c r="CA92" s="206"/>
      <c r="CB92" s="206"/>
      <c r="CC92" s="206"/>
      <c r="CD92" s="206"/>
      <c r="CE92" s="206"/>
      <c r="CF92" s="206"/>
      <c r="CG92" s="206"/>
      <c r="CH92" s="206"/>
      <c r="CI92" s="206"/>
      <c r="CJ92" s="206"/>
      <c r="CK92" s="206"/>
      <c r="CL92" s="206"/>
      <c r="CM92" s="206"/>
      <c r="CN92" s="206"/>
      <c r="CO92" s="206"/>
      <c r="CP92" s="55"/>
      <c r="CQ92" s="55"/>
      <c r="CR92" s="55"/>
      <c r="CS92" s="55"/>
      <c r="CT92" s="55"/>
      <c r="CU92" s="55"/>
      <c r="CV92" s="55"/>
      <c r="CW92" s="55"/>
      <c r="CY92" s="17"/>
    </row>
    <row r="93" spans="1:103">
      <c r="B93" s="3" t="s">
        <v>22</v>
      </c>
      <c r="C93" s="3" t="s">
        <v>23</v>
      </c>
      <c r="D93" s="10"/>
      <c r="E93" s="16"/>
      <c r="F93" s="10"/>
      <c r="G93" s="10"/>
      <c r="H93" s="64"/>
      <c r="J93" s="64"/>
      <c r="K93" s="181"/>
      <c r="M93" s="2" t="s">
        <v>63</v>
      </c>
      <c r="P93" s="1"/>
      <c r="Q93" s="1"/>
      <c r="R93" s="1"/>
      <c r="S93" s="62"/>
      <c r="T93" s="62"/>
      <c r="U93" s="62"/>
      <c r="V93" s="62"/>
      <c r="W93" s="62"/>
      <c r="AO93" s="62"/>
      <c r="AX93" s="17">
        <f ca="1">IF(M94=Ergebnisse!M94,24,0)</f>
        <v>0</v>
      </c>
      <c r="AY93" s="17" t="str">
        <f ca="1">IF(Ergebnisse!K94=Ergebnisse!$B$98,Ergebnisse!K94,"")</f>
        <v>ok</v>
      </c>
      <c r="AZ93" s="206"/>
      <c r="BB93" s="3" t="s">
        <v>22</v>
      </c>
      <c r="BC93" s="3" t="s">
        <v>23</v>
      </c>
      <c r="BD93" s="10"/>
      <c r="BE93" s="16"/>
      <c r="BF93" s="10"/>
      <c r="BG93" s="10"/>
      <c r="BH93" s="23"/>
      <c r="BJ93" s="64"/>
      <c r="BK93" s="181"/>
      <c r="BM93" s="2"/>
      <c r="BP93" s="1"/>
      <c r="BQ93" s="1"/>
      <c r="BR93" s="1"/>
      <c r="BS93" s="62"/>
      <c r="BT93" s="62"/>
      <c r="BU93" s="62"/>
      <c r="BV93" s="62"/>
      <c r="BW93" s="62"/>
      <c r="BX93" s="55"/>
      <c r="BZ93" s="55"/>
      <c r="CA93" s="55"/>
      <c r="CB93" s="55"/>
      <c r="CC93" s="55"/>
      <c r="CD93" s="206"/>
      <c r="CE93" s="206"/>
      <c r="CF93" s="204"/>
      <c r="CG93" s="62"/>
      <c r="CH93" s="62"/>
      <c r="CI93" s="55"/>
      <c r="CJ93" s="55"/>
      <c r="CK93" s="55"/>
      <c r="CL93" s="55"/>
      <c r="CM93" s="55"/>
      <c r="CN93" s="55"/>
      <c r="CO93" s="62"/>
      <c r="CP93" s="55"/>
      <c r="CQ93" s="55"/>
      <c r="CR93" s="55"/>
      <c r="CS93" s="55"/>
      <c r="CT93" s="55"/>
      <c r="CU93" s="55"/>
      <c r="CV93" s="55"/>
      <c r="CW93" s="55"/>
      <c r="CY93" s="17"/>
    </row>
    <row r="94" spans="1:103">
      <c r="A94" s="2">
        <f>IF(Ergebnisse!A94="","",Ergebnisse!A94)</f>
        <v>104</v>
      </c>
      <c r="B94" s="6">
        <f>IF(Ergebnisse!B94="","",Ergebnisse!B94)</f>
        <v>46222.625</v>
      </c>
      <c r="C94" s="6" t="str">
        <f>IF(Ergebnisse!C94="","",Ergebnisse!C94)</f>
        <v>New York</v>
      </c>
      <c r="D94" s="33" t="s">
        <v>69</v>
      </c>
      <c r="E94" s="21"/>
      <c r="F94" s="33" t="s">
        <v>221</v>
      </c>
      <c r="G94" s="17"/>
      <c r="H94" s="57">
        <v>0</v>
      </c>
      <c r="I94" s="11" t="s">
        <v>25</v>
      </c>
      <c r="J94" s="57">
        <v>1</v>
      </c>
      <c r="L94" s="1"/>
      <c r="M94" s="52" t="s">
        <v>221</v>
      </c>
      <c r="N94" s="1"/>
      <c r="O94" s="1"/>
      <c r="Q94" s="1"/>
      <c r="R94" s="1"/>
      <c r="S94" s="62"/>
      <c r="T94" s="62"/>
      <c r="U94" s="62"/>
      <c r="V94" s="62"/>
      <c r="W94" s="62"/>
      <c r="AO94" s="62"/>
      <c r="AX94" s="17">
        <f ca="1">IF(AY94="",0,IF($CX$97="",  4*(D94=Ergebnisse!D94) + 4*(F94=Ergebnisse!F94) + (SIGN(H94-J94)=SIGN(Ergebnisse!H94-Ergebnisse!J94))*7 + (H94=Ergebnisse!H94) + (J94=Ergebnisse!J94), INT(RAND()*18)))</f>
        <v>11</v>
      </c>
      <c r="AY94" s="17" t="str">
        <f ca="1">IF(Ergebnisse!K94=Ergebnisse!$B$98,Ergebnisse!K94,"")</f>
        <v>ok</v>
      </c>
      <c r="AZ94" s="206"/>
      <c r="BA94" s="2">
        <f>IF(Ergebnisse!BA94="","",Ergebnisse!BA94)</f>
        <v>103</v>
      </c>
      <c r="BB94" s="6">
        <f>IF(Ergebnisse!BB94="","",Ergebnisse!BB94)</f>
        <v>46221.708333333336</v>
      </c>
      <c r="BC94" s="6" t="str">
        <f>IF(Ergebnisse!BC94="","",Ergebnisse!BC94)</f>
        <v>Miami</v>
      </c>
      <c r="BD94" s="22" t="s">
        <v>66</v>
      </c>
      <c r="BE94" s="21"/>
      <c r="BF94" s="22" t="s">
        <v>201</v>
      </c>
      <c r="BG94" s="17"/>
      <c r="BH94" s="57">
        <v>0</v>
      </c>
      <c r="BI94" s="11" t="s">
        <v>25</v>
      </c>
      <c r="BJ94" s="57">
        <v>1</v>
      </c>
      <c r="BL94" s="1"/>
      <c r="BM94" s="3" t="s">
        <v>201</v>
      </c>
      <c r="BN94" s="1"/>
      <c r="BO94" s="1"/>
      <c r="BQ94" s="1"/>
      <c r="BR94" s="1"/>
      <c r="BS94" s="62"/>
      <c r="BT94" s="62"/>
      <c r="BU94" s="62"/>
      <c r="BV94" s="62"/>
      <c r="BW94" s="62"/>
      <c r="BX94" s="55"/>
      <c r="BZ94" s="55"/>
      <c r="CA94" s="55"/>
      <c r="CB94" s="55"/>
      <c r="CC94" s="55"/>
      <c r="CD94" s="206"/>
      <c r="CE94" s="206"/>
      <c r="CF94" s="204"/>
      <c r="CG94" s="62"/>
      <c r="CH94" s="62"/>
      <c r="CI94" s="55"/>
      <c r="CJ94" s="55"/>
      <c r="CK94" s="55"/>
      <c r="CL94" s="55"/>
      <c r="CM94" s="55"/>
      <c r="CN94" s="55"/>
      <c r="CO94" s="62"/>
      <c r="CP94" s="55"/>
      <c r="CQ94" s="55"/>
      <c r="CR94" s="55"/>
      <c r="CS94" s="55"/>
      <c r="CT94" s="55"/>
      <c r="CU94" s="55"/>
      <c r="CV94" s="55"/>
      <c r="CW94" s="55"/>
      <c r="CX94" s="17">
        <f ca="1">IF(CY94="",0,IF($CX$97="",  4*(BD94=Ergebnisse!BD94) + 4*(BF94=Ergebnisse!BF94) + (SIGN(BH94-BJ94)=SIGN(Ergebnisse!BH94-Ergebnisse!BJ94))*7 + (BH94=Ergebnisse!BH94) + (BJ94=Ergebnisse!BJ94), INT(RAND()*18)))</f>
        <v>0</v>
      </c>
      <c r="CY94" s="17" t="str">
        <f ca="1">IF(Ergebnisse!BK94=Ergebnisse!$B$98,Ergebnisse!BK94,"")</f>
        <v>ok</v>
      </c>
    </row>
    <row r="95" spans="1:103">
      <c r="H95" s="2"/>
      <c r="I95" s="2"/>
      <c r="J95" s="2"/>
      <c r="K95" s="2"/>
      <c r="M95" s="2"/>
      <c r="S95" s="2"/>
      <c r="T95" s="2"/>
      <c r="U95" s="2"/>
      <c r="V95" s="2"/>
      <c r="W95" s="2"/>
      <c r="X95" s="2"/>
      <c r="Y95" s="2"/>
      <c r="Z95" s="2"/>
      <c r="AA95" s="2"/>
      <c r="AB95" s="2"/>
      <c r="AC95" s="2"/>
      <c r="AD95" s="2"/>
      <c r="AI95" s="2"/>
      <c r="AJ95" s="2"/>
      <c r="AK95" s="2"/>
      <c r="AL95" s="2"/>
      <c r="AM95" s="2"/>
      <c r="AN95" s="2"/>
      <c r="AO95" s="2"/>
      <c r="AP95" s="2"/>
      <c r="AQ95" s="2"/>
      <c r="AR95" s="2"/>
      <c r="AS95" s="2"/>
      <c r="AT95" s="2"/>
      <c r="AU95" s="2"/>
      <c r="AV95" s="2"/>
      <c r="AZ95" s="206"/>
      <c r="BD95" s="10"/>
      <c r="BE95" s="16"/>
      <c r="BF95" s="10"/>
      <c r="BG95" s="10"/>
      <c r="BH95" s="23"/>
      <c r="BJ95" s="23"/>
      <c r="BK95" s="181"/>
      <c r="BM95" s="2"/>
      <c r="BQ95" s="1"/>
      <c r="BR95" s="1"/>
      <c r="BS95" s="62"/>
      <c r="BT95" s="62"/>
      <c r="BU95" s="62"/>
      <c r="BV95" s="62"/>
      <c r="BW95" s="62"/>
      <c r="BX95" s="55"/>
      <c r="BZ95" s="55"/>
      <c r="CA95" s="55"/>
      <c r="CB95" s="55"/>
      <c r="CC95" s="55"/>
      <c r="CD95" s="206"/>
      <c r="CE95" s="206"/>
      <c r="CF95" s="204"/>
      <c r="CG95" s="62"/>
      <c r="CH95" s="62"/>
      <c r="CI95" s="55"/>
      <c r="CJ95" s="55"/>
      <c r="CK95" s="55"/>
      <c r="CL95" s="55"/>
      <c r="CM95" s="55"/>
      <c r="CN95" s="55"/>
      <c r="CO95" s="62"/>
      <c r="CP95" s="55"/>
      <c r="CQ95" s="55"/>
      <c r="CR95" s="55"/>
      <c r="CS95" s="55"/>
      <c r="CT95" s="55"/>
      <c r="CU95" s="55"/>
      <c r="CV95" s="55"/>
      <c r="CW95" s="55"/>
    </row>
    <row r="96" spans="1:103" ht="15.75">
      <c r="H96" s="2"/>
      <c r="I96" s="2"/>
      <c r="J96" s="2"/>
      <c r="K96" s="2"/>
      <c r="M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78">
        <f ca="1">SUMIF(AY1:AY94,Ergebnisse!$B$98,AX1:AX94)</f>
        <v>195</v>
      </c>
      <c r="AZ96" s="2"/>
      <c r="BA96"/>
      <c r="BB96"/>
      <c r="BC96"/>
      <c r="BD96"/>
      <c r="BE96"/>
      <c r="BF96"/>
      <c r="BG96"/>
      <c r="BH96"/>
      <c r="BI96"/>
      <c r="BJ96"/>
      <c r="BK96"/>
      <c r="BL96"/>
      <c r="BM96"/>
      <c r="BN96"/>
      <c r="BO96"/>
      <c r="BP96"/>
      <c r="BQ96"/>
      <c r="BR96"/>
      <c r="BS96"/>
      <c r="BT96"/>
      <c r="BU96"/>
      <c r="BV96"/>
      <c r="BW96"/>
      <c r="BX96"/>
      <c r="BY96"/>
      <c r="BZ96"/>
      <c r="CA96"/>
      <c r="CB96"/>
      <c r="CC96"/>
      <c r="CD96"/>
      <c r="CE96"/>
      <c r="CF96"/>
      <c r="CG96" s="206"/>
      <c r="CH96" s="206"/>
      <c r="CI96" s="206"/>
      <c r="CJ96" s="206"/>
      <c r="CK96" s="206"/>
      <c r="CL96" s="206"/>
      <c r="CM96" s="206"/>
      <c r="CN96" s="206"/>
      <c r="CO96" s="206"/>
      <c r="CX96" s="78">
        <f ca="1">SUMIF(CY1:CY94,Ergebnisse!$B$98,CX1:CX94)</f>
        <v>104</v>
      </c>
    </row>
    <row r="97" spans="4:103" ht="13.5" thickBot="1">
      <c r="H97" s="8"/>
      <c r="I97" s="8"/>
      <c r="J97" s="8"/>
      <c r="K97" s="8"/>
      <c r="M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17">
        <f>IF(ISNA(Historie!B172),0,Historie!B172)</f>
        <v>0</v>
      </c>
      <c r="AY97" s="2" t="s">
        <v>200</v>
      </c>
      <c r="AZ97" s="2"/>
      <c r="BH97" s="8"/>
      <c r="BI97" s="8"/>
      <c r="BJ97" s="8"/>
      <c r="BK97" s="8"/>
      <c r="BM97" s="2"/>
      <c r="BY97" s="2"/>
      <c r="CY97" s="1" t="s">
        <v>85</v>
      </c>
    </row>
    <row r="98" spans="4:103" ht="17.25" thickTop="1" thickBot="1">
      <c r="D98" s="3"/>
      <c r="E98" s="3"/>
      <c r="F98" s="3"/>
      <c r="G98" s="82"/>
      <c r="H98" s="178"/>
      <c r="AD98" s="63"/>
      <c r="AX98" s="77">
        <f ca="1">AX96+CX96+AX97</f>
        <v>299</v>
      </c>
      <c r="AY98" s="1" t="s">
        <v>86</v>
      </c>
      <c r="BH98" s="8"/>
      <c r="BI98" s="8"/>
      <c r="BJ98" s="8"/>
      <c r="BK98" s="8"/>
      <c r="CD98" s="3"/>
      <c r="CY98" s="17"/>
    </row>
    <row r="99" spans="4:103" ht="13.5" thickTop="1">
      <c r="E99" s="3"/>
      <c r="F99" s="3"/>
      <c r="AD99" s="63"/>
      <c r="BH99" s="8"/>
      <c r="BI99" s="8"/>
      <c r="BJ99" s="8"/>
      <c r="BK99" s="8"/>
      <c r="CD99" s="3"/>
    </row>
    <row r="100" spans="4:103">
      <c r="E100" s="3"/>
      <c r="F100" s="3"/>
      <c r="AD100" s="63"/>
      <c r="BH100" s="8"/>
      <c r="BI100" s="8"/>
      <c r="BJ100" s="8"/>
      <c r="BK100" s="8"/>
      <c r="CD100" s="3"/>
    </row>
    <row r="104" spans="4:103">
      <c r="AX104" s="13"/>
      <c r="AY104" s="13"/>
      <c r="CY104" s="17"/>
    </row>
  </sheetData>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dimension ref="A1:DB104"/>
  <sheetViews>
    <sheetView topLeftCell="A61" workbookViewId="0">
      <selection activeCell="H98" sqref="H98"/>
    </sheetView>
  </sheetViews>
  <sheetFormatPr baseColWidth="10" defaultRowHeight="12.75"/>
  <cols>
    <col min="1" max="1" width="4.28515625" style="2" customWidth="1"/>
    <col min="2" max="2" width="15.28515625" style="2" customWidth="1"/>
    <col min="3" max="4" width="14.28515625" style="2" customWidth="1"/>
    <col min="5" max="5" width="2" style="2" customWidth="1"/>
    <col min="6" max="6" width="14.28515625" style="2" customWidth="1"/>
    <col min="7" max="7" width="1.5703125" style="2" customWidth="1"/>
    <col min="8" max="8" width="3.5703125" style="12" customWidth="1"/>
    <col min="9" max="9" width="1.5703125" style="12" customWidth="1"/>
    <col min="10" max="10" width="3.5703125" style="12" customWidth="1"/>
    <col min="11" max="11" width="3" style="7" customWidth="1"/>
    <col min="12" max="12" width="2" style="2" customWidth="1"/>
    <col min="13" max="13" width="14.28515625" style="9" customWidth="1"/>
    <col min="14" max="17" width="4.28515625" style="2" customWidth="1"/>
    <col min="18" max="18" width="3.85546875" style="2" customWidth="1"/>
    <col min="19" max="22" width="2" style="55" hidden="1" customWidth="1"/>
    <col min="23" max="23" width="1.7109375" style="55" hidden="1" customWidth="1"/>
    <col min="24" max="24" width="3" style="55" hidden="1" customWidth="1"/>
    <col min="25" max="25" width="14.28515625" style="55" hidden="1" customWidth="1"/>
    <col min="26" max="26" width="2.28515625" style="55" hidden="1" customWidth="1"/>
    <col min="27" max="27" width="3.28515625" style="55" hidden="1" customWidth="1"/>
    <col min="28" max="28" width="3" style="55" hidden="1" customWidth="1"/>
    <col min="29" max="29" width="4.42578125" style="55" hidden="1" customWidth="1"/>
    <col min="30" max="30" width="19.28515625" style="55" hidden="1" customWidth="1"/>
    <col min="31" max="31" width="3.140625" style="55" hidden="1" customWidth="1"/>
    <col min="32" max="32" width="3.5703125" style="55" hidden="1" customWidth="1"/>
    <col min="33" max="36" width="2.85546875" style="55" hidden="1" customWidth="1"/>
    <col min="37" max="37" width="3.140625" style="55" hidden="1" customWidth="1"/>
    <col min="38" max="38" width="6.42578125" style="55" hidden="1" customWidth="1"/>
    <col min="39" max="42" width="2.85546875" style="55" hidden="1" customWidth="1"/>
    <col min="43" max="43" width="7.7109375" style="55" hidden="1" customWidth="1"/>
    <col min="44" max="47" width="3" style="55" hidden="1" customWidth="1"/>
    <col min="48" max="48" width="3.140625" style="55" hidden="1" customWidth="1"/>
    <col min="49" max="49" width="11.42578125" style="55" hidden="1" customWidth="1"/>
    <col min="50" max="50" width="8.85546875" style="1" customWidth="1"/>
    <col min="51" max="51" width="7.140625" style="1" customWidth="1"/>
    <col min="52" max="52" width="11.42578125" style="55" customWidth="1"/>
    <col min="53" max="53" width="5" style="2" customWidth="1"/>
    <col min="54" max="54" width="15.28515625" style="2" customWidth="1"/>
    <col min="55" max="56" width="14.28515625" style="2" customWidth="1"/>
    <col min="57" max="57" width="2" style="2" customWidth="1"/>
    <col min="58" max="58" width="14.28515625" style="2" customWidth="1"/>
    <col min="59" max="59" width="1.5703125" style="2" customWidth="1"/>
    <col min="60" max="60" width="3.5703125" style="12" customWidth="1"/>
    <col min="61" max="61" width="1.5703125" style="12" customWidth="1"/>
    <col min="62" max="62" width="3.5703125" style="12" customWidth="1"/>
    <col min="63" max="63" width="3" style="7" customWidth="1"/>
    <col min="64" max="64" width="2" style="2" customWidth="1"/>
    <col min="65" max="65" width="14.28515625" style="9" customWidth="1"/>
    <col min="66" max="69" width="4.28515625" style="2" customWidth="1"/>
    <col min="70" max="70" width="3.85546875" style="2" customWidth="1"/>
    <col min="71" max="74" width="2" style="2" hidden="1" customWidth="1"/>
    <col min="75" max="75" width="1.7109375" style="2" hidden="1" customWidth="1"/>
    <col min="76" max="76" width="3" style="2" hidden="1" customWidth="1"/>
    <col min="77" max="77" width="14.28515625" style="55" hidden="1" customWidth="1"/>
    <col min="78" max="78" width="2.28515625" style="2" hidden="1" customWidth="1"/>
    <col min="79" max="79" width="3.28515625" style="2" hidden="1" customWidth="1"/>
    <col min="80" max="80" width="3" style="2" hidden="1" customWidth="1"/>
    <col min="81" max="81" width="4.42578125" style="2" hidden="1" customWidth="1"/>
    <col min="82" max="82" width="19.28515625" style="2" hidden="1" customWidth="1"/>
    <col min="83" max="100" width="5" style="2" hidden="1" customWidth="1"/>
    <col min="101" max="101" width="11.42578125" style="2" hidden="1" customWidth="1"/>
    <col min="102" max="102" width="8.85546875" style="17" customWidth="1"/>
    <col min="103" max="103" width="7.28515625" style="1" customWidth="1"/>
    <col min="104" max="104" width="11.42578125" style="2" customWidth="1"/>
    <col min="105" max="105" width="36.7109375" style="2" bestFit="1" customWidth="1"/>
    <col min="106" max="106" width="9.140625" style="2" customWidth="1"/>
    <col min="107" max="16384" width="11.42578125" style="2"/>
  </cols>
  <sheetData>
    <row r="1" spans="1:106" s="10" customFormat="1" ht="14.25" thickTop="1" thickBot="1">
      <c r="A1" s="10" t="s">
        <v>72</v>
      </c>
      <c r="B1" s="28" t="s">
        <v>0</v>
      </c>
      <c r="C1" s="26" t="s">
        <v>1</v>
      </c>
      <c r="D1" s="17" t="s">
        <v>2</v>
      </c>
      <c r="E1" s="14"/>
      <c r="F1" s="17"/>
      <c r="G1" s="172"/>
      <c r="H1" s="173"/>
      <c r="I1" s="19"/>
      <c r="J1" s="20"/>
      <c r="K1" s="180"/>
      <c r="L1" s="17"/>
      <c r="M1" s="35" t="s">
        <v>3</v>
      </c>
      <c r="N1" s="17" t="s">
        <v>4</v>
      </c>
      <c r="O1" s="17" t="s">
        <v>5</v>
      </c>
      <c r="P1" s="17" t="s">
        <v>6</v>
      </c>
      <c r="Q1" s="17" t="s">
        <v>7</v>
      </c>
      <c r="R1" s="17"/>
      <c r="S1" s="55"/>
      <c r="T1" s="55"/>
      <c r="U1" s="55"/>
      <c r="V1" s="55"/>
      <c r="W1" s="53"/>
      <c r="X1" s="53" t="s">
        <v>8</v>
      </c>
      <c r="Y1" s="56" t="s">
        <v>9</v>
      </c>
      <c r="Z1" s="53" t="s">
        <v>4</v>
      </c>
      <c r="AA1" s="53" t="s">
        <v>5</v>
      </c>
      <c r="AB1" s="53" t="s">
        <v>6</v>
      </c>
      <c r="AC1" s="53" t="s">
        <v>7</v>
      </c>
      <c r="AD1" s="53"/>
      <c r="AE1" s="19" t="s">
        <v>10</v>
      </c>
      <c r="AF1" s="40" t="s">
        <v>11</v>
      </c>
      <c r="AG1" s="40"/>
      <c r="AH1" s="40"/>
      <c r="AI1" s="40"/>
      <c r="AJ1" s="40" t="s">
        <v>12</v>
      </c>
      <c r="AK1" s="56" t="s">
        <v>13</v>
      </c>
      <c r="AL1" s="40" t="s">
        <v>14</v>
      </c>
      <c r="AM1" s="40"/>
      <c r="AN1" s="40"/>
      <c r="AO1" s="40"/>
      <c r="AP1" s="40" t="s">
        <v>15</v>
      </c>
      <c r="AQ1" s="40" t="s">
        <v>16</v>
      </c>
      <c r="AR1" s="40"/>
      <c r="AS1" s="40"/>
      <c r="AT1" s="40"/>
      <c r="AU1" s="58" t="s">
        <v>17</v>
      </c>
      <c r="AV1" s="56" t="s">
        <v>18</v>
      </c>
      <c r="AX1" s="28">
        <f ca="1">IF($CX$97="",2*COUNTIF(Ergebnisse!$D$63:'Ergebnisse'!$F$78,M7),2*INT(RAND()*2))</f>
        <v>2</v>
      </c>
      <c r="AY1" s="17" t="str">
        <f ca="1">IF(COUNTIF(Ergebnisse!K3:'Ergebnisse'!K8,Ergebnisse!$B$98)=6,"ok","")</f>
        <v>ok</v>
      </c>
      <c r="BA1" s="10" t="s">
        <v>72</v>
      </c>
      <c r="BB1" s="76" t="s">
        <v>0</v>
      </c>
      <c r="BC1" s="177" t="s">
        <v>40</v>
      </c>
      <c r="BD1" s="53" t="s">
        <v>2</v>
      </c>
      <c r="BE1" s="54"/>
      <c r="BF1" s="53"/>
      <c r="BG1" s="53"/>
      <c r="BH1" s="20"/>
      <c r="BI1" s="19"/>
      <c r="BJ1" s="20"/>
      <c r="BK1" s="180"/>
      <c r="BL1" s="17"/>
      <c r="BM1" s="35" t="s">
        <v>3</v>
      </c>
      <c r="BN1" s="17" t="s">
        <v>4</v>
      </c>
      <c r="BO1" s="17" t="s">
        <v>5</v>
      </c>
      <c r="BP1" s="17" t="s">
        <v>6</v>
      </c>
      <c r="BQ1" s="17" t="s">
        <v>7</v>
      </c>
      <c r="BR1" s="17"/>
      <c r="BS1" s="2"/>
      <c r="BT1" s="2"/>
      <c r="BU1" s="2"/>
      <c r="BV1" s="2"/>
      <c r="BW1" s="17"/>
      <c r="BX1" s="17" t="s">
        <v>8</v>
      </c>
      <c r="BY1" s="56" t="s">
        <v>9</v>
      </c>
      <c r="BZ1" s="17" t="s">
        <v>4</v>
      </c>
      <c r="CA1" s="17" t="s">
        <v>5</v>
      </c>
      <c r="CB1" s="17" t="s">
        <v>6</v>
      </c>
      <c r="CC1" s="17" t="s">
        <v>7</v>
      </c>
      <c r="CD1" s="17"/>
      <c r="CE1" s="180" t="s">
        <v>10</v>
      </c>
      <c r="CF1" s="15" t="s">
        <v>11</v>
      </c>
      <c r="CG1" s="15"/>
      <c r="CH1" s="15"/>
      <c r="CI1" s="15"/>
      <c r="CJ1" s="15" t="s">
        <v>12</v>
      </c>
      <c r="CK1" s="21" t="s">
        <v>13</v>
      </c>
      <c r="CL1" s="15" t="s">
        <v>14</v>
      </c>
      <c r="CM1" s="15"/>
      <c r="CN1" s="15"/>
      <c r="CO1" s="15"/>
      <c r="CP1" s="15" t="s">
        <v>15</v>
      </c>
      <c r="CQ1" s="15" t="s">
        <v>16</v>
      </c>
      <c r="CR1" s="15"/>
      <c r="CS1" s="15"/>
      <c r="CT1" s="15"/>
      <c r="CU1" s="16" t="s">
        <v>17</v>
      </c>
      <c r="CV1" s="21" t="s">
        <v>18</v>
      </c>
      <c r="CX1" s="76">
        <f ca="1">IF($CX$97="",2*COUNTIF(Ergebnisse!$D$63:'Ergebnisse'!$F$78,BM7),2*INT(RAND()*2))</f>
        <v>2</v>
      </c>
      <c r="CY1" s="17" t="str">
        <f ca="1">IF(COUNTIF(Ergebnisse!BK3:'Ergebnisse'!BK8,Ergebnisse!$B$98)=6,"ok","")</f>
        <v>ok</v>
      </c>
      <c r="DA1" s="163" t="s">
        <v>124</v>
      </c>
      <c r="DB1" s="164"/>
    </row>
    <row r="2" spans="1:106" ht="13.5" thickTop="1">
      <c r="B2" s="3" t="s">
        <v>22</v>
      </c>
      <c r="C2" s="3" t="s">
        <v>23</v>
      </c>
      <c r="L2" s="1"/>
      <c r="M2" s="9" t="str">
        <f ca="1">VLOOKUP(1,$X$2:$AC$5,2,FALSE)</f>
        <v>Tschechien</v>
      </c>
      <c r="N2" s="2">
        <f ca="1">VLOOKUP(1,$X$2:$AC$5,3,FALSE)</f>
        <v>9</v>
      </c>
      <c r="O2" s="2">
        <f ca="1">VLOOKUP(1,$X$2:$AC$5,4,FALSE)</f>
        <v>10</v>
      </c>
      <c r="P2" s="2">
        <f ca="1">VLOOKUP(1,$X$2:$AC$5,5,FALSE)</f>
        <v>5</v>
      </c>
      <c r="Q2" s="2">
        <f ca="1">VLOOKUP(1,$X$2:$AC$5,6,FALSE)</f>
        <v>5</v>
      </c>
      <c r="S2" s="60"/>
      <c r="T2" s="61">
        <f ca="1">IF(H3="",0,IF(K3=$B$98,IF(H3&gt;J3,3,IF(H3=J3,1,0)),0))</f>
        <v>3</v>
      </c>
      <c r="U2" s="61">
        <f ca="1">IF(H5="",0,IF(K5=$B$98,IF(H5&gt;J5,3,IF(H5=J5,1,0)),0))</f>
        <v>0</v>
      </c>
      <c r="V2" s="61">
        <f ca="1">IF(J7="",0,IF(K8=$B$98,IF(H7&lt;J7,3,IF(H7=J7,1,0)),0))</f>
        <v>0</v>
      </c>
      <c r="W2" s="62"/>
      <c r="X2" s="62">
        <f ca="1">RANK(AD2,$AD$2:$AD$5)</f>
        <v>3</v>
      </c>
      <c r="Y2" s="216" t="s">
        <v>201</v>
      </c>
      <c r="Z2" s="62">
        <f ca="1">SUM(S2:V2)</f>
        <v>3</v>
      </c>
      <c r="AA2" s="62">
        <f ca="1">SUM(S6:V6)</f>
        <v>3</v>
      </c>
      <c r="AB2" s="62">
        <f ca="1">SUM(S6:S9)</f>
        <v>5</v>
      </c>
      <c r="AC2" s="62">
        <f ca="1">AA2-AB2</f>
        <v>-2</v>
      </c>
      <c r="AD2" s="24">
        <f ca="1">IF(P$8="",(((((((AE2*10+Z2)*100+AC2)*100+AA2)*10+AK2)*10+AJ2)*100+AP2)*100+AU2)*10+AV2,(((((((AE2*10+Z2)*10+AK2)*10+AJ2)*100+AP2)*100+AU2)*100+AC2)*100+AA2)*10+AV2)</f>
        <v>299999998034</v>
      </c>
      <c r="AE2" s="203"/>
      <c r="AF2" s="217"/>
      <c r="AG2" s="217">
        <f ca="1">IF($Z2=$Z3,$T2-$S3,0)</f>
        <v>0</v>
      </c>
      <c r="AH2" s="217">
        <f ca="1">IF($Z2=$Z4,$U2-$S4,0)</f>
        <v>0</v>
      </c>
      <c r="AI2" s="217">
        <f ca="1">IF($Z2=$Z5,$V2-$S5,0)</f>
        <v>0</v>
      </c>
      <c r="AJ2" s="217">
        <f ca="1">SUM(AF2:AI2)</f>
        <v>0</v>
      </c>
      <c r="AK2" s="203"/>
      <c r="AL2" s="217"/>
      <c r="AM2" s="217">
        <f ca="1">IF($Z2=$Z3,$T6-$S7,0)</f>
        <v>0</v>
      </c>
      <c r="AN2" s="217">
        <f ca="1">IF($Z2=$Z4,$U6-$S8,0)</f>
        <v>0</v>
      </c>
      <c r="AO2" s="217">
        <f ca="1">IF($Z2=$Z5,$V6-$S9,0)</f>
        <v>0</v>
      </c>
      <c r="AP2" s="217">
        <f ca="1">SUM(AL2:AO2)</f>
        <v>0</v>
      </c>
      <c r="AQ2" s="217"/>
      <c r="AR2" s="217">
        <f ca="1">IF($Z2=$Z3,$T6,0)</f>
        <v>0</v>
      </c>
      <c r="AS2" s="217">
        <f ca="1">IF($Z2=$Z4,$U6,0)</f>
        <v>0</v>
      </c>
      <c r="AT2" s="217">
        <f ca="1">IF($Z2=$Z5,$V6,0)</f>
        <v>0</v>
      </c>
      <c r="AU2" s="217">
        <f ca="1">SUM(AQ2:AT2)</f>
        <v>0</v>
      </c>
      <c r="AV2" s="203">
        <v>4</v>
      </c>
      <c r="AW2" s="2"/>
      <c r="AX2" s="28">
        <f ca="1">IF($CX$97="",2*COUNTIF(Ergebnisse!$D$63:'Ergebnisse'!$F$78,M8),2*INT(RAND()*2))</f>
        <v>2</v>
      </c>
      <c r="AY2" s="17" t="str">
        <f ca="1">IF(COUNTIF(Ergebnisse!K3:'Ergebnisse'!K8,Ergebnisse!$B$98)=6,"ok","")</f>
        <v>ok</v>
      </c>
      <c r="AZ2" s="2"/>
      <c r="BB2" s="3" t="s">
        <v>22</v>
      </c>
      <c r="BC2" s="3" t="s">
        <v>23</v>
      </c>
      <c r="BD2" s="55"/>
      <c r="BE2" s="55"/>
      <c r="BF2" s="55"/>
      <c r="BG2" s="55"/>
      <c r="BL2" s="1"/>
      <c r="BM2" s="9" t="str">
        <f ca="1">VLOOKUP(1,$BX$2:$CC$5,2,FALSE)</f>
        <v>Australien</v>
      </c>
      <c r="BN2" s="2">
        <f ca="1">VLOOKUP(1,$BX$2:$CC$5,3,FALSE)</f>
        <v>6</v>
      </c>
      <c r="BO2" s="2">
        <f ca="1">VLOOKUP(1,$BX$2:$CC$5,4,FALSE)</f>
        <v>9</v>
      </c>
      <c r="BP2" s="2">
        <f ca="1">VLOOKUP(1,$BX$2:$CC$5,5,FALSE)</f>
        <v>7</v>
      </c>
      <c r="BQ2" s="2">
        <f ca="1">VLOOKUP(1,$BX$2:$CC$5,6,FALSE)</f>
        <v>2</v>
      </c>
      <c r="BS2" s="60"/>
      <c r="BT2" s="61">
        <f ca="1">IF(BH3="",0,IF(BK3=$B$98,IF(BH3&gt;BJ3,3,IF(BH3=BJ3,1,0)),0))</f>
        <v>0</v>
      </c>
      <c r="BU2" s="61">
        <f ca="1">IF(BH5="",0,IF(BK5=$B$98,IF(BH5&gt;BJ5,3,IF(BH5=BJ5,1,0)),0))</f>
        <v>0</v>
      </c>
      <c r="BV2" s="61">
        <f ca="1">IF(BJ7="",0,IF(BK8=$B$98,IF(BH7&lt;BJ7,3,IF(BH7=BJ7,1,0)),0))</f>
        <v>3</v>
      </c>
      <c r="BW2" s="1"/>
      <c r="BX2" s="1">
        <f ca="1">RANK(CD2,$CD$2:$CD$5)</f>
        <v>4</v>
      </c>
      <c r="BY2" s="40" t="s">
        <v>202</v>
      </c>
      <c r="BZ2" s="1">
        <f ca="1">SUM(BS2:BV2)</f>
        <v>3</v>
      </c>
      <c r="CA2" s="1">
        <f ca="1">SUM(BS6:BV6)</f>
        <v>9</v>
      </c>
      <c r="CB2" s="1">
        <f ca="1">SUM(BS6:BS9)</f>
        <v>7</v>
      </c>
      <c r="CC2" s="1">
        <f ca="1">CA2-CB2</f>
        <v>2</v>
      </c>
      <c r="CD2" s="24">
        <f ca="1">IF(BP$8="",(((((((CE2*10+BZ2)*100+CC2)*100+CA2)*10+CK2)*10+CJ2)*100+CP2)*100+CU2)*10+CV2,(((((((CE2*10+BZ2)*10+CK2)*10+CJ2)*100+CP2)*100+CU2)*100+CC2)*100+CA2)*10+CV2)</f>
        <v>300000002094</v>
      </c>
      <c r="CE2" s="207"/>
      <c r="CF2" s="218"/>
      <c r="CG2" s="218">
        <f ca="1">IF($BZ2=$BZ3,$BT2-$BS3,0)</f>
        <v>0</v>
      </c>
      <c r="CH2" s="218">
        <f ca="1">IF($BZ2=$BZ4,$BU2-$BS4,0)</f>
        <v>0</v>
      </c>
      <c r="CI2" s="218">
        <f ca="1">IF($BZ2=$BZ5,$BV2-$BS5,0)</f>
        <v>0</v>
      </c>
      <c r="CJ2" s="218">
        <f ca="1">SUM(CF2:CI2)</f>
        <v>0</v>
      </c>
      <c r="CK2" s="207"/>
      <c r="CL2" s="218"/>
      <c r="CM2" s="218">
        <f ca="1">IF($BZ2=$BZ3,$BT6-$BS7,0)</f>
        <v>0</v>
      </c>
      <c r="CN2" s="218">
        <f ca="1">IF($BZ2=$BZ4,$BU6-$BS8,0)</f>
        <v>0</v>
      </c>
      <c r="CO2" s="218">
        <f ca="1">IF($BZ2=$BZ5,$BV6-$BS9,0)</f>
        <v>0</v>
      </c>
      <c r="CP2" s="218">
        <f ca="1">SUM(CL2:CO2)</f>
        <v>0</v>
      </c>
      <c r="CQ2" s="218"/>
      <c r="CR2" s="218">
        <f ca="1">IF($BZ2=$BZ3,$BT6,0)</f>
        <v>0</v>
      </c>
      <c r="CS2" s="218">
        <f ca="1">IF($BZ2=$BZ4,$BU6,0)</f>
        <v>0</v>
      </c>
      <c r="CT2" s="218">
        <f ca="1">IF($BZ2=$BZ5,$BV6,0)</f>
        <v>0</v>
      </c>
      <c r="CU2" s="218">
        <f ca="1">SUM(CQ2:CT2)</f>
        <v>0</v>
      </c>
      <c r="CV2" s="207">
        <v>4</v>
      </c>
      <c r="CX2" s="76">
        <f ca="1">IF($CX$97="",2*COUNTIF(Ergebnisse!$D$63:'Ergebnisse'!$F$78,BM8),2*INT(RAND()*2))</f>
        <v>0</v>
      </c>
      <c r="CY2" s="17" t="str">
        <f ca="1">IF(COUNTIF(Ergebnisse!BK3:'Ergebnisse'!BK8,Ergebnisse!$B$98)=6,"ok","")</f>
        <v>ok</v>
      </c>
      <c r="DA2" s="163"/>
      <c r="DB2" s="164"/>
    </row>
    <row r="3" spans="1:106">
      <c r="A3" s="2">
        <v>1</v>
      </c>
      <c r="B3" s="6">
        <f>VLOOKUP(A3,Spiele!$A$1:$L$116,2,FALSE)</f>
        <v>46184.583333333336</v>
      </c>
      <c r="C3" s="6" t="str">
        <f>VLOOKUP(A3,Spiele!$A$1:$L$116,9,FALSE)</f>
        <v>Mexico City</v>
      </c>
      <c r="D3" s="56" t="str">
        <f>Y2</f>
        <v>Mexiko</v>
      </c>
      <c r="E3" s="40" t="s">
        <v>24</v>
      </c>
      <c r="F3" s="56" t="str">
        <f>Y3</f>
        <v>Südafrika</v>
      </c>
      <c r="G3" s="53"/>
      <c r="H3" s="107">
        <f t="shared" ref="H3:H8" ca="1" si="0">IF($B$99="",2,INT(RAND()*5)+INT(RAND()*3)*INT(RAND()*2))</f>
        <v>2</v>
      </c>
      <c r="I3" s="11" t="s">
        <v>25</v>
      </c>
      <c r="J3" s="107">
        <f t="shared" ref="J3:J8" ca="1" si="1">IF($B$99="",1,INT(RAND()*5)+INT(RAND()*3)*INT(RAND()*2))</f>
        <v>1</v>
      </c>
      <c r="K3" s="7" t="s">
        <v>26</v>
      </c>
      <c r="L3" s="1"/>
      <c r="M3" s="9" t="str">
        <f ca="1">VLOOKUP(2,$X$2:$AC$5,2,FALSE)</f>
        <v>Südkorea</v>
      </c>
      <c r="N3" s="2">
        <f ca="1">VLOOKUP(2,$X$2:$AC$5,3,FALSE)</f>
        <v>6</v>
      </c>
      <c r="O3" s="2">
        <f ca="1">VLOOKUP(2,$X$2:$AC$5,4,FALSE)</f>
        <v>9</v>
      </c>
      <c r="P3" s="2">
        <f ca="1">VLOOKUP(2,$X$2:$AC$5,5,FALSE)</f>
        <v>7</v>
      </c>
      <c r="Q3" s="2">
        <f ca="1">VLOOKUP(2,$X$2:$AC$5,6,FALSE)</f>
        <v>2</v>
      </c>
      <c r="S3" s="61">
        <f ca="1">IF(J3="",0,IF(K3=$B$98,IF(H3&lt;J3,3,IF(H3=J3,1,0)),0))</f>
        <v>0</v>
      </c>
      <c r="T3" s="60"/>
      <c r="U3" s="61">
        <f ca="1">IF(H8="",0,IF(K7=$B$98,IF(H8&gt;J8,3,IF(H8=J8,1,0)),0))</f>
        <v>0</v>
      </c>
      <c r="V3" s="61">
        <f ca="1">IF(J6="",0,IF(K6=$B$98,IF(J6&gt;H6,3,IF(J6=H6,1,0)),0))</f>
        <v>0</v>
      </c>
      <c r="W3" s="62"/>
      <c r="X3" s="62">
        <f ca="1">RANK(AD3,$AD$2:$AD$5)</f>
        <v>4</v>
      </c>
      <c r="Y3" s="216" t="s">
        <v>203</v>
      </c>
      <c r="Z3" s="62">
        <f ca="1">SUM(S3:V3)</f>
        <v>0</v>
      </c>
      <c r="AA3" s="62">
        <f ca="1">SUM(S7:V7)</f>
        <v>5</v>
      </c>
      <c r="AB3" s="62">
        <f ca="1">SUM(T6:T9)</f>
        <v>10</v>
      </c>
      <c r="AC3" s="62">
        <f ca="1">AA3-AB3</f>
        <v>-5</v>
      </c>
      <c r="AD3" s="24">
        <f ca="1">IF(P$8="",(((((((AE3*10+Z3)*100+AC3)*100+AA3)*10+AK3)*10+AJ3)*100+AP3)*100+AU3)*10+AV3,(((((((AE3*10+Z3)*10+AK3)*10+AJ3)*100+AP3)*100+AU3)*100+AC3)*100+AA3)*10+AV3)</f>
        <v>-4947</v>
      </c>
      <c r="AE3" s="203"/>
      <c r="AF3" s="217">
        <f ca="1">IF($Z3=$Z2,$S3-$T2,0)</f>
        <v>0</v>
      </c>
      <c r="AG3" s="217"/>
      <c r="AH3" s="217">
        <f ca="1">IF($Z3=$Z4,$U3-$T4,0)</f>
        <v>0</v>
      </c>
      <c r="AI3" s="217">
        <f ca="1">IF($Z3=$Z5,$V3-$T5,0)</f>
        <v>0</v>
      </c>
      <c r="AJ3" s="217">
        <f ca="1">SUM(AF3:AI3)</f>
        <v>0</v>
      </c>
      <c r="AK3" s="203"/>
      <c r="AL3" s="217">
        <f ca="1">IF($Z3=$Z2,$S7-$T6,0)</f>
        <v>0</v>
      </c>
      <c r="AM3" s="217"/>
      <c r="AN3" s="217">
        <f ca="1">IF($Z3=$Z4,$U7-$T8,0)</f>
        <v>0</v>
      </c>
      <c r="AO3" s="217">
        <f ca="1">IF($Z3=$Z5,$V7-$T9,0)</f>
        <v>0</v>
      </c>
      <c r="AP3" s="217">
        <f ca="1">SUM(AL3:AO3)</f>
        <v>0</v>
      </c>
      <c r="AQ3" s="217">
        <f ca="1">IF($Z3=$Z2,$S7,0)</f>
        <v>0</v>
      </c>
      <c r="AR3" s="217"/>
      <c r="AS3" s="217">
        <f ca="1">IF($Z3=$Z4,$U7,0)</f>
        <v>0</v>
      </c>
      <c r="AT3" s="217">
        <f ca="1">IF($Z3=$Z5,$V7,0)</f>
        <v>0</v>
      </c>
      <c r="AU3" s="217">
        <f ca="1">SUM(AQ3:AT3)</f>
        <v>0</v>
      </c>
      <c r="AV3" s="203">
        <v>3</v>
      </c>
      <c r="AW3" s="2"/>
      <c r="AX3" s="17">
        <f ca="1">IF($CX$97="",IF(OR(Ergebnisse!H3="",Ergebnisse!J3=""),0,IF(AND(H3=Ergebnisse!H3,J3=Ergebnisse!J3),7,MIN(7,(H3-J3=Ergebnisse!H3-Ergebnisse!J3)*4+(AND(H3-J3&lt;&gt;Ergebnisse!H3-Ergebnisse!J3,SIGN(H3-J3)=SIGN(Ergebnisse!H3-Ergebnisse!J3)))*2+(H3=Ergebnisse!H3)+(J3=Ergebnisse!J3)))),INT(RAND()*8))</f>
        <v>4</v>
      </c>
      <c r="AY3" s="17" t="str">
        <f ca="1">IF(Ergebnisse!K3=Ergebnisse!$B$98,Ergebnisse!K3,"")</f>
        <v>ok</v>
      </c>
      <c r="AZ3" s="2"/>
      <c r="BA3" s="2">
        <v>4</v>
      </c>
      <c r="BB3" s="6">
        <f>VLOOKUP(BA3,Spiele!$A$1:$L$116,2,FALSE)</f>
        <v>46185.75</v>
      </c>
      <c r="BC3" s="6" t="str">
        <f>VLOOKUP(BA3,Spiele!$A$1:$L$116,9,FALSE)</f>
        <v>Los Angeles</v>
      </c>
      <c r="BD3" s="56" t="str">
        <f>BY2</f>
        <v>USA</v>
      </c>
      <c r="BE3" s="40" t="s">
        <v>24</v>
      </c>
      <c r="BF3" s="56" t="str">
        <f>BY3</f>
        <v>Paraguay</v>
      </c>
      <c r="BG3" s="53"/>
      <c r="BH3" s="107">
        <f t="shared" ref="BH3:BH8" ca="1" si="2">IF($B$99="",2,INT(RAND()*5)+INT(RAND()*3)*INT(RAND()*2))</f>
        <v>3</v>
      </c>
      <c r="BI3" s="11" t="s">
        <v>25</v>
      </c>
      <c r="BJ3" s="107">
        <f t="shared" ref="BJ3:BJ8" ca="1" si="3">IF($B$99="",1,INT(RAND()*5)+INT(RAND()*3)*INT(RAND()*2))</f>
        <v>4</v>
      </c>
      <c r="BK3" s="7" t="s">
        <v>26</v>
      </c>
      <c r="BL3" s="1"/>
      <c r="BM3" s="9" t="str">
        <f ca="1">VLOOKUP(2,$BX$2:$CC$5,2,FALSE)</f>
        <v>Paraguay</v>
      </c>
      <c r="BN3" s="2">
        <f ca="1">VLOOKUP(2,$BX$2:$CC$5,3,FALSE)</f>
        <v>4</v>
      </c>
      <c r="BO3" s="2">
        <f ca="1">VLOOKUP(2,$BX$2:$CC$5,4,FALSE)</f>
        <v>12</v>
      </c>
      <c r="BP3" s="2">
        <f ca="1">VLOOKUP(2,$BX$2:$CC$5,5,FALSE)</f>
        <v>13</v>
      </c>
      <c r="BQ3" s="2">
        <f ca="1">VLOOKUP(2,$BX$2:$CC$5,6,FALSE)</f>
        <v>-1</v>
      </c>
      <c r="BS3" s="61">
        <f ca="1">IF(BJ3="",0,IF(BK3=$B$98,IF(BH3&lt;BJ3,3,IF(BH3=BJ3,1,0)),0))</f>
        <v>3</v>
      </c>
      <c r="BT3" s="60"/>
      <c r="BU3" s="61">
        <f ca="1">IF(BH8="",0,IF(BK7=$B$98,IF(BH8&gt;BJ8,3,IF(BH8=BJ8,1,0)),0))</f>
        <v>0</v>
      </c>
      <c r="BV3" s="61">
        <f ca="1">IF(BJ6="",0,IF(BK6=$B$98,IF(BJ6&gt;BH6,3,IF(BJ6=BH6,1,0)),0))</f>
        <v>1</v>
      </c>
      <c r="BW3" s="1"/>
      <c r="BX3" s="1">
        <f ca="1">RANK(CD3,$CD$2:$CD$5)</f>
        <v>2</v>
      </c>
      <c r="BY3" s="40" t="s">
        <v>204</v>
      </c>
      <c r="BZ3" s="1">
        <f ca="1">SUM(BS3:BV3)</f>
        <v>4</v>
      </c>
      <c r="CA3" s="1">
        <f ca="1">SUM(BS7:BV7)</f>
        <v>12</v>
      </c>
      <c r="CB3" s="1">
        <f ca="1">SUM(BT6:BT9)</f>
        <v>13</v>
      </c>
      <c r="CC3" s="1">
        <f ca="1">CA3-CB3</f>
        <v>-1</v>
      </c>
      <c r="CD3" s="24">
        <f ca="1">IF(BP$8="",(((((((CE3*10+BZ3)*100+CC3)*100+CA3)*10+CK3)*10+CJ3)*100+CP3)*100+CU3)*10+CV3,(((((((CE3*10+BZ3)*10+CK3)*10+CJ3)*100+CP3)*100+CU3)*100+CC3)*100+CA3)*10+CV3)</f>
        <v>400000399123</v>
      </c>
      <c r="CE3" s="207"/>
      <c r="CF3" s="218">
        <f ca="1">IF($BZ3=$BZ2,$BS3-$BT2,0)</f>
        <v>0</v>
      </c>
      <c r="CG3" s="218"/>
      <c r="CH3" s="218">
        <f ca="1">IF($BZ3=$BZ4,$BU3-$BT4,0)</f>
        <v>0</v>
      </c>
      <c r="CI3" s="218">
        <f ca="1">IF($BZ3=$BZ5,$BV3-$BT5,0)</f>
        <v>0</v>
      </c>
      <c r="CJ3" s="218">
        <f ca="1">SUM(CF3:CI3)</f>
        <v>0</v>
      </c>
      <c r="CK3" s="207"/>
      <c r="CL3" s="218">
        <f ca="1">IF($BZ3=$BZ2,$BS7-$BT6,0)</f>
        <v>0</v>
      </c>
      <c r="CM3" s="218"/>
      <c r="CN3" s="218">
        <f ca="1">IF($BZ3=$BZ4,$BU7-$BT8,0)</f>
        <v>0</v>
      </c>
      <c r="CO3" s="218">
        <f ca="1">IF($BZ3=$BZ5,$BV7-$BT9,0)</f>
        <v>0</v>
      </c>
      <c r="CP3" s="218">
        <f ca="1">SUM(CL3:CO3)</f>
        <v>0</v>
      </c>
      <c r="CQ3" s="218">
        <f ca="1">IF($BZ3=$BZ2,$BS7,0)</f>
        <v>0</v>
      </c>
      <c r="CR3" s="218"/>
      <c r="CS3" s="218">
        <f ca="1">IF($BZ3=$BZ4,$BU7,0)</f>
        <v>0</v>
      </c>
      <c r="CT3" s="218">
        <f ca="1">IF($BZ3=$BZ5,$BV7,0)</f>
        <v>4</v>
      </c>
      <c r="CU3" s="218">
        <f ca="1">SUM(CQ3:CT3)</f>
        <v>4</v>
      </c>
      <c r="CV3" s="207">
        <v>3</v>
      </c>
      <c r="CX3" s="17">
        <f ca="1">IF($CX$97="",IF(OR(Ergebnisse!BH3="",Ergebnisse!BJ3=""),0,IF(AND(BH3=Ergebnisse!BH3,BJ3=Ergebnisse!BJ3),7,MIN(7,(BH3-BJ3=Ergebnisse!BH3-Ergebnisse!BJ3)*4+(AND(BH3-BJ3&lt;&gt;Ergebnisse!BH3-Ergebnisse!BJ3,SIGN(BH3-BJ3)=SIGN(Ergebnisse!BH3-Ergebnisse!BJ3)))*2+(BH3=Ergebnisse!BH3)+(BJ3=Ergebnisse!BJ3)))),INT(RAND()*8))</f>
        <v>0</v>
      </c>
      <c r="CY3" s="17" t="str">
        <f ca="1">IF(Ergebnisse!BK3=Ergebnisse!$B$98,Ergebnisse!BK3,"")</f>
        <v>ok</v>
      </c>
      <c r="DA3" s="165" t="s">
        <v>73</v>
      </c>
      <c r="DB3" s="166">
        <f>DB7*DB4</f>
        <v>504</v>
      </c>
    </row>
    <row r="4" spans="1:106">
      <c r="A4" s="2">
        <v>2</v>
      </c>
      <c r="B4" s="6">
        <f>VLOOKUP(A4,Spiele!$A$1:$L$116,2,FALSE)</f>
        <v>46184.875</v>
      </c>
      <c r="C4" s="6" t="str">
        <f>VLOOKUP(A4,Spiele!$A$1:$L$116,9,FALSE)</f>
        <v>Guadalajara</v>
      </c>
      <c r="D4" s="56" t="str">
        <f>Y4</f>
        <v>Südkorea</v>
      </c>
      <c r="E4" s="40" t="s">
        <v>24</v>
      </c>
      <c r="F4" s="56" t="str">
        <f>Y5</f>
        <v>Tschechien</v>
      </c>
      <c r="G4" s="53"/>
      <c r="H4" s="107">
        <f t="shared" ca="1" si="0"/>
        <v>3</v>
      </c>
      <c r="I4" s="11" t="s">
        <v>25</v>
      </c>
      <c r="J4" s="107">
        <f t="shared" ca="1" si="1"/>
        <v>4</v>
      </c>
      <c r="K4" s="7" t="s">
        <v>26</v>
      </c>
      <c r="L4" s="1"/>
      <c r="M4" s="9" t="str">
        <f ca="1">VLOOKUP(3,$X$2:$AC$5,2,FALSE)</f>
        <v>Mexiko</v>
      </c>
      <c r="N4" s="2">
        <f ca="1">VLOOKUP(3,$X$2:$AC$5,3,FALSE)</f>
        <v>3</v>
      </c>
      <c r="O4" s="2">
        <f ca="1">VLOOKUP(3,$X$2:$AC$5,4,FALSE)</f>
        <v>3</v>
      </c>
      <c r="P4" s="2">
        <f ca="1">VLOOKUP(3,$X$2:$AC$5,5,FALSE)</f>
        <v>5</v>
      </c>
      <c r="Q4" s="2">
        <f ca="1">VLOOKUP(3,$X$2:$AC$5,6,FALSE)</f>
        <v>-2</v>
      </c>
      <c r="S4" s="61">
        <f ca="1">IF(J5="",0,IF(K5=$B$98,IF(H5&lt;J5,3,IF(H5=J5,1,0)),0))</f>
        <v>3</v>
      </c>
      <c r="T4" s="61">
        <f ca="1">IF(J8="",0,IF(K7=$B$98,IF(H8&lt;J8,3,IF(H8=J8,1,0)),0))</f>
        <v>3</v>
      </c>
      <c r="U4" s="60"/>
      <c r="V4" s="61">
        <f ca="1">IF(H4="",0,IF(K4=$B$98,IF(H4&gt;J4,3,IF(H4=J4,1,0)),0))</f>
        <v>0</v>
      </c>
      <c r="W4" s="62"/>
      <c r="X4" s="62">
        <f ca="1">RANK(AD4,$AD$2:$AD$5)</f>
        <v>2</v>
      </c>
      <c r="Y4" s="216" t="s">
        <v>205</v>
      </c>
      <c r="Z4" s="62">
        <f ca="1">SUM(S4:V4)</f>
        <v>6</v>
      </c>
      <c r="AA4" s="62">
        <f ca="1">SUM(S8:V8)</f>
        <v>9</v>
      </c>
      <c r="AB4" s="62">
        <f ca="1">SUM(U6:U9)</f>
        <v>7</v>
      </c>
      <c r="AC4" s="62">
        <f ca="1">AA4-AB4</f>
        <v>2</v>
      </c>
      <c r="AD4" s="24">
        <f ca="1">IF(P$8="",(((((((AE4*10+Z4)*100+AC4)*100+AA4)*10+AK4)*10+AJ4)*100+AP4)*100+AU4)*10+AV4,(((((((AE4*10+Z4)*10+AK4)*10+AJ4)*100+AP4)*100+AU4)*100+AC4)*100+AA4)*10+AV4)</f>
        <v>600000002092</v>
      </c>
      <c r="AE4" s="203"/>
      <c r="AF4" s="217">
        <f ca="1">IF($Z4=$Z2,$S4-$U2,0)</f>
        <v>0</v>
      </c>
      <c r="AG4" s="217">
        <f ca="1">IF($Z4=$Z3,$T4-$U3,0)</f>
        <v>0</v>
      </c>
      <c r="AH4" s="217"/>
      <c r="AI4" s="217">
        <f ca="1">IF($Z4=$Z5,$V4-$U5,0)</f>
        <v>0</v>
      </c>
      <c r="AJ4" s="217">
        <f ca="1">SUM(AF4:AI4)</f>
        <v>0</v>
      </c>
      <c r="AK4" s="203"/>
      <c r="AL4" s="217">
        <f ca="1">IF($Z4=$Z2,$S8-$U6,0)</f>
        <v>0</v>
      </c>
      <c r="AM4" s="217">
        <f ca="1">IF($Z4=$Z3,$T8-$U7,0)</f>
        <v>0</v>
      </c>
      <c r="AN4" s="217"/>
      <c r="AO4" s="217">
        <f ca="1">IF($Z4=$Z5,$V8-$U9,0)</f>
        <v>0</v>
      </c>
      <c r="AP4" s="217">
        <f ca="1">SUM(AL4:AO4)</f>
        <v>0</v>
      </c>
      <c r="AQ4" s="217">
        <f ca="1">IF($Z4=$Z2,$S8,0)</f>
        <v>0</v>
      </c>
      <c r="AR4" s="217">
        <f ca="1">IF($Z4=$Z3,$T8,0)</f>
        <v>0</v>
      </c>
      <c r="AS4" s="217"/>
      <c r="AT4" s="217">
        <f ca="1">IF($Z4=$Z5,$V8,0)</f>
        <v>0</v>
      </c>
      <c r="AU4" s="217">
        <f ca="1">SUM(AQ4:AT4)</f>
        <v>0</v>
      </c>
      <c r="AV4" s="203">
        <v>2</v>
      </c>
      <c r="AW4" s="2"/>
      <c r="AX4" s="17">
        <f ca="1">IF($CX$97="",IF(OR(Ergebnisse!H4="",Ergebnisse!J4=""),0,IF(AND(H4=Ergebnisse!H4,J4=Ergebnisse!J4),7,MIN(7,(H4-J4=Ergebnisse!H4-Ergebnisse!J4)*4+(AND(H4-J4&lt;&gt;Ergebnisse!H4-Ergebnisse!J4,SIGN(H4-J4)=SIGN(Ergebnisse!H4-Ergebnisse!J4)))*2+(H4=Ergebnisse!H4)+(J4=Ergebnisse!J4)))),INT(RAND()*8))</f>
        <v>7</v>
      </c>
      <c r="AY4" s="17" t="str">
        <f ca="1">IF(Ergebnisse!K4=Ergebnisse!$B$98,Ergebnisse!K4,"")</f>
        <v>ok</v>
      </c>
      <c r="AZ4" s="2"/>
      <c r="BA4" s="2">
        <v>6</v>
      </c>
      <c r="BB4" s="6">
        <f>VLOOKUP(BA4,Spiele!$A$1:$L$116,2,FALSE)</f>
        <v>46186.875</v>
      </c>
      <c r="BC4" s="6" t="str">
        <f>VLOOKUP(BA4,Spiele!$A$1:$L$116,9,FALSE)</f>
        <v>Vancouver</v>
      </c>
      <c r="BD4" s="56" t="str">
        <f>BY4</f>
        <v>Australien</v>
      </c>
      <c r="BE4" s="40" t="s">
        <v>24</v>
      </c>
      <c r="BF4" s="56" t="str">
        <f>BY5</f>
        <v>Türkei</v>
      </c>
      <c r="BG4" s="53"/>
      <c r="BH4" s="107">
        <f t="shared" ca="1" si="2"/>
        <v>0</v>
      </c>
      <c r="BI4" s="11" t="s">
        <v>25</v>
      </c>
      <c r="BJ4" s="107">
        <f t="shared" ca="1" si="3"/>
        <v>1</v>
      </c>
      <c r="BK4" s="7" t="s">
        <v>26</v>
      </c>
      <c r="BL4" s="1"/>
      <c r="BM4" s="9" t="str">
        <f ca="1">VLOOKUP(3,$BX$2:$CC$5,2,FALSE)</f>
        <v>Türkei</v>
      </c>
      <c r="BN4" s="2">
        <f ca="1">VLOOKUP(3,$BX$2:$CC$5,3,FALSE)</f>
        <v>4</v>
      </c>
      <c r="BO4" s="2">
        <f ca="1">VLOOKUP(3,$BX$2:$CC$5,4,FALSE)</f>
        <v>5</v>
      </c>
      <c r="BP4" s="2">
        <f ca="1">VLOOKUP(3,$BX$2:$CC$5,5,FALSE)</f>
        <v>8</v>
      </c>
      <c r="BQ4" s="2">
        <f ca="1">VLOOKUP(3,$BX$2:$CC$5,6,FALSE)</f>
        <v>-3</v>
      </c>
      <c r="BS4" s="61">
        <f ca="1">IF(BJ5="",0,IF(BK5=$B$98,IF(BH5&lt;BJ5,3,IF(BH5=BJ5,1,0)),0))</f>
        <v>3</v>
      </c>
      <c r="BT4" s="61">
        <f ca="1">IF(BJ8="",0,IF(BK7=$B$98,IF(BH8&lt;BJ8,3,IF(BH8=BJ8,1,0)),0))</f>
        <v>3</v>
      </c>
      <c r="BU4" s="60"/>
      <c r="BV4" s="61">
        <f ca="1">IF(BH4="",0,IF(BK4=$B$98,IF(BH4&gt;BJ4,3,IF(BH4=BJ4,1,0)),0))</f>
        <v>0</v>
      </c>
      <c r="BW4" s="1"/>
      <c r="BX4" s="1">
        <f ca="1">RANK(CD4,$CD$2:$CD$5)</f>
        <v>1</v>
      </c>
      <c r="BY4" s="40" t="s">
        <v>206</v>
      </c>
      <c r="BZ4" s="1">
        <f ca="1">SUM(BS4:BV4)</f>
        <v>6</v>
      </c>
      <c r="CA4" s="1">
        <f ca="1">SUM(BS8:BV8)</f>
        <v>9</v>
      </c>
      <c r="CB4" s="1">
        <f ca="1">SUM(BU6:BU9)</f>
        <v>7</v>
      </c>
      <c r="CC4" s="1">
        <f ca="1">CA4-CB4</f>
        <v>2</v>
      </c>
      <c r="CD4" s="24">
        <f ca="1">IF(BP$8="",(((((((CE4*10+BZ4)*100+CC4)*100+CA4)*10+CK4)*10+CJ4)*100+CP4)*100+CU4)*10+CV4,(((((((CE4*10+BZ4)*10+CK4)*10+CJ4)*100+CP4)*100+CU4)*100+CC4)*100+CA4)*10+CV4)</f>
        <v>600000002092</v>
      </c>
      <c r="CE4" s="207"/>
      <c r="CF4" s="218">
        <f ca="1">IF($BZ4=$BZ2,$BS4-$BU2,0)</f>
        <v>0</v>
      </c>
      <c r="CG4" s="218">
        <f ca="1">IF($BZ4=$BZ3,$BT4-$BU3,0)</f>
        <v>0</v>
      </c>
      <c r="CH4" s="218"/>
      <c r="CI4" s="218">
        <f ca="1">IF($BZ4=$BZ5,$BV4-$BU5,0)</f>
        <v>0</v>
      </c>
      <c r="CJ4" s="218">
        <f ca="1">SUM(CF4:CI4)</f>
        <v>0</v>
      </c>
      <c r="CK4" s="207"/>
      <c r="CL4" s="218">
        <f ca="1">IF($BZ4=$BZ2,$BS8-$BU6,0)</f>
        <v>0</v>
      </c>
      <c r="CM4" s="218">
        <f ca="1">IF($BZ4=$BZ3,$BT8-$BU7,0)</f>
        <v>0</v>
      </c>
      <c r="CN4" s="218"/>
      <c r="CO4" s="218">
        <f ca="1">IF($BZ4=$BZ5,$BV8-$BU9,0)</f>
        <v>0</v>
      </c>
      <c r="CP4" s="218">
        <f ca="1">SUM(CL4:CO4)</f>
        <v>0</v>
      </c>
      <c r="CQ4" s="218">
        <f ca="1">IF($BZ4=$BZ2,$BS8,0)</f>
        <v>0</v>
      </c>
      <c r="CR4" s="218">
        <f ca="1">IF($BZ4=$BZ3,$BT8,0)</f>
        <v>0</v>
      </c>
      <c r="CS4" s="218"/>
      <c r="CT4" s="218">
        <f ca="1">IF($BZ4=$BZ5,$BV8,0)</f>
        <v>0</v>
      </c>
      <c r="CU4" s="218">
        <f ca="1">SUM(CQ4:CT4)</f>
        <v>0</v>
      </c>
      <c r="CV4" s="207">
        <v>2</v>
      </c>
      <c r="CX4" s="17">
        <f ca="1">IF($CX$97="",IF(OR(Ergebnisse!BH4="",Ergebnisse!BJ4=""),0,IF(AND(BH4=Ergebnisse!BH4,BJ4=Ergebnisse!BJ4),7,MIN(7,(BH4-BJ4=Ergebnisse!BH4-Ergebnisse!BJ4)*4+(AND(BH4-BJ4&lt;&gt;Ergebnisse!BH4-Ergebnisse!BJ4,SIGN(BH4-BJ4)=SIGN(Ergebnisse!BH4-Ergebnisse!BJ4)))*2+(BH4=Ergebnisse!BH4)+(BJ4=Ergebnisse!BJ4)))),INT(RAND()*8))</f>
        <v>0</v>
      </c>
      <c r="CY4" s="17" t="str">
        <f ca="1">IF(Ergebnisse!BK4=Ergebnisse!$B$98,Ergebnisse!BK4,"")</f>
        <v>ok</v>
      </c>
      <c r="DA4" s="167" t="s">
        <v>78</v>
      </c>
      <c r="DB4" s="270">
        <v>7</v>
      </c>
    </row>
    <row r="5" spans="1:106">
      <c r="A5" s="2">
        <v>28</v>
      </c>
      <c r="B5" s="6">
        <f>VLOOKUP(A5,Spiele!$A$1:$L$116,2,FALSE)</f>
        <v>46191.833333333336</v>
      </c>
      <c r="C5" s="6" t="str">
        <f>VLOOKUP(A5,Spiele!$A$1:$L$116,9,FALSE)</f>
        <v>Guadalajara</v>
      </c>
      <c r="D5" s="56" t="str">
        <f>Y2</f>
        <v>Mexiko</v>
      </c>
      <c r="E5" s="40" t="s">
        <v>24</v>
      </c>
      <c r="F5" s="56" t="str">
        <f>Y4</f>
        <v>Südkorea</v>
      </c>
      <c r="G5" s="53"/>
      <c r="H5" s="107">
        <f t="shared" ca="1" si="0"/>
        <v>1</v>
      </c>
      <c r="I5" s="11" t="s">
        <v>25</v>
      </c>
      <c r="J5" s="107">
        <f t="shared" ca="1" si="1"/>
        <v>2</v>
      </c>
      <c r="K5" s="7" t="s">
        <v>26</v>
      </c>
      <c r="L5" s="1"/>
      <c r="M5" s="9" t="str">
        <f ca="1">VLOOKUP(4,$X$2:$AC$5,2,FALSE)</f>
        <v>Südafrika</v>
      </c>
      <c r="N5" s="2">
        <f ca="1">VLOOKUP(4,$X$2:$AC$5,3,FALSE)</f>
        <v>0</v>
      </c>
      <c r="O5" s="2">
        <f ca="1">VLOOKUP(4,$X$2:$AC$5,4,FALSE)</f>
        <v>5</v>
      </c>
      <c r="P5" s="2">
        <f ca="1">VLOOKUP(4,$X$2:$AC$5,5,FALSE)</f>
        <v>10</v>
      </c>
      <c r="Q5" s="2">
        <f ca="1">VLOOKUP(4,$X$2:$AC$5,6,FALSE)</f>
        <v>-5</v>
      </c>
      <c r="S5" s="61">
        <f ca="1">IF(H7="",0,IF(K8=$B$98,IF(H7&gt;J7,3,IF(H7=J7,1,0)),0))</f>
        <v>3</v>
      </c>
      <c r="T5" s="61">
        <f ca="1">IF(H6="",0,IF(K6=$B$98,IF(J6&lt;H6,3,IF(J6=H6,1,0)),0))</f>
        <v>3</v>
      </c>
      <c r="U5" s="61">
        <f ca="1">IF(J4="",0,IF(K4=$B$98,IF(H4&lt;J4,3,IF(H4=J4,1,0)),0))</f>
        <v>3</v>
      </c>
      <c r="V5" s="60"/>
      <c r="W5" s="62"/>
      <c r="X5" s="62">
        <f ca="1">RANK(AD5,$AD$2:$AD$5)</f>
        <v>1</v>
      </c>
      <c r="Y5" s="216" t="s">
        <v>189</v>
      </c>
      <c r="Z5" s="62">
        <f ca="1">SUM(S5:V5)</f>
        <v>9</v>
      </c>
      <c r="AA5" s="62">
        <f ca="1">SUM(S9:V9)</f>
        <v>10</v>
      </c>
      <c r="AB5" s="62">
        <f ca="1">SUM(V6:V9)</f>
        <v>5</v>
      </c>
      <c r="AC5" s="62">
        <f ca="1">AA5-AB5</f>
        <v>5</v>
      </c>
      <c r="AD5" s="24">
        <f ca="1">IF(P$8="",(((((((AE5*10+Z5)*100+AC5)*100+AA5)*10+AK5)*10+AJ5)*100+AP5)*100+AU5)*10+AV5,(((((((AE5*10+Z5)*10+AK5)*10+AJ5)*100+AP5)*100+AU5)*100+AC5)*100+AA5)*10+AV5)</f>
        <v>900000005101</v>
      </c>
      <c r="AE5" s="203"/>
      <c r="AF5" s="217">
        <f ca="1">IF($Z5=$Z2,$S5-$V2,0)</f>
        <v>0</v>
      </c>
      <c r="AG5" s="217">
        <f ca="1">IF($Z5=$Z3,$T5-$V3,0)</f>
        <v>0</v>
      </c>
      <c r="AH5" s="217">
        <f ca="1">IF($Z5=$Z4,$U5-$V4,0)</f>
        <v>0</v>
      </c>
      <c r="AI5" s="217"/>
      <c r="AJ5" s="217">
        <f ca="1">SUM(AF5:AI5)</f>
        <v>0</v>
      </c>
      <c r="AK5" s="203"/>
      <c r="AL5" s="217">
        <f ca="1">IF($Z5=$Z2,$S9-$V6,0)</f>
        <v>0</v>
      </c>
      <c r="AM5" s="217">
        <f ca="1">IF($Z5=$Z3,$T9-$V7,0)</f>
        <v>0</v>
      </c>
      <c r="AN5" s="217">
        <f ca="1">IF($Z5=$Z4,$U9-$V8,0)</f>
        <v>0</v>
      </c>
      <c r="AO5" s="217"/>
      <c r="AP5" s="217">
        <f ca="1">SUM(AL5:AO5)</f>
        <v>0</v>
      </c>
      <c r="AQ5" s="217">
        <f ca="1">IF($Z5=$Z2,$S9,0)</f>
        <v>0</v>
      </c>
      <c r="AR5" s="217">
        <f ca="1">IF($Z5=$Z3,$T9,0)</f>
        <v>0</v>
      </c>
      <c r="AS5" s="217">
        <f ca="1">IF($Z5=$Z4,$U9,0)</f>
        <v>0</v>
      </c>
      <c r="AT5" s="217"/>
      <c r="AU5" s="217">
        <f ca="1">SUM(AQ5:AT5)</f>
        <v>0</v>
      </c>
      <c r="AV5" s="203">
        <v>1</v>
      </c>
      <c r="AW5" s="2"/>
      <c r="AX5" s="17">
        <f ca="1">IF($CX$97="",IF(OR(Ergebnisse!H5="",Ergebnisse!J5=""),0,IF(AND(H5=Ergebnisse!H5,J5=Ergebnisse!J5),7,MIN(7,(H5-J5=Ergebnisse!H5-Ergebnisse!J5)*4+(AND(H5-J5&lt;&gt;Ergebnisse!H5-Ergebnisse!J5,SIGN(H5-J5)=SIGN(Ergebnisse!H5-Ergebnisse!J5)))*2+(H5=Ergebnisse!H5)+(J5=Ergebnisse!J5)))),INT(RAND()*8))</f>
        <v>2</v>
      </c>
      <c r="AY5" s="17" t="str">
        <f ca="1">IF(Ergebnisse!K5=Ergebnisse!$B$98,Ergebnisse!K5,"")</f>
        <v>ok</v>
      </c>
      <c r="AZ5" s="2"/>
      <c r="BA5" s="2">
        <v>32</v>
      </c>
      <c r="BB5" s="6">
        <f>VLOOKUP(BA5,Spiele!$A$1:$L$116,2,FALSE)</f>
        <v>46192.5</v>
      </c>
      <c r="BC5" s="6" t="str">
        <f>VLOOKUP(BA5,Spiele!$A$1:$L$116,9,FALSE)</f>
        <v>Seattle</v>
      </c>
      <c r="BD5" s="56" t="str">
        <f>BY2</f>
        <v>USA</v>
      </c>
      <c r="BE5" s="40" t="s">
        <v>24</v>
      </c>
      <c r="BF5" s="56" t="str">
        <f>BY4</f>
        <v>Australien</v>
      </c>
      <c r="BG5" s="53"/>
      <c r="BH5" s="107">
        <f t="shared" ca="1" si="2"/>
        <v>2</v>
      </c>
      <c r="BI5" s="11" t="s">
        <v>25</v>
      </c>
      <c r="BJ5" s="107">
        <f t="shared" ca="1" si="3"/>
        <v>3</v>
      </c>
      <c r="BK5" s="7" t="s">
        <v>26</v>
      </c>
      <c r="BL5" s="1"/>
      <c r="BM5" s="9" t="str">
        <f ca="1">VLOOKUP(4,$BX$2:$CC$5,2,FALSE)</f>
        <v>USA</v>
      </c>
      <c r="BN5" s="2">
        <f ca="1">VLOOKUP(4,$BX$2:$CC$5,3,FALSE)</f>
        <v>3</v>
      </c>
      <c r="BO5" s="2">
        <f ca="1">VLOOKUP(4,$BX$2:$CC$5,4,FALSE)</f>
        <v>9</v>
      </c>
      <c r="BP5" s="2">
        <f ca="1">VLOOKUP(4,$BX$2:$CC$5,5,FALSE)</f>
        <v>7</v>
      </c>
      <c r="BQ5" s="2">
        <f ca="1">VLOOKUP(4,$BX$2:$CC$5,6,FALSE)</f>
        <v>2</v>
      </c>
      <c r="BS5" s="61">
        <f ca="1">IF(BH7="",0,IF(BK8=$B$98,IF(BH7&gt;BJ7,3,IF(BH7=BJ7,1,0)),0))</f>
        <v>0</v>
      </c>
      <c r="BT5" s="61">
        <f ca="1">IF(BH6="",0,IF(BK6=$B$98,IF(BJ6&lt;BH6,3,IF(BJ6=BH6,1,0)),0))</f>
        <v>1</v>
      </c>
      <c r="BU5" s="61">
        <f ca="1">IF(BJ4="",0,IF(BK4=$B$98,IF(BH4&lt;BJ4,3,IF(BH4=BJ4,1,0)),0))</f>
        <v>3</v>
      </c>
      <c r="BV5" s="60"/>
      <c r="BW5" s="1"/>
      <c r="BX5" s="1">
        <f ca="1">RANK(CD5,$CD$2:$CD$5)</f>
        <v>3</v>
      </c>
      <c r="BY5" s="40" t="s">
        <v>185</v>
      </c>
      <c r="BZ5" s="1">
        <f ca="1">SUM(BS5:BV5)</f>
        <v>4</v>
      </c>
      <c r="CA5" s="1">
        <f ca="1">SUM(BS9:BV9)</f>
        <v>5</v>
      </c>
      <c r="CB5" s="1">
        <f ca="1">SUM(BV6:BV9)</f>
        <v>8</v>
      </c>
      <c r="CC5" s="1">
        <f ca="1">CA5-CB5</f>
        <v>-3</v>
      </c>
      <c r="CD5" s="24">
        <f ca="1">IF(BP$8="",(((((((CE5*10+BZ5)*100+CC5)*100+CA5)*10+CK5)*10+CJ5)*100+CP5)*100+CU5)*10+CV5,(((((((CE5*10+BZ5)*10+CK5)*10+CJ5)*100+CP5)*100+CU5)*100+CC5)*100+CA5)*10+CV5)</f>
        <v>400000397051</v>
      </c>
      <c r="CE5" s="207"/>
      <c r="CF5" s="218">
        <f ca="1">IF($BZ5=$BZ2,$BS5-$BV2,0)</f>
        <v>0</v>
      </c>
      <c r="CG5" s="218">
        <f ca="1">IF($BZ5=$BZ3,$BT5-$BV3,0)</f>
        <v>0</v>
      </c>
      <c r="CH5" s="218">
        <f ca="1">IF($BZ5=$BZ4,$BU5-$BV4,0)</f>
        <v>0</v>
      </c>
      <c r="CI5" s="218"/>
      <c r="CJ5" s="218">
        <f ca="1">SUM(CF5:CI5)</f>
        <v>0</v>
      </c>
      <c r="CK5" s="207"/>
      <c r="CL5" s="218">
        <f ca="1">IF($BZ5=$BZ2,$BS9-$BV6,0)</f>
        <v>0</v>
      </c>
      <c r="CM5" s="218">
        <f ca="1">IF($BZ5=$BZ3,$BT9-$BV7,0)</f>
        <v>0</v>
      </c>
      <c r="CN5" s="218">
        <f ca="1">IF($BZ5=$BZ4,$BU9-$BV8,0)</f>
        <v>0</v>
      </c>
      <c r="CO5" s="218"/>
      <c r="CP5" s="218">
        <f ca="1">SUM(CL5:CO5)</f>
        <v>0</v>
      </c>
      <c r="CQ5" s="218">
        <f ca="1">IF($BZ5=$BZ2,$BS9,0)</f>
        <v>0</v>
      </c>
      <c r="CR5" s="218">
        <f ca="1">IF($BZ5=$BZ3,$BT9,0)</f>
        <v>4</v>
      </c>
      <c r="CS5" s="218">
        <f ca="1">IF($BZ5=$BZ4,$BU9,0)</f>
        <v>0</v>
      </c>
      <c r="CT5" s="218"/>
      <c r="CU5" s="218">
        <f ca="1">SUM(CQ5:CT5)</f>
        <v>4</v>
      </c>
      <c r="CV5" s="207">
        <v>1</v>
      </c>
      <c r="CX5" s="17">
        <f ca="1">IF($CX$97="",IF(OR(Ergebnisse!BH5="",Ergebnisse!BJ5=""),0,IF(AND(BH5=Ergebnisse!BH5,BJ5=Ergebnisse!BJ5),7,MIN(7,(BH5-BJ5=Ergebnisse!BH5-Ergebnisse!BJ5)*4+(AND(BH5-BJ5&lt;&gt;Ergebnisse!BH5-Ergebnisse!BJ5,SIGN(BH5-BJ5)=SIGN(Ergebnisse!BH5-Ergebnisse!BJ5)))*2+(BH5=Ergebnisse!BH5)+(BJ5=Ergebnisse!BJ5)))),INT(RAND()*8))</f>
        <v>0</v>
      </c>
      <c r="CY5" s="17" t="str">
        <f ca="1">IF(Ergebnisse!BK5=Ergebnisse!$B$98,Ergebnisse!BK5,"")</f>
        <v>ok</v>
      </c>
      <c r="DA5" s="167" t="s">
        <v>79</v>
      </c>
      <c r="DB5" s="270">
        <v>4</v>
      </c>
    </row>
    <row r="6" spans="1:106">
      <c r="A6" s="2">
        <v>25</v>
      </c>
      <c r="B6" s="6">
        <f>VLOOKUP(A6,Spiele!$A$1:$L$116,2,FALSE)</f>
        <v>46191.5</v>
      </c>
      <c r="C6" s="6" t="str">
        <f>VLOOKUP(A6,Spiele!$A$1:$L$116,9,FALSE)</f>
        <v>Atlanta</v>
      </c>
      <c r="D6" s="56" t="str">
        <f>Y5</f>
        <v>Tschechien</v>
      </c>
      <c r="E6" s="40" t="s">
        <v>24</v>
      </c>
      <c r="F6" s="56" t="str">
        <f>Y3</f>
        <v>Südafrika</v>
      </c>
      <c r="G6" s="53"/>
      <c r="H6" s="107">
        <f t="shared" ca="1" si="0"/>
        <v>4</v>
      </c>
      <c r="I6" s="11" t="s">
        <v>25</v>
      </c>
      <c r="J6" s="107">
        <f t="shared" ca="1" si="1"/>
        <v>2</v>
      </c>
      <c r="K6" s="7" t="s">
        <v>26</v>
      </c>
      <c r="L6" s="1"/>
      <c r="N6" s="1"/>
      <c r="O6" s="1"/>
      <c r="P6" s="1"/>
      <c r="S6" s="60"/>
      <c r="T6" s="61">
        <f ca="1">IF(K3=$B$98,H3,0)</f>
        <v>2</v>
      </c>
      <c r="U6" s="61">
        <f ca="1">IF(K5=$B$98,H5,0)</f>
        <v>1</v>
      </c>
      <c r="V6" s="61">
        <f ca="1">IF(K8=$B$98,J7,0)</f>
        <v>0</v>
      </c>
      <c r="W6" s="62"/>
      <c r="X6" s="62"/>
      <c r="Y6" s="62"/>
      <c r="Z6" s="62"/>
      <c r="AA6" s="62"/>
      <c r="AB6" s="62"/>
      <c r="AC6" s="62"/>
      <c r="AD6" s="66"/>
      <c r="AE6" s="204"/>
      <c r="AF6" s="217"/>
      <c r="AG6" s="217"/>
      <c r="AH6" s="217"/>
      <c r="AI6" s="217"/>
      <c r="AJ6" s="217"/>
      <c r="AK6" s="217"/>
      <c r="AL6" s="217"/>
      <c r="AM6" s="217"/>
      <c r="AN6" s="217"/>
      <c r="AO6" s="217"/>
      <c r="AP6" s="217"/>
      <c r="AQ6" s="217"/>
      <c r="AR6" s="217"/>
      <c r="AS6" s="217"/>
      <c r="AT6" s="217"/>
      <c r="AV6" s="217"/>
      <c r="AW6" s="2"/>
      <c r="AX6" s="17">
        <f ca="1">IF($CX$97="",IF(OR(Ergebnisse!H6="",Ergebnisse!J6=""),0,IF(AND(H6=Ergebnisse!H6,J6=Ergebnisse!J6),7,MIN(7,(H6-J6=Ergebnisse!H6-Ergebnisse!J6)*4+(AND(H6-J6&lt;&gt;Ergebnisse!H6-Ergebnisse!J6,SIGN(H6-J6)=SIGN(Ergebnisse!H6-Ergebnisse!J6)))*2+(H6=Ergebnisse!H6)+(J6=Ergebnisse!J6)))),INT(RAND()*8))</f>
        <v>0</v>
      </c>
      <c r="AY6" s="17" t="str">
        <f ca="1">IF(Ergebnisse!K6=Ergebnisse!$B$98,Ergebnisse!K6,"")</f>
        <v>ok</v>
      </c>
      <c r="AZ6" s="2"/>
      <c r="BA6" s="2">
        <v>31</v>
      </c>
      <c r="BB6" s="6">
        <f>VLOOKUP(BA6,Spiele!$A$1:$L$116,2,FALSE)</f>
        <v>46192.875</v>
      </c>
      <c r="BC6" s="6" t="str">
        <f>VLOOKUP(BA6,Spiele!$A$1:$L$116,9,FALSE)</f>
        <v>San Francisco</v>
      </c>
      <c r="BD6" s="56" t="str">
        <f>BY5</f>
        <v>Türkei</v>
      </c>
      <c r="BE6" s="40" t="s">
        <v>24</v>
      </c>
      <c r="BF6" s="56" t="str">
        <f>BY3</f>
        <v>Paraguay</v>
      </c>
      <c r="BG6" s="53"/>
      <c r="BH6" s="107">
        <f t="shared" ca="1" si="2"/>
        <v>4</v>
      </c>
      <c r="BI6" s="11" t="s">
        <v>25</v>
      </c>
      <c r="BJ6" s="107">
        <f t="shared" ca="1" si="3"/>
        <v>4</v>
      </c>
      <c r="BK6" s="7" t="s">
        <v>26</v>
      </c>
      <c r="BL6" s="1"/>
      <c r="BN6" s="1"/>
      <c r="BO6" s="1"/>
      <c r="BP6" s="1"/>
      <c r="BS6" s="60"/>
      <c r="BT6" s="61">
        <f ca="1">IF(BK3=$B$98,BH3,0)</f>
        <v>3</v>
      </c>
      <c r="BU6" s="61">
        <f ca="1">IF(BK5=$B$98,BH5,0)</f>
        <v>2</v>
      </c>
      <c r="BV6" s="61">
        <f ca="1">IF(BK8=$B$98,BJ7,0)</f>
        <v>4</v>
      </c>
      <c r="BW6" s="1"/>
      <c r="BX6" s="1"/>
      <c r="BY6" s="62"/>
      <c r="BZ6" s="1"/>
      <c r="CA6" s="1"/>
      <c r="CB6" s="1"/>
      <c r="CC6" s="1"/>
      <c r="CD6" s="5"/>
      <c r="CE6" s="7"/>
      <c r="CF6" s="218"/>
      <c r="CG6" s="218"/>
      <c r="CH6" s="218"/>
      <c r="CI6" s="218"/>
      <c r="CJ6" s="218"/>
      <c r="CK6" s="218"/>
      <c r="CL6" s="218"/>
      <c r="CM6" s="218"/>
      <c r="CN6" s="218"/>
      <c r="CO6" s="218"/>
      <c r="CP6" s="218"/>
      <c r="CQ6" s="218"/>
      <c r="CR6" s="218"/>
      <c r="CS6" s="218"/>
      <c r="CT6" s="218"/>
      <c r="CV6" s="218"/>
      <c r="CX6" s="17">
        <f ca="1">IF($CX$97="",IF(OR(Ergebnisse!BH6="",Ergebnisse!BJ6=""),0,IF(AND(BH6=Ergebnisse!BH6,BJ6=Ergebnisse!BJ6),7,MIN(7,(BH6-BJ6=Ergebnisse!BH6-Ergebnisse!BJ6)*4+(AND(BH6-BJ6&lt;&gt;Ergebnisse!BH6-Ergebnisse!BJ6,SIGN(BH6-BJ6)=SIGN(Ergebnisse!BH6-Ergebnisse!BJ6)))*2+(BH6=Ergebnisse!BH6)+(BJ6=Ergebnisse!BJ6)))),INT(RAND()*8))</f>
        <v>1</v>
      </c>
      <c r="CY6" s="17" t="str">
        <f ca="1">IF(Ergebnisse!BK6=Ergebnisse!$B$98,Ergebnisse!BK6,"")</f>
        <v>ok</v>
      </c>
      <c r="DA6" s="167" t="s">
        <v>80</v>
      </c>
      <c r="DB6" s="270">
        <v>2</v>
      </c>
    </row>
    <row r="7" spans="1:106">
      <c r="A7" s="2">
        <v>53</v>
      </c>
      <c r="B7" s="6">
        <f>VLOOKUP(A7,Spiele!$A$1:$L$116,2,FALSE)</f>
        <v>46197.833333333336</v>
      </c>
      <c r="C7" s="6" t="str">
        <f>VLOOKUP(A7,Spiele!$A$1:$L$116,9,FALSE)</f>
        <v>Mexico City</v>
      </c>
      <c r="D7" s="56" t="str">
        <f>Y5</f>
        <v>Tschechien</v>
      </c>
      <c r="E7" s="40" t="s">
        <v>24</v>
      </c>
      <c r="F7" s="56" t="str">
        <f>Y2</f>
        <v>Mexiko</v>
      </c>
      <c r="G7" s="55"/>
      <c r="H7" s="107">
        <f t="shared" ca="1" si="0"/>
        <v>2</v>
      </c>
      <c r="I7" s="11" t="s">
        <v>25</v>
      </c>
      <c r="J7" s="107">
        <f t="shared" ca="1" si="1"/>
        <v>0</v>
      </c>
      <c r="K7" s="7" t="s">
        <v>26</v>
      </c>
      <c r="M7" s="36" t="str">
        <f ca="1">IF(N2&gt;0,M2,"")</f>
        <v>Tschechien</v>
      </c>
      <c r="N7" s="2" t="s">
        <v>27</v>
      </c>
      <c r="P7" s="29"/>
      <c r="S7" s="61">
        <f ca="1">IF(K3=$B$98,J3,0)</f>
        <v>1</v>
      </c>
      <c r="T7" s="60"/>
      <c r="U7" s="61">
        <f ca="1">IF(K7=$B$98,H8,0)</f>
        <v>2</v>
      </c>
      <c r="V7" s="61">
        <f ca="1">IF(K6=$B$98,J6,0)</f>
        <v>2</v>
      </c>
      <c r="AD7" s="55" t="s">
        <v>140</v>
      </c>
      <c r="AE7" s="108"/>
      <c r="AF7" s="219"/>
      <c r="AG7" s="219"/>
      <c r="AH7" s="219"/>
      <c r="AI7" s="219"/>
      <c r="AJ7" s="219"/>
      <c r="AK7" s="219"/>
      <c r="AL7" s="219"/>
      <c r="AM7" s="219"/>
      <c r="AN7" s="219"/>
      <c r="AO7" s="219"/>
      <c r="AP7" s="219"/>
      <c r="AQ7" s="219"/>
      <c r="AR7" s="219"/>
      <c r="AS7" s="219"/>
      <c r="AT7" s="219"/>
      <c r="AV7" s="219"/>
      <c r="AW7" s="2"/>
      <c r="AX7" s="17">
        <f ca="1">IF($CX$97="",IF(OR(Ergebnisse!H7="",Ergebnisse!J7=""),0,IF(AND(H7=Ergebnisse!H7,J7=Ergebnisse!J7),7,MIN(7,(H7-J7=Ergebnisse!H7-Ergebnisse!J7)*4+(AND(H7-J7&lt;&gt;Ergebnisse!H7-Ergebnisse!J7,SIGN(H7-J7)=SIGN(Ergebnisse!H7-Ergebnisse!J7)))*2+(H7=Ergebnisse!H7)+(J7=Ergebnisse!J7)))),INT(RAND()*8))</f>
        <v>2</v>
      </c>
      <c r="AY7" s="17" t="str">
        <f ca="1">IF(Ergebnisse!K7=Ergebnisse!$B$98,Ergebnisse!K7,"")</f>
        <v>ok</v>
      </c>
      <c r="AZ7" s="2"/>
      <c r="BA7" s="2">
        <v>59</v>
      </c>
      <c r="BB7" s="6">
        <f>VLOOKUP(BA7,Spiele!$A$1:$L$116,2,FALSE)</f>
        <v>46198.791666666664</v>
      </c>
      <c r="BC7" s="6" t="str">
        <f>VLOOKUP(BA7,Spiele!$A$1:$L$116,9,FALSE)</f>
        <v>Los Angeles</v>
      </c>
      <c r="BD7" s="56" t="str">
        <f>BY5</f>
        <v>Türkei</v>
      </c>
      <c r="BE7" s="40" t="s">
        <v>24</v>
      </c>
      <c r="BF7" s="56" t="str">
        <f>BY2</f>
        <v>USA</v>
      </c>
      <c r="BG7" s="55"/>
      <c r="BH7" s="107">
        <f t="shared" ca="1" si="2"/>
        <v>0</v>
      </c>
      <c r="BI7" s="11" t="s">
        <v>25</v>
      </c>
      <c r="BJ7" s="107">
        <f t="shared" ca="1" si="3"/>
        <v>4</v>
      </c>
      <c r="BK7" s="7" t="s">
        <v>26</v>
      </c>
      <c r="BM7" s="177" t="str">
        <f ca="1">IF(BN2&gt;0,BM2,"")</f>
        <v>Australien</v>
      </c>
      <c r="BN7" s="2" t="s">
        <v>41</v>
      </c>
      <c r="BP7" s="29"/>
      <c r="BS7" s="61">
        <f ca="1">IF(BK3=$B$98,BJ3,0)</f>
        <v>4</v>
      </c>
      <c r="BT7" s="60"/>
      <c r="BU7" s="61">
        <f ca="1">IF(BK7=$B$98,BH8,0)</f>
        <v>4</v>
      </c>
      <c r="BV7" s="61">
        <f ca="1">IF(BK6=$B$98,BJ6,0)</f>
        <v>4</v>
      </c>
      <c r="CD7" s="2" t="s">
        <v>140</v>
      </c>
      <c r="CE7" s="8"/>
      <c r="CF7" s="220"/>
      <c r="CG7" s="220"/>
      <c r="CH7" s="220"/>
      <c r="CI7" s="220"/>
      <c r="CJ7" s="220"/>
      <c r="CK7" s="220"/>
      <c r="CL7" s="220"/>
      <c r="CM7" s="220"/>
      <c r="CN7" s="220"/>
      <c r="CO7" s="220"/>
      <c r="CP7" s="220"/>
      <c r="CQ7" s="220"/>
      <c r="CR7" s="220"/>
      <c r="CS7" s="220"/>
      <c r="CT7" s="220"/>
      <c r="CV7" s="220"/>
      <c r="CX7" s="17">
        <f ca="1">IF($CX$97="",IF(OR(Ergebnisse!BH7="",Ergebnisse!BJ7=""),0,IF(AND(BH7=Ergebnisse!BH7,BJ7=Ergebnisse!BJ7),7,MIN(7,(BH7-BJ7=Ergebnisse!BH7-Ergebnisse!BJ7)*4+(AND(BH7-BJ7&lt;&gt;Ergebnisse!BH7-Ergebnisse!BJ7,SIGN(BH7-BJ7)=SIGN(Ergebnisse!BH7-Ergebnisse!BJ7)))*2+(BH7=Ergebnisse!BH7)+(BJ7=Ergebnisse!BJ7)))),INT(RAND()*8))</f>
        <v>0</v>
      </c>
      <c r="CY7" s="17" t="str">
        <f ca="1">IF(Ergebnisse!BK7=Ergebnisse!$B$98,Ergebnisse!BK7,"")</f>
        <v>ok</v>
      </c>
      <c r="DA7" s="168" t="s">
        <v>452</v>
      </c>
      <c r="DB7" s="169">
        <v>72</v>
      </c>
    </row>
    <row r="8" spans="1:106">
      <c r="A8" s="2">
        <v>54</v>
      </c>
      <c r="B8" s="6">
        <f>VLOOKUP(A8,Spiele!$A$1:$L$116,2,FALSE)</f>
        <v>46197.833333333336</v>
      </c>
      <c r="C8" s="6" t="str">
        <f>VLOOKUP(A8,Spiele!$A$1:$L$116,9,FALSE)</f>
        <v>Monterrey</v>
      </c>
      <c r="D8" s="56" t="str">
        <f>Y3</f>
        <v>Südafrika</v>
      </c>
      <c r="E8" s="40" t="s">
        <v>24</v>
      </c>
      <c r="F8" s="56" t="str">
        <f>Y4</f>
        <v>Südkorea</v>
      </c>
      <c r="G8" s="55"/>
      <c r="H8" s="107">
        <f t="shared" ca="1" si="0"/>
        <v>2</v>
      </c>
      <c r="I8" s="11" t="s">
        <v>25</v>
      </c>
      <c r="J8" s="107">
        <f t="shared" ca="1" si="1"/>
        <v>4</v>
      </c>
      <c r="K8" s="7" t="s">
        <v>26</v>
      </c>
      <c r="M8" s="36" t="str">
        <f ca="1">IF(N3&gt;0,M3,"")</f>
        <v>Südkorea</v>
      </c>
      <c r="N8" s="2" t="s">
        <v>29</v>
      </c>
      <c r="O8" s="30"/>
      <c r="P8" s="205" t="s">
        <v>11</v>
      </c>
      <c r="S8" s="61">
        <f ca="1">IF(K5=$B$98,J5,0)</f>
        <v>2</v>
      </c>
      <c r="T8" s="61">
        <f ca="1">IF(K7=$B$98,J8,0)</f>
        <v>4</v>
      </c>
      <c r="U8" s="60"/>
      <c r="V8" s="61">
        <f ca="1">IF(K4=$B$98,H4,0)</f>
        <v>3</v>
      </c>
      <c r="AD8" s="55" t="s">
        <v>141</v>
      </c>
      <c r="AE8" s="108"/>
      <c r="AF8" s="219"/>
      <c r="AG8" s="219"/>
      <c r="AH8" s="219"/>
      <c r="AI8" s="219"/>
      <c r="AJ8" s="219"/>
      <c r="AK8" s="219"/>
      <c r="AL8" s="219"/>
      <c r="AM8" s="219"/>
      <c r="AN8" s="219"/>
      <c r="AO8" s="219"/>
      <c r="AP8" s="219"/>
      <c r="AQ8" s="219"/>
      <c r="AR8" s="219"/>
      <c r="AS8" s="219"/>
      <c r="AT8" s="219"/>
      <c r="AV8" s="219"/>
      <c r="AW8" s="2"/>
      <c r="AX8" s="17">
        <f ca="1">IF($CX$97="",IF(OR(Ergebnisse!H8="",Ergebnisse!J8=""),0,IF(AND(H8=Ergebnisse!H8,J8=Ergebnisse!J8),7,MIN(7,(H8-J8=Ergebnisse!H8-Ergebnisse!J8)*4+(AND(H8-J8&lt;&gt;Ergebnisse!H8-Ergebnisse!J8,SIGN(H8-J8)=SIGN(Ergebnisse!H8-Ergebnisse!J8)))*2+(H8=Ergebnisse!H8)+(J8=Ergebnisse!J8)))),INT(RAND()*8))</f>
        <v>0</v>
      </c>
      <c r="AY8" s="17" t="str">
        <f ca="1">IF(Ergebnisse!K8=Ergebnisse!$B$98,Ergebnisse!K8,"")</f>
        <v>ok</v>
      </c>
      <c r="AZ8" s="2"/>
      <c r="BA8" s="2">
        <v>60</v>
      </c>
      <c r="BB8" s="6">
        <f>VLOOKUP(BA8,Spiele!$A$1:$L$116,2,FALSE)</f>
        <v>46198.791666666664</v>
      </c>
      <c r="BC8" s="6" t="str">
        <f>VLOOKUP(BA8,Spiele!$A$1:$L$116,9,FALSE)</f>
        <v>San Francisco</v>
      </c>
      <c r="BD8" s="56" t="str">
        <f>BY3</f>
        <v>Paraguay</v>
      </c>
      <c r="BE8" s="40" t="s">
        <v>24</v>
      </c>
      <c r="BF8" s="56" t="str">
        <f>BY4</f>
        <v>Australien</v>
      </c>
      <c r="BG8" s="55"/>
      <c r="BH8" s="107">
        <f t="shared" ca="1" si="2"/>
        <v>4</v>
      </c>
      <c r="BI8" s="11" t="s">
        <v>25</v>
      </c>
      <c r="BJ8" s="107">
        <f t="shared" ca="1" si="3"/>
        <v>6</v>
      </c>
      <c r="BK8" s="7" t="s">
        <v>26</v>
      </c>
      <c r="BM8" s="177" t="str">
        <f ca="1">IF(BN3&gt;0,BM3,"")</f>
        <v>Paraguay</v>
      </c>
      <c r="BN8" s="2" t="s">
        <v>42</v>
      </c>
      <c r="BO8" s="30"/>
      <c r="BP8" s="205" t="s">
        <v>11</v>
      </c>
      <c r="BS8" s="61">
        <f ca="1">IF(BK5=$B$98,BJ5,0)</f>
        <v>3</v>
      </c>
      <c r="BT8" s="61">
        <f ca="1">IF(BK7=$B$98,BJ8,0)</f>
        <v>6</v>
      </c>
      <c r="BU8" s="60"/>
      <c r="BV8" s="61">
        <f ca="1">IF(BK4=$B$98,BH4,0)</f>
        <v>0</v>
      </c>
      <c r="CD8" s="2" t="s">
        <v>141</v>
      </c>
      <c r="CE8" s="8"/>
      <c r="CF8" s="220"/>
      <c r="CG8" s="220"/>
      <c r="CH8" s="220"/>
      <c r="CI8" s="220"/>
      <c r="CJ8" s="220"/>
      <c r="CK8" s="220"/>
      <c r="CL8" s="220"/>
      <c r="CM8" s="220"/>
      <c r="CN8" s="220"/>
      <c r="CO8" s="220"/>
      <c r="CP8" s="220"/>
      <c r="CQ8" s="220"/>
      <c r="CR8" s="220"/>
      <c r="CS8" s="220"/>
      <c r="CT8" s="220"/>
      <c r="CV8" s="220"/>
      <c r="CX8" s="17">
        <f ca="1">IF($CX$97="",IF(OR(Ergebnisse!BH8="",Ergebnisse!BJ8=""),0,IF(AND(BH8=Ergebnisse!BH8,BJ8=Ergebnisse!BJ8),7,MIN(7,(BH8-BJ8=Ergebnisse!BH8-Ergebnisse!BJ8)*4+(AND(BH8-BJ8&lt;&gt;Ergebnisse!BH8-Ergebnisse!BJ8,SIGN(BH8-BJ8)=SIGN(Ergebnisse!BH8-Ergebnisse!BJ8)))*2+(BH8=Ergebnisse!BH8)+(BJ8=Ergebnisse!BJ8)))),INT(RAND()*8))</f>
        <v>0</v>
      </c>
      <c r="CY8" s="17" t="str">
        <f ca="1">IF(Ergebnisse!BK8=Ergebnisse!$B$98,Ergebnisse!BK8,"")</f>
        <v>ok</v>
      </c>
      <c r="DA8" s="163"/>
      <c r="DB8" s="164"/>
    </row>
    <row r="9" spans="1:106">
      <c r="E9" s="55"/>
      <c r="F9" s="55"/>
      <c r="G9" s="55"/>
      <c r="M9" s="36" t="str">
        <f ca="1">IF(N4&gt;0,M4,"")</f>
        <v>Mexiko</v>
      </c>
      <c r="N9" s="2" t="s">
        <v>142</v>
      </c>
      <c r="S9" s="61">
        <f ca="1">IF(K8=$B$98,H7,0)</f>
        <v>2</v>
      </c>
      <c r="T9" s="61">
        <f ca="1">IF(K6=$B$98,H6,0)</f>
        <v>4</v>
      </c>
      <c r="U9" s="61">
        <f ca="1">IF(K4=$B$98,J4,0)</f>
        <v>4</v>
      </c>
      <c r="V9" s="60"/>
      <c r="AD9" s="55" t="s">
        <v>143</v>
      </c>
      <c r="AE9" s="108"/>
      <c r="AF9" s="219"/>
      <c r="AG9" s="219"/>
      <c r="AH9" s="219"/>
      <c r="AI9" s="219"/>
      <c r="AJ9" s="219"/>
      <c r="AK9" s="219"/>
      <c r="AL9" s="219"/>
      <c r="AM9" s="219"/>
      <c r="AN9" s="219"/>
      <c r="AO9" s="219"/>
      <c r="AP9" s="219"/>
      <c r="AQ9" s="219"/>
      <c r="AR9" s="219"/>
      <c r="AS9" s="219"/>
      <c r="AT9" s="219"/>
      <c r="AV9" s="219"/>
      <c r="AW9" s="2"/>
      <c r="AX9" s="28">
        <f ca="1">IF($CX$97="",2*COUNTIF(Ergebnisse!$D$63:'Ergebnisse'!$F$78,M9),2*INT(RAND()*2))</f>
        <v>0</v>
      </c>
      <c r="AY9" s="17" t="str">
        <f ca="1">IF(COUNTIF(Ergebnisse!K3:'Ergebnisse'!K8,Ergebnisse!$B$98)=6,"ok","")</f>
        <v>ok</v>
      </c>
      <c r="AZ9" s="2"/>
      <c r="BE9" s="55"/>
      <c r="BF9" s="55"/>
      <c r="BG9" s="55"/>
      <c r="BM9" s="177" t="str">
        <f ca="1">IF(BN4&gt;0,BM4,"")</f>
        <v>Türkei</v>
      </c>
      <c r="BN9" s="2" t="s">
        <v>150</v>
      </c>
      <c r="BS9" s="61">
        <f ca="1">IF(BK8=$B$98,BH7,0)</f>
        <v>0</v>
      </c>
      <c r="BT9" s="61">
        <f ca="1">IF(BK6=$B$98,BH6,0)</f>
        <v>4</v>
      </c>
      <c r="BU9" s="61">
        <f ca="1">IF(BK4=$B$98,BJ4,0)</f>
        <v>1</v>
      </c>
      <c r="BV9" s="60"/>
      <c r="CD9" s="2" t="s">
        <v>143</v>
      </c>
      <c r="CE9" s="8"/>
      <c r="CF9" s="220"/>
      <c r="CG9" s="220"/>
      <c r="CH9" s="220"/>
      <c r="CI9" s="220"/>
      <c r="CJ9" s="220"/>
      <c r="CK9" s="220"/>
      <c r="CL9" s="220"/>
      <c r="CM9" s="220"/>
      <c r="CN9" s="220"/>
      <c r="CO9" s="220"/>
      <c r="CP9" s="220"/>
      <c r="CQ9" s="220"/>
      <c r="CR9" s="220"/>
      <c r="CS9" s="220"/>
      <c r="CT9" s="220"/>
      <c r="CV9" s="220"/>
      <c r="CX9" s="76">
        <f ca="1">IF($CX$97="",2*COUNTIF(Ergebnisse!$D$63:'Ergebnisse'!$F$78,BM9),2*INT(RAND()*2))</f>
        <v>2</v>
      </c>
      <c r="CY9" s="17" t="str">
        <f ca="1">IF(COUNTIF(Ergebnisse!BK3:'Ergebnisse'!BK8,Ergebnisse!$B$98)=6,"ok","")</f>
        <v>ok</v>
      </c>
      <c r="DA9" s="165" t="s">
        <v>81</v>
      </c>
      <c r="DB9" s="166">
        <f>DB12*DB11</f>
        <v>64</v>
      </c>
    </row>
    <row r="10" spans="1:106" ht="6" customHeight="1">
      <c r="D10" s="55"/>
      <c r="E10" s="58"/>
      <c r="F10" s="59"/>
      <c r="G10" s="59"/>
      <c r="H10" s="55"/>
      <c r="I10" s="55"/>
      <c r="J10" s="55"/>
      <c r="AE10" s="108"/>
      <c r="AF10" s="219"/>
      <c r="AG10" s="219"/>
      <c r="AH10" s="219"/>
      <c r="AI10" s="219"/>
      <c r="AJ10" s="219"/>
      <c r="AK10" s="219"/>
      <c r="AL10" s="219"/>
      <c r="AM10" s="219"/>
      <c r="AN10" s="219"/>
      <c r="AO10" s="219"/>
      <c r="AP10" s="219"/>
      <c r="AQ10" s="219"/>
      <c r="AR10" s="219"/>
      <c r="AS10" s="219"/>
      <c r="AT10" s="219"/>
      <c r="AV10" s="219"/>
      <c r="AW10" s="2"/>
      <c r="AX10" s="17"/>
      <c r="AZ10" s="2"/>
      <c r="BD10" s="55"/>
      <c r="BE10" s="58"/>
      <c r="BF10" s="59"/>
      <c r="BG10" s="59"/>
      <c r="BH10" s="55"/>
      <c r="BI10" s="55"/>
      <c r="BJ10" s="55"/>
      <c r="BS10" s="55"/>
      <c r="BT10" s="55"/>
      <c r="BU10" s="55"/>
      <c r="BV10" s="55"/>
      <c r="CE10" s="8"/>
      <c r="CF10" s="220"/>
      <c r="CG10" s="220"/>
      <c r="CH10" s="220"/>
      <c r="CI10" s="220"/>
      <c r="CJ10" s="220"/>
      <c r="CK10" s="220"/>
      <c r="CL10" s="220"/>
      <c r="CM10" s="220"/>
      <c r="CN10" s="220"/>
      <c r="CO10" s="220"/>
      <c r="CP10" s="220"/>
      <c r="CQ10" s="220"/>
      <c r="CR10" s="220"/>
      <c r="CS10" s="220"/>
      <c r="CT10" s="220"/>
      <c r="CV10" s="220"/>
      <c r="DA10" s="163"/>
      <c r="DB10" s="164"/>
    </row>
    <row r="11" spans="1:106" s="10" customFormat="1">
      <c r="B11" s="31" t="s">
        <v>0</v>
      </c>
      <c r="C11" s="32" t="s">
        <v>31</v>
      </c>
      <c r="D11" s="53" t="s">
        <v>2</v>
      </c>
      <c r="E11" s="54"/>
      <c r="F11" s="53"/>
      <c r="G11" s="53"/>
      <c r="H11" s="20"/>
      <c r="I11" s="19"/>
      <c r="J11" s="20"/>
      <c r="K11" s="180"/>
      <c r="L11" s="17"/>
      <c r="M11" s="35" t="s">
        <v>3</v>
      </c>
      <c r="N11" s="17" t="s">
        <v>4</v>
      </c>
      <c r="O11" s="17" t="s">
        <v>5</v>
      </c>
      <c r="P11" s="17" t="s">
        <v>6</v>
      </c>
      <c r="Q11" s="17" t="s">
        <v>7</v>
      </c>
      <c r="R11" s="17"/>
      <c r="S11" s="55"/>
      <c r="T11" s="55"/>
      <c r="U11" s="55"/>
      <c r="V11" s="55"/>
      <c r="W11" s="53"/>
      <c r="X11" s="53" t="s">
        <v>8</v>
      </c>
      <c r="Y11" s="56" t="s">
        <v>9</v>
      </c>
      <c r="Z11" s="53" t="s">
        <v>4</v>
      </c>
      <c r="AA11" s="53" t="s">
        <v>5</v>
      </c>
      <c r="AB11" s="53" t="s">
        <v>6</v>
      </c>
      <c r="AC11" s="53" t="s">
        <v>7</v>
      </c>
      <c r="AD11" s="53"/>
      <c r="AE11" s="19" t="s">
        <v>10</v>
      </c>
      <c r="AF11" s="40" t="s">
        <v>11</v>
      </c>
      <c r="AG11" s="40"/>
      <c r="AH11" s="40"/>
      <c r="AI11" s="40"/>
      <c r="AJ11" s="40" t="s">
        <v>12</v>
      </c>
      <c r="AK11" s="56" t="s">
        <v>13</v>
      </c>
      <c r="AL11" s="40" t="s">
        <v>14</v>
      </c>
      <c r="AM11" s="40"/>
      <c r="AN11" s="40"/>
      <c r="AO11" s="40"/>
      <c r="AP11" s="40" t="s">
        <v>15</v>
      </c>
      <c r="AQ11" s="40" t="s">
        <v>16</v>
      </c>
      <c r="AR11" s="40"/>
      <c r="AS11" s="40"/>
      <c r="AT11" s="40"/>
      <c r="AU11" s="58" t="s">
        <v>17</v>
      </c>
      <c r="AV11" s="56" t="s">
        <v>18</v>
      </c>
      <c r="AX11" s="31">
        <f ca="1">IF($CX$97="",2*COUNTIF(Ergebnisse!$D$63:'Ergebnisse'!$F$78,M17),2*INT(RAND()*2))</f>
        <v>2</v>
      </c>
      <c r="AY11" s="17" t="str">
        <f ca="1">IF(COUNTIF(Ergebnisse!K13:'Ergebnisse'!K18,Ergebnisse!$B$98)=6,"ok","")</f>
        <v>ok</v>
      </c>
      <c r="BB11" s="72" t="s">
        <v>0</v>
      </c>
      <c r="BC11" s="73" t="s">
        <v>21</v>
      </c>
      <c r="BD11" s="53" t="s">
        <v>2</v>
      </c>
      <c r="BE11" s="54"/>
      <c r="BF11" s="53"/>
      <c r="BG11" s="53"/>
      <c r="BH11" s="20"/>
      <c r="BI11" s="19"/>
      <c r="BJ11" s="20"/>
      <c r="BK11" s="180"/>
      <c r="BL11" s="17"/>
      <c r="BM11" s="35" t="s">
        <v>3</v>
      </c>
      <c r="BN11" s="17" t="s">
        <v>4</v>
      </c>
      <c r="BO11" s="17" t="s">
        <v>5</v>
      </c>
      <c r="BP11" s="17" t="s">
        <v>6</v>
      </c>
      <c r="BQ11" s="17" t="s">
        <v>7</v>
      </c>
      <c r="BR11" s="17"/>
      <c r="BS11" s="55"/>
      <c r="BT11" s="55"/>
      <c r="BU11" s="55"/>
      <c r="BV11" s="55"/>
      <c r="BW11" s="17"/>
      <c r="BX11" s="17" t="s">
        <v>8</v>
      </c>
      <c r="BY11" s="56" t="s">
        <v>9</v>
      </c>
      <c r="BZ11" s="17" t="s">
        <v>4</v>
      </c>
      <c r="CA11" s="17" t="s">
        <v>5</v>
      </c>
      <c r="CB11" s="17" t="s">
        <v>6</v>
      </c>
      <c r="CC11" s="17" t="s">
        <v>7</v>
      </c>
      <c r="CD11" s="17"/>
      <c r="CE11" s="180" t="s">
        <v>10</v>
      </c>
      <c r="CF11" s="15" t="s">
        <v>11</v>
      </c>
      <c r="CG11" s="15"/>
      <c r="CH11" s="15"/>
      <c r="CI11" s="15"/>
      <c r="CJ11" s="15" t="s">
        <v>12</v>
      </c>
      <c r="CK11" s="21" t="s">
        <v>13</v>
      </c>
      <c r="CL11" s="15" t="s">
        <v>14</v>
      </c>
      <c r="CM11" s="15"/>
      <c r="CN11" s="15"/>
      <c r="CO11" s="15"/>
      <c r="CP11" s="15" t="s">
        <v>15</v>
      </c>
      <c r="CQ11" s="15" t="s">
        <v>16</v>
      </c>
      <c r="CR11" s="15"/>
      <c r="CS11" s="15"/>
      <c r="CT11" s="15"/>
      <c r="CU11" s="16" t="s">
        <v>17</v>
      </c>
      <c r="CV11" s="21" t="s">
        <v>18</v>
      </c>
      <c r="CX11" s="72">
        <f ca="1">IF($CX$97="",2*COUNTIF(Ergebnisse!$D$63:'Ergebnisse'!$F$78,BM17),2*INT(RAND()*2))</f>
        <v>2</v>
      </c>
      <c r="CY11" s="17" t="str">
        <f ca="1">IF(COUNTIF(Ergebnisse!BK13:'Ergebnisse'!BK18,Ergebnisse!$B$98)=6,"ok","")</f>
        <v>ok</v>
      </c>
      <c r="DA11" s="163" t="s">
        <v>157</v>
      </c>
      <c r="DB11" s="270">
        <v>2</v>
      </c>
    </row>
    <row r="12" spans="1:106">
      <c r="B12" s="3" t="s">
        <v>22</v>
      </c>
      <c r="C12" s="3" t="s">
        <v>23</v>
      </c>
      <c r="D12" s="55"/>
      <c r="E12" s="55"/>
      <c r="F12" s="55"/>
      <c r="G12" s="55"/>
      <c r="L12" s="1"/>
      <c r="M12" s="9" t="str">
        <f ca="1">VLOOKUP(1,$X$12:$AC$15,2,FALSE)</f>
        <v>Schweiz</v>
      </c>
      <c r="N12" s="2">
        <f ca="1">VLOOKUP(1,$X$12:$AC$15,3,FALSE)</f>
        <v>9</v>
      </c>
      <c r="O12" s="2">
        <f ca="1">VLOOKUP(1,$X$12:$AC$15,4,FALSE)</f>
        <v>13</v>
      </c>
      <c r="P12" s="2">
        <f ca="1">VLOOKUP(1,$X$12:$AC$15,5,FALSE)</f>
        <v>4</v>
      </c>
      <c r="Q12" s="2">
        <f ca="1">VLOOKUP(1,$X$12:$AC$15,6,FALSE)</f>
        <v>9</v>
      </c>
      <c r="S12" s="60"/>
      <c r="T12" s="61">
        <f ca="1">IF(H13="",0,IF(K13=$B$98,IF(H13&gt;J13,3,IF(H13=J13,1,0)),0))</f>
        <v>0</v>
      </c>
      <c r="U12" s="61">
        <f ca="1">IF(H15="",0,IF(K15=$B$98,IF(H15&gt;J15,3,IF(H15=J15,1,0)),0))</f>
        <v>3</v>
      </c>
      <c r="V12" s="61">
        <f ca="1">IF(J17="",0,IF(K18=$B$98,IF(H17&lt;J17,3,IF(H17=J17,1,0)),0))</f>
        <v>0</v>
      </c>
      <c r="W12" s="62"/>
      <c r="X12" s="62">
        <f ca="1">RANK(AD12,$AD$12:$AD$15)</f>
        <v>3</v>
      </c>
      <c r="Y12" s="40" t="s">
        <v>207</v>
      </c>
      <c r="Z12" s="62">
        <f ca="1">SUM(S12:V12)</f>
        <v>3</v>
      </c>
      <c r="AA12" s="62">
        <f ca="1">SUM(S16:V16)</f>
        <v>8</v>
      </c>
      <c r="AB12" s="62">
        <f ca="1">SUM(S16:S19)</f>
        <v>10</v>
      </c>
      <c r="AC12" s="62">
        <f ca="1">AA12-AB12</f>
        <v>-2</v>
      </c>
      <c r="AD12" s="24">
        <f ca="1">IF(P$18="",(((((((AE12*10+Z12)*100+AC12)*100+AA12)*10+AK12)*10+AJ12)*100+AP12)*100+AU12)*10+AV12,(((((((AE12*10+Z12)*10+AK12)*10+AJ12)*100+AP12)*100+AU12)*100+AC12)*100+AA12)*10+AV12)</f>
        <v>299999998084</v>
      </c>
      <c r="AE12" s="203"/>
      <c r="AF12" s="217"/>
      <c r="AG12" s="217">
        <f ca="1">IF($Z12=$Z13,$T12-$S13,0)</f>
        <v>0</v>
      </c>
      <c r="AH12" s="217">
        <f ca="1">IF($Z12=$Z14,$U12-$S14,0)</f>
        <v>0</v>
      </c>
      <c r="AI12" s="217">
        <f ca="1">IF($Z12=$Z15,$V12-$S15,0)</f>
        <v>0</v>
      </c>
      <c r="AJ12" s="217">
        <f ca="1">SUM(AF12:AI12)</f>
        <v>0</v>
      </c>
      <c r="AK12" s="203"/>
      <c r="AL12" s="217"/>
      <c r="AM12" s="217">
        <f ca="1">IF($Z12=$Z13,$T16-$S17,0)</f>
        <v>0</v>
      </c>
      <c r="AN12" s="217">
        <f ca="1">IF($Z12=$Z14,$U16-$S18,0)</f>
        <v>0</v>
      </c>
      <c r="AO12" s="217">
        <f ca="1">IF($Z12=$Z15,$V16-$S19,0)</f>
        <v>0</v>
      </c>
      <c r="AP12" s="217">
        <f ca="1">SUM(AL12:AO12)</f>
        <v>0</v>
      </c>
      <c r="AQ12" s="217"/>
      <c r="AR12" s="217">
        <f ca="1">IF($Z12=$Z13,$T16,0)</f>
        <v>0</v>
      </c>
      <c r="AS12" s="217">
        <f ca="1">IF($Z12=$Z14,$U16,0)</f>
        <v>0</v>
      </c>
      <c r="AT12" s="217">
        <f ca="1">IF($Z12=$Z15,$V16,0)</f>
        <v>0</v>
      </c>
      <c r="AU12" s="217">
        <f ca="1">SUM(AQ12:AT12)</f>
        <v>0</v>
      </c>
      <c r="AV12" s="203">
        <v>4</v>
      </c>
      <c r="AW12" s="2"/>
      <c r="AX12" s="31">
        <f ca="1">IF($CX$97="",2*COUNTIF(Ergebnisse!$D$63:'Ergebnisse'!$F$78,M18),2*INT(RAND()*2))</f>
        <v>0</v>
      </c>
      <c r="AY12" s="17" t="str">
        <f ca="1">IF(COUNTIF(Ergebnisse!K13:'Ergebnisse'!K18,Ergebnisse!$B$98)=6,"ok","")</f>
        <v>ok</v>
      </c>
      <c r="AZ12" s="2"/>
      <c r="BB12" s="3" t="s">
        <v>22</v>
      </c>
      <c r="BC12" s="3" t="s">
        <v>23</v>
      </c>
      <c r="BD12" s="55"/>
      <c r="BE12" s="55"/>
      <c r="BF12" s="55"/>
      <c r="BG12" s="55"/>
      <c r="BL12" s="1"/>
      <c r="BM12" s="9" t="str">
        <f ca="1">VLOOKUP(1,$BX$12:$CC$15,2,FALSE)</f>
        <v>Ecuador</v>
      </c>
      <c r="BN12" s="2">
        <f ca="1">VLOOKUP(1,$BX$12:$CC$15,3,FALSE)</f>
        <v>6</v>
      </c>
      <c r="BO12" s="2">
        <f ca="1">VLOOKUP(1,$BX$12:$CC$15,4,FALSE)</f>
        <v>6</v>
      </c>
      <c r="BP12" s="2">
        <f ca="1">VLOOKUP(1,$BX$12:$CC$15,5,FALSE)</f>
        <v>3</v>
      </c>
      <c r="BQ12" s="2">
        <f ca="1">VLOOKUP(1,$BX$12:$CC$15,6,FALSE)</f>
        <v>3</v>
      </c>
      <c r="BS12" s="60"/>
      <c r="BT12" s="61">
        <f ca="1">IF(BH13="",0,IF(BK13=$B$98,IF(BH13&gt;BJ13,3,IF(BH13=BJ13,1,0)),0))</f>
        <v>0</v>
      </c>
      <c r="BU12" s="61">
        <f ca="1">IF(BH15="",0,IF(BK15=$B$98,IF(BH15&gt;BJ15,3,IF(BH15=BJ15,1,0)),0))</f>
        <v>1</v>
      </c>
      <c r="BV12" s="61">
        <f ca="1">IF(BJ17="",0,IF(BK18=$B$98,IF(BH17&lt;BJ17,3,IF(BH17=BJ17,1,0)),0))</f>
        <v>0</v>
      </c>
      <c r="BW12" s="1"/>
      <c r="BX12" s="1">
        <f ca="1">RANK(CD12,$CD$12:$CD$15)</f>
        <v>4</v>
      </c>
      <c r="BY12" s="40" t="s">
        <v>67</v>
      </c>
      <c r="BZ12" s="1">
        <f ca="1">SUM(BS12:BV12)</f>
        <v>1</v>
      </c>
      <c r="CA12" s="1">
        <f ca="1">SUM(BS16:BV16)</f>
        <v>7</v>
      </c>
      <c r="CB12" s="1">
        <f ca="1">SUM(BS16:BS19)</f>
        <v>11</v>
      </c>
      <c r="CC12" s="1">
        <f ca="1">CA12-CB12</f>
        <v>-4</v>
      </c>
      <c r="CD12" s="24">
        <f ca="1">IF(BP$18="",(((((((CE12*10+BZ12)*100+CC12)*100+CA12)*10+CK12)*10+CJ12)*100+CP12)*100+CU12)*10+CV12,(((((((CE12*10+BZ12)*10+CK12)*10+CJ12)*100+CP12)*100+CU12)*100+CC12)*100+CA12)*10+CV12)</f>
        <v>99999996074</v>
      </c>
      <c r="CE12" s="207"/>
      <c r="CF12" s="218"/>
      <c r="CG12" s="218">
        <f ca="1">IF($BZ12=$BZ13,$BT12-$BS13,0)</f>
        <v>0</v>
      </c>
      <c r="CH12" s="218">
        <f ca="1">IF($BZ12=$BZ14,$BU12-$BS14,0)</f>
        <v>0</v>
      </c>
      <c r="CI12" s="218">
        <f ca="1">IF($BZ12=$BZ15,$BV12-$BS15,0)</f>
        <v>0</v>
      </c>
      <c r="CJ12" s="218">
        <f ca="1">SUM(CF12:CI12)</f>
        <v>0</v>
      </c>
      <c r="CK12" s="207"/>
      <c r="CL12" s="218"/>
      <c r="CM12" s="218">
        <f ca="1">IF($BZ12=$BZ13,$BT16-$BS17,0)</f>
        <v>0</v>
      </c>
      <c r="CN12" s="218">
        <f ca="1">IF($BZ12=$BZ14,$BU16-$BS18,0)</f>
        <v>0</v>
      </c>
      <c r="CO12" s="218">
        <f ca="1">IF($BZ12=$BZ15,$BV16-$BS19,0)</f>
        <v>0</v>
      </c>
      <c r="CP12" s="218">
        <f ca="1">SUM(CL12:CO12)</f>
        <v>0</v>
      </c>
      <c r="CQ12" s="218"/>
      <c r="CR12" s="218">
        <f ca="1">IF($BZ12=$BZ13,$BT16,0)</f>
        <v>0</v>
      </c>
      <c r="CS12" s="218">
        <f ca="1">IF($BZ12=$BZ14,$BU16,0)</f>
        <v>0</v>
      </c>
      <c r="CT12" s="218">
        <f ca="1">IF($BZ12=$BZ15,$BV16,0)</f>
        <v>0</v>
      </c>
      <c r="CU12" s="218">
        <f ca="1">SUM(CQ12:CT12)</f>
        <v>0</v>
      </c>
      <c r="CV12" s="207">
        <v>4</v>
      </c>
      <c r="CX12" s="72">
        <f ca="1">IF($CX$97="",2*COUNTIF(Ergebnisse!$D$63:'Ergebnisse'!$F$78,BM18),2*INT(RAND()*2))</f>
        <v>2</v>
      </c>
      <c r="CY12" s="17" t="str">
        <f ca="1">IF(COUNTIF(Ergebnisse!BK13:'Ergebnisse'!BK18,Ergebnisse!$B$98)=6,"ok","")</f>
        <v>ok</v>
      </c>
      <c r="DA12" s="168" t="s">
        <v>453</v>
      </c>
      <c r="DB12" s="188">
        <v>32</v>
      </c>
    </row>
    <row r="13" spans="1:106">
      <c r="A13" s="16">
        <v>3</v>
      </c>
      <c r="B13" s="6">
        <f>VLOOKUP(A13,Spiele!$A$1:$L$116,2,FALSE)</f>
        <v>46185.625</v>
      </c>
      <c r="C13" s="6" t="str">
        <f>VLOOKUP(A13,Spiele!$A$1:$L$116,9,FALSE)</f>
        <v>Toronto</v>
      </c>
      <c r="D13" s="56" t="str">
        <f>Y12</f>
        <v>Kanada</v>
      </c>
      <c r="E13" s="40" t="s">
        <v>24</v>
      </c>
      <c r="F13" s="56" t="str">
        <f>Y13</f>
        <v>Bosnien/Herzg.</v>
      </c>
      <c r="G13" s="53"/>
      <c r="H13" s="107">
        <f t="shared" ref="H13:H18" ca="1" si="4">IF($B$99="",2,INT(RAND()*5)+INT(RAND()*3)*INT(RAND()*2))</f>
        <v>3</v>
      </c>
      <c r="I13" s="11" t="s">
        <v>25</v>
      </c>
      <c r="J13" s="107">
        <f t="shared" ref="J13:J18" ca="1" si="5">IF($B$99="",1,INT(RAND()*5)+INT(RAND()*3)*INT(RAND()*2))</f>
        <v>4</v>
      </c>
      <c r="K13" s="7" t="s">
        <v>26</v>
      </c>
      <c r="L13" s="1"/>
      <c r="M13" s="9" t="str">
        <f ca="1">VLOOKUP(2,$X$12:$AC$15,2,FALSE)</f>
        <v>Bosnien/Herzg.</v>
      </c>
      <c r="N13" s="2">
        <f ca="1">VLOOKUP(2,$X$12:$AC$15,3,FALSE)</f>
        <v>4</v>
      </c>
      <c r="O13" s="2">
        <f ca="1">VLOOKUP(2,$X$12:$AC$15,4,FALSE)</f>
        <v>6</v>
      </c>
      <c r="P13" s="2">
        <f ca="1">VLOOKUP(2,$X$12:$AC$15,5,FALSE)</f>
        <v>7</v>
      </c>
      <c r="Q13" s="2">
        <f ca="1">VLOOKUP(2,$X$12:$AC$15,6,FALSE)</f>
        <v>-1</v>
      </c>
      <c r="S13" s="61">
        <f ca="1">IF(J13="",0,IF(K13=$B$98,IF(H13&lt;J13,3,IF(H13=J13,1,0)),0))</f>
        <v>3</v>
      </c>
      <c r="T13" s="60"/>
      <c r="U13" s="61">
        <f ca="1">IF(H18="",0,IF(K17=$B$98,IF(H18&gt;J18,3,IF(H18=J18,1,0)),0))</f>
        <v>1</v>
      </c>
      <c r="V13" s="61">
        <f ca="1">IF(J16="",0,IF(K16=$B$98,IF(J16&gt;H16,3,IF(J16=H16,1,0)),0))</f>
        <v>0</v>
      </c>
      <c r="W13" s="62"/>
      <c r="X13" s="62">
        <f ca="1">RANK(AD13,$AD$12:$AD$15)</f>
        <v>2</v>
      </c>
      <c r="Y13" s="40" t="s">
        <v>208</v>
      </c>
      <c r="Z13" s="62">
        <f ca="1">SUM(S13:V13)</f>
        <v>4</v>
      </c>
      <c r="AA13" s="62">
        <f ca="1">SUM(S17:V17)</f>
        <v>6</v>
      </c>
      <c r="AB13" s="62">
        <f ca="1">SUM(T16:T19)</f>
        <v>7</v>
      </c>
      <c r="AC13" s="62">
        <f ca="1">AA13-AB13</f>
        <v>-1</v>
      </c>
      <c r="AD13" s="24">
        <f ca="1">IF(P$18="",(((((((AE13*10+Z13)*100+AC13)*100+AA13)*10+AK13)*10+AJ13)*100+AP13)*100+AU13)*10+AV13,(((((((AE13*10+Z13)*10+AK13)*10+AJ13)*100+AP13)*100+AU13)*100+AC13)*100+AA13)*10+AV13)</f>
        <v>399999999063</v>
      </c>
      <c r="AE13" s="203"/>
      <c r="AF13" s="217">
        <f ca="1">IF($Z13=$Z12,$S13-$T12,0)</f>
        <v>0</v>
      </c>
      <c r="AG13" s="217"/>
      <c r="AH13" s="217">
        <f ca="1">IF($Z13=$Z14,$U13-$T14,0)</f>
        <v>0</v>
      </c>
      <c r="AI13" s="217">
        <f ca="1">IF($Z13=$Z15,$V13-$T15,0)</f>
        <v>0</v>
      </c>
      <c r="AJ13" s="217">
        <f ca="1">SUM(AF13:AI13)</f>
        <v>0</v>
      </c>
      <c r="AK13" s="203"/>
      <c r="AL13" s="217">
        <f ca="1">IF($Z13=$Z12,$S17-$T16,0)</f>
        <v>0</v>
      </c>
      <c r="AM13" s="217"/>
      <c r="AN13" s="217">
        <f ca="1">IF($Z13=$Z14,$U17-$T18,0)</f>
        <v>0</v>
      </c>
      <c r="AO13" s="217">
        <f ca="1">IF($Z13=$Z15,$V17-$T19,0)</f>
        <v>0</v>
      </c>
      <c r="AP13" s="217">
        <f ca="1">SUM(AL13:AO13)</f>
        <v>0</v>
      </c>
      <c r="AQ13" s="217">
        <f ca="1">IF($Z13=$Z12,$S17,0)</f>
        <v>0</v>
      </c>
      <c r="AR13" s="217"/>
      <c r="AS13" s="217">
        <f ca="1">IF($Z13=$Z14,$U17,0)</f>
        <v>0</v>
      </c>
      <c r="AT13" s="217">
        <f ca="1">IF($Z13=$Z15,$V17,0)</f>
        <v>0</v>
      </c>
      <c r="AU13" s="217">
        <f ca="1">SUM(AQ13:AT13)</f>
        <v>0</v>
      </c>
      <c r="AV13" s="203">
        <v>3</v>
      </c>
      <c r="AW13" s="2"/>
      <c r="AX13" s="17">
        <f ca="1">IF($CX$97="",IF(OR(Ergebnisse!H13="",Ergebnisse!J13=""),0,IF(AND(H13=Ergebnisse!H13,J13=Ergebnisse!J13),7,MIN(7,(H13-J13=Ergebnisse!H13-Ergebnisse!J13)*4+(AND(H13-J13&lt;&gt;Ergebnisse!H13-Ergebnisse!J13,SIGN(H13-J13)=SIGN(Ergebnisse!H13-Ergebnisse!J13)))*2+(H13=Ergebnisse!H13)+(J13=Ergebnisse!J13)))),INT(RAND()*8))</f>
        <v>0</v>
      </c>
      <c r="AY13" s="17" t="str">
        <f ca="1">IF(Ergebnisse!K13=Ergebnisse!$B$98,Ergebnisse!K13,"")</f>
        <v>ok</v>
      </c>
      <c r="AZ13" s="2"/>
      <c r="BA13" s="2">
        <v>10</v>
      </c>
      <c r="BB13" s="6">
        <f>VLOOKUP(BA13,Spiele!$A$1:$L$116,2,FALSE)</f>
        <v>46187.5</v>
      </c>
      <c r="BC13" s="6" t="str">
        <f>VLOOKUP(BA13,Spiele!$A$1:$L$116,9,FALSE)</f>
        <v>Houston</v>
      </c>
      <c r="BD13" s="56" t="str">
        <f>BY12</f>
        <v>Deutschland</v>
      </c>
      <c r="BE13" s="40" t="s">
        <v>24</v>
      </c>
      <c r="BF13" s="56" t="str">
        <f>BY13</f>
        <v>Curaçao</v>
      </c>
      <c r="BG13" s="53"/>
      <c r="BH13" s="107">
        <f t="shared" ref="BH13:BH18" ca="1" si="6">IF($B$99="",2,INT(RAND()*5)+INT(RAND()*3)*INT(RAND()*2))</f>
        <v>1</v>
      </c>
      <c r="BI13" s="11" t="s">
        <v>25</v>
      </c>
      <c r="BJ13" s="107">
        <f t="shared" ref="BJ13:BJ18" ca="1" si="7">IF($B$99="",1,INT(RAND()*5)+INT(RAND()*3)*INT(RAND()*2))</f>
        <v>3</v>
      </c>
      <c r="BK13" s="7" t="s">
        <v>26</v>
      </c>
      <c r="BL13" s="1"/>
      <c r="BM13" s="9" t="str">
        <f ca="1">VLOOKUP(2,$BX$12:$CC$15,2,FALSE)</f>
        <v>Curaçao</v>
      </c>
      <c r="BN13" s="2">
        <f ca="1">VLOOKUP(2,$BX$12:$CC$15,3,FALSE)</f>
        <v>6</v>
      </c>
      <c r="BO13" s="2">
        <f ca="1">VLOOKUP(2,$BX$12:$CC$15,4,FALSE)</f>
        <v>6</v>
      </c>
      <c r="BP13" s="2">
        <f ca="1">VLOOKUP(2,$BX$12:$CC$15,5,FALSE)</f>
        <v>6</v>
      </c>
      <c r="BQ13" s="2">
        <f ca="1">VLOOKUP(2,$BX$12:$CC$15,6,FALSE)</f>
        <v>0</v>
      </c>
      <c r="BS13" s="61">
        <f ca="1">IF(BJ13="",0,IF(BK13=$B$98,IF(BH13&lt;BJ13,3,IF(BH13=BJ13,1,0)),0))</f>
        <v>3</v>
      </c>
      <c r="BT13" s="60"/>
      <c r="BU13" s="61">
        <f ca="1">IF(BH18="",0,IF(BK17=$B$98,IF(BH18&gt;BJ18,3,IF(BH18=BJ18,1,0)),0))</f>
        <v>3</v>
      </c>
      <c r="BV13" s="61">
        <f ca="1">IF(BJ16="",0,IF(BK16=$B$98,IF(BJ16&gt;BH16,3,IF(BJ16=BH16,1,0)),0))</f>
        <v>0</v>
      </c>
      <c r="BW13" s="1"/>
      <c r="BX13" s="1">
        <f ca="1">RANK(CD13,$CD$12:$CD$15)</f>
        <v>2</v>
      </c>
      <c r="BY13" s="40" t="s">
        <v>209</v>
      </c>
      <c r="BZ13" s="1">
        <f ca="1">SUM(BS13:BV13)</f>
        <v>6</v>
      </c>
      <c r="CA13" s="1">
        <f ca="1">SUM(BS17:BV17)</f>
        <v>6</v>
      </c>
      <c r="CB13" s="1">
        <f ca="1">SUM(BT16:BT19)</f>
        <v>6</v>
      </c>
      <c r="CC13" s="1">
        <f ca="1">CA13-CB13</f>
        <v>0</v>
      </c>
      <c r="CD13" s="24">
        <f ca="1">IF(BP$18="",(((((((CE13*10+BZ13)*100+CC13)*100+CA13)*10+CK13)*10+CJ13)*100+CP13)*100+CU13)*10+CV13,(((((((CE13*10+BZ13)*10+CK13)*10+CJ13)*100+CP13)*100+CU13)*100+CC13)*100+CA13)*10+CV13)</f>
        <v>596970000063</v>
      </c>
      <c r="CE13" s="207"/>
      <c r="CF13" s="218">
        <f ca="1">IF($BZ13=$BZ12,$BS13-$BT12,0)</f>
        <v>0</v>
      </c>
      <c r="CG13" s="218"/>
      <c r="CH13" s="218">
        <f ca="1">IF($BZ13=$BZ14,$BU13-$BT14,0)</f>
        <v>0</v>
      </c>
      <c r="CI13" s="218">
        <f ca="1">IF($BZ13=$BZ15,$BV13-$BT15,0)</f>
        <v>-3</v>
      </c>
      <c r="CJ13" s="218">
        <f ca="1">SUM(CF13:CI13)</f>
        <v>-3</v>
      </c>
      <c r="CK13" s="207"/>
      <c r="CL13" s="218">
        <f ca="1">IF($BZ13=$BZ12,$BS17-$BT16,0)</f>
        <v>0</v>
      </c>
      <c r="CM13" s="218"/>
      <c r="CN13" s="218">
        <f ca="1">IF($BZ13=$BZ14,$BU17-$BT18,0)</f>
        <v>0</v>
      </c>
      <c r="CO13" s="218">
        <f ca="1">IF($BZ13=$BZ15,$BV17-$BT19,0)</f>
        <v>-3</v>
      </c>
      <c r="CP13" s="218">
        <f ca="1">SUM(CL13:CO13)</f>
        <v>-3</v>
      </c>
      <c r="CQ13" s="218">
        <f ca="1">IF($BZ13=$BZ12,$BS17,0)</f>
        <v>0</v>
      </c>
      <c r="CR13" s="218"/>
      <c r="CS13" s="218">
        <f ca="1">IF($BZ13=$BZ14,$BU17,0)</f>
        <v>0</v>
      </c>
      <c r="CT13" s="218">
        <f ca="1">IF($BZ13=$BZ15,$BV17,0)</f>
        <v>0</v>
      </c>
      <c r="CU13" s="218">
        <f ca="1">SUM(CQ13:CT13)</f>
        <v>0</v>
      </c>
      <c r="CV13" s="207">
        <v>3</v>
      </c>
      <c r="CX13" s="17">
        <f ca="1">IF($CX$97="",IF(OR(Ergebnisse!BH13="",Ergebnisse!BJ13=""),0,IF(AND(BH13=Ergebnisse!BH13,BJ13=Ergebnisse!BJ13),7,MIN(7,(BH13-BJ13=Ergebnisse!BH13-Ergebnisse!BJ13)*4+(AND(BH13-BJ13&lt;&gt;Ergebnisse!BH13-Ergebnisse!BJ13,SIGN(BH13-BJ13)=SIGN(Ergebnisse!BH13-Ergebnisse!BJ13)))*2+(BH13=Ergebnisse!BH13)+(BJ13=Ergebnisse!BJ13)))),INT(RAND()*8))</f>
        <v>2</v>
      </c>
      <c r="CY13" s="17" t="str">
        <f ca="1">IF(Ergebnisse!BK13=Ergebnisse!$B$98,Ergebnisse!BK13,"")</f>
        <v>ok</v>
      </c>
      <c r="DA13" s="168"/>
      <c r="DB13" s="164"/>
    </row>
    <row r="14" spans="1:106">
      <c r="A14" s="2">
        <v>8</v>
      </c>
      <c r="B14" s="6">
        <f>VLOOKUP(A14,Spiele!$A$1:$L$116,2,FALSE)</f>
        <v>46186.5</v>
      </c>
      <c r="C14" s="6" t="str">
        <f>VLOOKUP(A14,Spiele!$A$1:$L$116,9,FALSE)</f>
        <v>San Francisco</v>
      </c>
      <c r="D14" s="56" t="str">
        <f>Y14</f>
        <v>Katar</v>
      </c>
      <c r="E14" s="40" t="s">
        <v>24</v>
      </c>
      <c r="F14" s="56" t="str">
        <f>Y15</f>
        <v>Schweiz</v>
      </c>
      <c r="G14" s="53"/>
      <c r="H14" s="107">
        <f t="shared" ca="1" si="4"/>
        <v>2</v>
      </c>
      <c r="I14" s="11" t="s">
        <v>25</v>
      </c>
      <c r="J14" s="107">
        <f t="shared" ca="1" si="5"/>
        <v>6</v>
      </c>
      <c r="K14" s="7" t="s">
        <v>26</v>
      </c>
      <c r="L14" s="1"/>
      <c r="M14" s="9" t="str">
        <f ca="1">VLOOKUP(3,$X$12:$AC$15,2,FALSE)</f>
        <v>Kanada</v>
      </c>
      <c r="N14" s="2">
        <f ca="1">VLOOKUP(3,$X$12:$AC$15,3,FALSE)</f>
        <v>3</v>
      </c>
      <c r="O14" s="2">
        <f ca="1">VLOOKUP(3,$X$12:$AC$15,4,FALSE)</f>
        <v>8</v>
      </c>
      <c r="P14" s="2">
        <f ca="1">VLOOKUP(3,$X$12:$AC$15,5,FALSE)</f>
        <v>10</v>
      </c>
      <c r="Q14" s="2">
        <f ca="1">VLOOKUP(3,$X$12:$AC$15,6,FALSE)</f>
        <v>-2</v>
      </c>
      <c r="S14" s="61">
        <f ca="1">IF(J15="",0,IF(K15=$B$98,IF(H15&lt;J15,3,IF(H15=J15,1,0)),0))</f>
        <v>0</v>
      </c>
      <c r="T14" s="61">
        <f ca="1">IF(J18="",0,IF(K17=$B$98,IF(H18&lt;J18,3,IF(H18=J18,1,0)),0))</f>
        <v>1</v>
      </c>
      <c r="U14" s="60"/>
      <c r="V14" s="61">
        <f ca="1">IF(H14="",0,IF(K14=$B$98,IF(H14&gt;J14,3,IF(H14=J14,1,0)),0))</f>
        <v>0</v>
      </c>
      <c r="W14" s="62"/>
      <c r="X14" s="62">
        <f ca="1">RANK(AD14,$AD$12:$AD$15)</f>
        <v>4</v>
      </c>
      <c r="Y14" s="40" t="s">
        <v>210</v>
      </c>
      <c r="Z14" s="62">
        <f ca="1">SUM(S14:V14)</f>
        <v>1</v>
      </c>
      <c r="AA14" s="62">
        <f ca="1">SUM(S18:V18)</f>
        <v>5</v>
      </c>
      <c r="AB14" s="62">
        <f ca="1">SUM(U16:U19)</f>
        <v>11</v>
      </c>
      <c r="AC14" s="62">
        <f ca="1">AA14-AB14</f>
        <v>-6</v>
      </c>
      <c r="AD14" s="24">
        <f ca="1">IF(P$18="",(((((((AE14*10+Z14)*100+AC14)*100+AA14)*10+AK14)*10+AJ14)*100+AP14)*100+AU14)*10+AV14,(((((((AE14*10+Z14)*10+AK14)*10+AJ14)*100+AP14)*100+AU14)*100+AC14)*100+AA14)*10+AV14)</f>
        <v>99999994052</v>
      </c>
      <c r="AE14" s="203"/>
      <c r="AF14" s="217">
        <f ca="1">IF($Z14=$Z12,$S14-$U12,0)</f>
        <v>0</v>
      </c>
      <c r="AG14" s="217">
        <f ca="1">IF($Z14=$Z13,$T14-$U13,0)</f>
        <v>0</v>
      </c>
      <c r="AH14" s="217"/>
      <c r="AI14" s="217">
        <f ca="1">IF($Z14=$Z15,$V14-$U15,0)</f>
        <v>0</v>
      </c>
      <c r="AJ14" s="217">
        <f ca="1">SUM(AF14:AI14)</f>
        <v>0</v>
      </c>
      <c r="AK14" s="203"/>
      <c r="AL14" s="217">
        <f ca="1">IF($Z14=$Z12,$S18-$U16,0)</f>
        <v>0</v>
      </c>
      <c r="AM14" s="217">
        <f ca="1">IF($Z14=$Z13,$T18-$U17,0)</f>
        <v>0</v>
      </c>
      <c r="AN14" s="217"/>
      <c r="AO14" s="217">
        <f ca="1">IF($Z14=$Z15,$V18-$U19,0)</f>
        <v>0</v>
      </c>
      <c r="AP14" s="217">
        <f ca="1">SUM(AL14:AO14)</f>
        <v>0</v>
      </c>
      <c r="AQ14" s="217">
        <f ca="1">IF($Z14=$Z12,$S18,0)</f>
        <v>0</v>
      </c>
      <c r="AR14" s="217">
        <f ca="1">IF($Z14=$Z13,$T18,0)</f>
        <v>0</v>
      </c>
      <c r="AS14" s="217"/>
      <c r="AT14" s="217">
        <f ca="1">IF($Z14=$Z15,$V18,0)</f>
        <v>0</v>
      </c>
      <c r="AU14" s="217">
        <f ca="1">SUM(AQ14:AT14)</f>
        <v>0</v>
      </c>
      <c r="AV14" s="203">
        <v>2</v>
      </c>
      <c r="AW14" s="2"/>
      <c r="AX14" s="17">
        <f ca="1">IF($CX$97="",IF(OR(Ergebnisse!H14="",Ergebnisse!J14=""),0,IF(AND(H14=Ergebnisse!H14,J14=Ergebnisse!J14),7,MIN(7,(H14-J14=Ergebnisse!H14-Ergebnisse!J14)*4+(AND(H14-J14&lt;&gt;Ergebnisse!H14-Ergebnisse!J14,SIGN(H14-J14)=SIGN(Ergebnisse!H14-Ergebnisse!J14)))*2+(H14=Ergebnisse!H14)+(J14=Ergebnisse!J14)))),INT(RAND()*8))</f>
        <v>4</v>
      </c>
      <c r="AY14" s="17" t="str">
        <f ca="1">IF(Ergebnisse!K14=Ergebnisse!$B$98,Ergebnisse!K14,"")</f>
        <v>ok</v>
      </c>
      <c r="AZ14" s="2"/>
      <c r="BA14" s="2">
        <v>9</v>
      </c>
      <c r="BB14" s="6">
        <f>VLOOKUP(BA14,Spiele!$A$1:$L$116,2,FALSE)</f>
        <v>46187.791666666664</v>
      </c>
      <c r="BC14" s="6" t="str">
        <f>VLOOKUP(BA14,Spiele!$A$1:$L$116,9,FALSE)</f>
        <v>Philadelphia</v>
      </c>
      <c r="BD14" s="56" t="str">
        <f>BY14</f>
        <v>Elfenbeinküste</v>
      </c>
      <c r="BE14" s="40" t="s">
        <v>24</v>
      </c>
      <c r="BF14" s="56" t="str">
        <f>BY15</f>
        <v>Ecuador</v>
      </c>
      <c r="BG14" s="53"/>
      <c r="BH14" s="107">
        <f t="shared" ca="1" si="6"/>
        <v>2</v>
      </c>
      <c r="BI14" s="11" t="s">
        <v>25</v>
      </c>
      <c r="BJ14" s="107">
        <f t="shared" ca="1" si="7"/>
        <v>0</v>
      </c>
      <c r="BK14" s="7" t="s">
        <v>26</v>
      </c>
      <c r="BL14" s="1"/>
      <c r="BM14" s="9" t="str">
        <f ca="1">VLOOKUP(3,$BX$12:$CC$15,2,FALSE)</f>
        <v>Elfenbeinküste</v>
      </c>
      <c r="BN14" s="2">
        <f ca="1">VLOOKUP(3,$BX$12:$CC$15,3,FALSE)</f>
        <v>4</v>
      </c>
      <c r="BO14" s="2">
        <f ca="1">VLOOKUP(3,$BX$12:$CC$15,4,FALSE)</f>
        <v>9</v>
      </c>
      <c r="BP14" s="2">
        <f ca="1">VLOOKUP(3,$BX$12:$CC$15,5,FALSE)</f>
        <v>8</v>
      </c>
      <c r="BQ14" s="2">
        <f ca="1">VLOOKUP(3,$BX$12:$CC$15,6,FALSE)</f>
        <v>1</v>
      </c>
      <c r="BS14" s="61">
        <f ca="1">IF(BJ15="",0,IF(BK15=$B$98,IF(BH15&lt;BJ15,3,IF(BH15=BJ15,1,0)),0))</f>
        <v>1</v>
      </c>
      <c r="BT14" s="61">
        <f ca="1">IF(BJ18="",0,IF(BK17=$B$98,IF(BH18&lt;BJ18,3,IF(BH18=BJ18,1,0)),0))</f>
        <v>0</v>
      </c>
      <c r="BU14" s="60"/>
      <c r="BV14" s="61">
        <f ca="1">IF(BH14="",0,IF(BK14=$B$98,IF(BH14&gt;BJ14,3,IF(BH14=BJ14,1,0)),0))</f>
        <v>3</v>
      </c>
      <c r="BW14" s="1"/>
      <c r="BX14" s="1">
        <f ca="1">RANK(CD14,$CD$12:$CD$15)</f>
        <v>3</v>
      </c>
      <c r="BY14" s="40" t="s">
        <v>211</v>
      </c>
      <c r="BZ14" s="1">
        <f ca="1">SUM(BS14:BV14)</f>
        <v>4</v>
      </c>
      <c r="CA14" s="1">
        <f ca="1">SUM(BS18:BV18)</f>
        <v>9</v>
      </c>
      <c r="CB14" s="1">
        <f ca="1">SUM(BU16:BU19)</f>
        <v>8</v>
      </c>
      <c r="CC14" s="1">
        <f ca="1">CA14-CB14</f>
        <v>1</v>
      </c>
      <c r="CD14" s="24">
        <f ca="1">IF(BP$18="",(((((((CE14*10+BZ14)*100+CC14)*100+CA14)*10+CK14)*10+CJ14)*100+CP14)*100+CU14)*10+CV14,(((((((CE14*10+BZ14)*10+CK14)*10+CJ14)*100+CP14)*100+CU14)*100+CC14)*100+CA14)*10+CV14)</f>
        <v>400000001092</v>
      </c>
      <c r="CE14" s="207"/>
      <c r="CF14" s="218">
        <f ca="1">IF($BZ14=$BZ12,$BS14-$BU12,0)</f>
        <v>0</v>
      </c>
      <c r="CG14" s="218">
        <f ca="1">IF($BZ14=$BZ13,$BT14-$BU13,0)</f>
        <v>0</v>
      </c>
      <c r="CH14" s="218"/>
      <c r="CI14" s="218">
        <f ca="1">IF($BZ14=$BZ15,$BV14-$BU15,0)</f>
        <v>0</v>
      </c>
      <c r="CJ14" s="218">
        <f ca="1">SUM(CF14:CI14)</f>
        <v>0</v>
      </c>
      <c r="CK14" s="207"/>
      <c r="CL14" s="218">
        <f ca="1">IF($BZ14=$BZ12,$BS18-$BU16,0)</f>
        <v>0</v>
      </c>
      <c r="CM14" s="218">
        <f ca="1">IF($BZ14=$BZ13,$BT18-$BU17,0)</f>
        <v>0</v>
      </c>
      <c r="CN14" s="218"/>
      <c r="CO14" s="218">
        <f ca="1">IF($BZ14=$BZ15,$BV18-$BU19,0)</f>
        <v>0</v>
      </c>
      <c r="CP14" s="218">
        <f ca="1">SUM(CL14:CO14)</f>
        <v>0</v>
      </c>
      <c r="CQ14" s="218">
        <f ca="1">IF($BZ14=$BZ12,$BS18,0)</f>
        <v>0</v>
      </c>
      <c r="CR14" s="218">
        <f ca="1">IF($BZ14=$BZ13,$BT18,0)</f>
        <v>0</v>
      </c>
      <c r="CS14" s="218"/>
      <c r="CT14" s="218">
        <f ca="1">IF($BZ14=$BZ15,$BV18,0)</f>
        <v>0</v>
      </c>
      <c r="CU14" s="218">
        <f ca="1">SUM(CQ14:CT14)</f>
        <v>0</v>
      </c>
      <c r="CV14" s="207">
        <v>2</v>
      </c>
      <c r="CX14" s="17">
        <f ca="1">IF($CX$97="",IF(OR(Ergebnisse!BH14="",Ergebnisse!BJ14=""),0,IF(AND(BH14=Ergebnisse!BH14,BJ14=Ergebnisse!BJ14),7,MIN(7,(BH14-BJ14=Ergebnisse!BH14-Ergebnisse!BJ14)*4+(AND(BH14-BJ14&lt;&gt;Ergebnisse!BH14-Ergebnisse!BJ14,SIGN(BH14-BJ14)=SIGN(Ergebnisse!BH14-Ergebnisse!BJ14)))*2+(BH14=Ergebnisse!BH14)+(BJ14=Ergebnisse!BJ14)))),INT(RAND()*8))</f>
        <v>0</v>
      </c>
      <c r="CY14" s="17" t="str">
        <f ca="1">IF(Ergebnisse!BK14=Ergebnisse!$B$98,Ergebnisse!BK14,"")</f>
        <v>ok</v>
      </c>
      <c r="DA14" s="170" t="s">
        <v>454</v>
      </c>
      <c r="DB14" s="166">
        <f>DB17*(DB16+2*DB15)</f>
        <v>144</v>
      </c>
    </row>
    <row r="15" spans="1:106">
      <c r="A15" s="2">
        <v>27</v>
      </c>
      <c r="B15" s="6">
        <f>VLOOKUP(A15,Spiele!$A$1:$L$116,2,FALSE)</f>
        <v>46191.625</v>
      </c>
      <c r="C15" s="6" t="str">
        <f>VLOOKUP(A15,Spiele!$A$1:$L$116,9,FALSE)</f>
        <v>Vancouver</v>
      </c>
      <c r="D15" s="56" t="str">
        <f>Y12</f>
        <v>Kanada</v>
      </c>
      <c r="E15" s="40" t="s">
        <v>24</v>
      </c>
      <c r="F15" s="56" t="str">
        <f>Y14</f>
        <v>Katar</v>
      </c>
      <c r="G15" s="53"/>
      <c r="H15" s="107">
        <f t="shared" ca="1" si="4"/>
        <v>4</v>
      </c>
      <c r="I15" s="11" t="s">
        <v>25</v>
      </c>
      <c r="J15" s="107">
        <f t="shared" ca="1" si="5"/>
        <v>2</v>
      </c>
      <c r="K15" s="7" t="s">
        <v>26</v>
      </c>
      <c r="L15" s="1"/>
      <c r="M15" s="9" t="str">
        <f ca="1">VLOOKUP(4,$X$12:$AC$15,2,FALSE)</f>
        <v>Katar</v>
      </c>
      <c r="N15" s="2">
        <f ca="1">VLOOKUP(4,$X$12:$AC$15,3,FALSE)</f>
        <v>1</v>
      </c>
      <c r="O15" s="2">
        <f ca="1">VLOOKUP(4,$X$12:$AC$15,4,FALSE)</f>
        <v>5</v>
      </c>
      <c r="P15" s="2">
        <f ca="1">VLOOKUP(4,$X$12:$AC$15,5,FALSE)</f>
        <v>11</v>
      </c>
      <c r="Q15" s="2">
        <f ca="1">VLOOKUP(4,$X$12:$AC$15,6,FALSE)</f>
        <v>-6</v>
      </c>
      <c r="S15" s="61">
        <f ca="1">IF(H17="",0,IF(K18=$B$98,IF(H17&gt;J17,3,IF(H17=J17,1,0)),0))</f>
        <v>3</v>
      </c>
      <c r="T15" s="61">
        <f ca="1">IF(H16="",0,IF(K16=$B$98,IF(J16&lt;H16,3,IF(J16=H16,1,0)),0))</f>
        <v>3</v>
      </c>
      <c r="U15" s="61">
        <f ca="1">IF(J14="",0,IF(K14=$B$98,IF(H14&lt;J14,3,IF(H14=J14,1,0)),0))</f>
        <v>3</v>
      </c>
      <c r="V15" s="60"/>
      <c r="W15" s="62"/>
      <c r="X15" s="62">
        <f ca="1">RANK(AD15,$AD$12:$AD$15)</f>
        <v>1</v>
      </c>
      <c r="Y15" s="40" t="s">
        <v>68</v>
      </c>
      <c r="Z15" s="62">
        <f ca="1">SUM(S15:V15)</f>
        <v>9</v>
      </c>
      <c r="AA15" s="62">
        <f ca="1">SUM(S19:V19)</f>
        <v>13</v>
      </c>
      <c r="AB15" s="62">
        <f ca="1">SUM(V16:V19)</f>
        <v>4</v>
      </c>
      <c r="AC15" s="62">
        <f ca="1">AA15-AB15</f>
        <v>9</v>
      </c>
      <c r="AD15" s="24">
        <f ca="1">IF(P$18="",(((((((AE15*10+Z15)*100+AC15)*100+AA15)*10+AK15)*10+AJ15)*100+AP15)*100+AU15)*10+AV15,(((((((AE15*10+Z15)*10+AK15)*10+AJ15)*100+AP15)*100+AU15)*100+AC15)*100+AA15)*10+AV15)</f>
        <v>900000009131</v>
      </c>
      <c r="AE15" s="203"/>
      <c r="AF15" s="217">
        <f ca="1">IF($Z15=$Z12,$S15-$V12,0)</f>
        <v>0</v>
      </c>
      <c r="AG15" s="217">
        <f ca="1">IF($Z15=$Z13,$T15-$V13,0)</f>
        <v>0</v>
      </c>
      <c r="AH15" s="217">
        <f ca="1">IF($Z15=$Z14,$U15-$V14,0)</f>
        <v>0</v>
      </c>
      <c r="AI15" s="217"/>
      <c r="AJ15" s="217">
        <f ca="1">SUM(AF15:AI15)</f>
        <v>0</v>
      </c>
      <c r="AK15" s="203"/>
      <c r="AL15" s="217">
        <f ca="1">IF($Z15=$Z12,$S19-$V16,0)</f>
        <v>0</v>
      </c>
      <c r="AM15" s="217">
        <f ca="1">IF($Z15=$Z13,$T19-$V17,0)</f>
        <v>0</v>
      </c>
      <c r="AN15" s="217">
        <f ca="1">IF($Z15=$Z14,$U19-$V18,0)</f>
        <v>0</v>
      </c>
      <c r="AO15" s="217"/>
      <c r="AP15" s="217">
        <f ca="1">SUM(AL15:AO15)</f>
        <v>0</v>
      </c>
      <c r="AQ15" s="217">
        <f ca="1">IF($Z15=$Z12,$S19,0)</f>
        <v>0</v>
      </c>
      <c r="AR15" s="217">
        <f ca="1">IF($Z15=$Z13,$T19,0)</f>
        <v>0</v>
      </c>
      <c r="AS15" s="217">
        <f ca="1">IF($Z15=$Z14,$U19,0)</f>
        <v>0</v>
      </c>
      <c r="AT15" s="217"/>
      <c r="AU15" s="217">
        <f ca="1">SUM(AQ15:AT15)</f>
        <v>0</v>
      </c>
      <c r="AV15" s="203">
        <v>1</v>
      </c>
      <c r="AW15" s="2"/>
      <c r="AX15" s="17">
        <f ca="1">IF($CX$97="",IF(OR(Ergebnisse!H15="",Ergebnisse!J15=""),0,IF(AND(H15=Ergebnisse!H15,J15=Ergebnisse!J15),7,MIN(7,(H15-J15=Ergebnisse!H15-Ergebnisse!J15)*4+(AND(H15-J15&lt;&gt;Ergebnisse!H15-Ergebnisse!J15,SIGN(H15-J15)=SIGN(Ergebnisse!H15-Ergebnisse!J15)))*2+(H15=Ergebnisse!H15)+(J15=Ergebnisse!J15)))),INT(RAND()*8))</f>
        <v>3</v>
      </c>
      <c r="AY15" s="17" t="str">
        <f ca="1">IF(Ergebnisse!K15=Ergebnisse!$B$98,Ergebnisse!K15,"")</f>
        <v>ok</v>
      </c>
      <c r="AZ15" s="2"/>
      <c r="BA15" s="2">
        <v>33</v>
      </c>
      <c r="BB15" s="6">
        <f>VLOOKUP(BA15,Spiele!$A$1:$L$116,2,FALSE)</f>
        <v>46193.666666666664</v>
      </c>
      <c r="BC15" s="6" t="str">
        <f>VLOOKUP(BA15,Spiele!$A$1:$L$116,9,FALSE)</f>
        <v>Toronto</v>
      </c>
      <c r="BD15" s="56" t="str">
        <f>BY12</f>
        <v>Deutschland</v>
      </c>
      <c r="BE15" s="40" t="s">
        <v>24</v>
      </c>
      <c r="BF15" s="56" t="str">
        <f>BY14</f>
        <v>Elfenbeinküste</v>
      </c>
      <c r="BG15" s="53"/>
      <c r="BH15" s="107">
        <f t="shared" ca="1" si="6"/>
        <v>5</v>
      </c>
      <c r="BI15" s="11" t="s">
        <v>25</v>
      </c>
      <c r="BJ15" s="107">
        <f t="shared" ca="1" si="7"/>
        <v>5</v>
      </c>
      <c r="BK15" s="7" t="s">
        <v>26</v>
      </c>
      <c r="BL15" s="1"/>
      <c r="BM15" s="9" t="str">
        <f ca="1">VLOOKUP(4,$BX$12:CC$15,2,FALSE)</f>
        <v>Deutschland</v>
      </c>
      <c r="BN15" s="2">
        <f ca="1">VLOOKUP(4,$BX$12:$CC$15,3,FALSE)</f>
        <v>1</v>
      </c>
      <c r="BO15" s="2">
        <f ca="1">VLOOKUP(4,$BX$12:$CC$15,4,FALSE)</f>
        <v>7</v>
      </c>
      <c r="BP15" s="2">
        <f ca="1">VLOOKUP(4,$BX$12:$CC$15,5,FALSE)</f>
        <v>11</v>
      </c>
      <c r="BQ15" s="2">
        <f ca="1">VLOOKUP(4,$BX$12:$CC$15,6,FALSE)</f>
        <v>-4</v>
      </c>
      <c r="BS15" s="61">
        <f ca="1">IF(BH17="",0,IF(BK18=$B$98,IF(BH17&gt;BJ17,3,IF(BH17=BJ17,1,0)),0))</f>
        <v>3</v>
      </c>
      <c r="BT15" s="61">
        <f ca="1">IF(BH16="",0,IF(BK16=$B$98,IF(BJ16&lt;BH16,3,IF(BJ16=BH16,1,0)),0))</f>
        <v>3</v>
      </c>
      <c r="BU15" s="61">
        <f ca="1">IF(BJ14="",0,IF(BK14=$B$98,IF(BH14&lt;BJ14,3,IF(BH14=BJ14,1,0)),0))</f>
        <v>0</v>
      </c>
      <c r="BV15" s="60"/>
      <c r="BW15" s="1"/>
      <c r="BX15" s="1">
        <f ca="1">RANK(CD15,$CD$12:$CD$15)</f>
        <v>1</v>
      </c>
      <c r="BY15" s="40" t="s">
        <v>212</v>
      </c>
      <c r="BZ15" s="1">
        <f ca="1">SUM(BS15:BV15)</f>
        <v>6</v>
      </c>
      <c r="CA15" s="1">
        <f ca="1">SUM(BS19:BV19)</f>
        <v>6</v>
      </c>
      <c r="CB15" s="1">
        <f ca="1">SUM(BV16:BV19)</f>
        <v>3</v>
      </c>
      <c r="CC15" s="1">
        <f ca="1">CA15-CB15</f>
        <v>3</v>
      </c>
      <c r="CD15" s="24">
        <f ca="1">IF(BP$18="",(((((((CE15*10+BZ15)*100+CC15)*100+CA15)*10+CK15)*10+CJ15)*100+CP15)*100+CU15)*10+CV15,(((((((CE15*10+BZ15)*10+CK15)*10+CJ15)*100+CP15)*100+CU15)*100+CC15)*100+CA15)*10+CV15)</f>
        <v>603030303061</v>
      </c>
      <c r="CE15" s="207"/>
      <c r="CF15" s="218">
        <f ca="1">IF($BZ15=$BZ12,$BS15-$BV12,0)</f>
        <v>0</v>
      </c>
      <c r="CG15" s="218">
        <f ca="1">IF($BZ15=$BZ13,$BT15-$BV13,0)</f>
        <v>3</v>
      </c>
      <c r="CH15" s="218">
        <f ca="1">IF($BZ15=$BZ14,$BU15-$BV14,0)</f>
        <v>0</v>
      </c>
      <c r="CI15" s="218"/>
      <c r="CJ15" s="218">
        <f ca="1">SUM(CF15:CI15)</f>
        <v>3</v>
      </c>
      <c r="CK15" s="207"/>
      <c r="CL15" s="218">
        <f ca="1">IF($BZ15=$BZ12,$BS19-$BV16,0)</f>
        <v>0</v>
      </c>
      <c r="CM15" s="218">
        <f ca="1">IF($BZ15=$BZ13,$BT19-$BV17,0)</f>
        <v>3</v>
      </c>
      <c r="CN15" s="218">
        <f ca="1">IF($BZ15=$BZ14,$BU19-$BV18,0)</f>
        <v>0</v>
      </c>
      <c r="CO15" s="218"/>
      <c r="CP15" s="218">
        <f ca="1">SUM(CL15:CO15)</f>
        <v>3</v>
      </c>
      <c r="CQ15" s="218">
        <f ca="1">IF($BZ15=$BZ12,$BS19,0)</f>
        <v>0</v>
      </c>
      <c r="CR15" s="218">
        <f ca="1">IF($BZ15=$BZ13,$BT19,0)</f>
        <v>3</v>
      </c>
      <c r="CS15" s="218">
        <f ca="1">IF($BZ15=$BZ14,$BU19,0)</f>
        <v>0</v>
      </c>
      <c r="CT15" s="218"/>
      <c r="CU15" s="218">
        <f ca="1">SUM(CQ15:CT15)</f>
        <v>3</v>
      </c>
      <c r="CV15" s="207">
        <v>1</v>
      </c>
      <c r="CX15" s="17">
        <f ca="1">IF($CX$97="",IF(OR(Ergebnisse!BH15="",Ergebnisse!BJ15=""),0,IF(AND(BH15=Ergebnisse!BH15,BJ15=Ergebnisse!BJ15),7,MIN(7,(BH15-BJ15=Ergebnisse!BH15-Ergebnisse!BJ15)*4+(AND(BH15-BJ15&lt;&gt;Ergebnisse!BH15-Ergebnisse!BJ15,SIGN(BH15-BJ15)=SIGN(Ergebnisse!BH15-Ergebnisse!BJ15)))*2+(BH15=Ergebnisse!BH15)+(BJ15=Ergebnisse!BJ15)))),INT(RAND()*8))</f>
        <v>0</v>
      </c>
      <c r="CY15" s="17" t="str">
        <f ca="1">IF(Ergebnisse!BK15=Ergebnisse!$B$98,Ergebnisse!BK15,"")</f>
        <v>ok</v>
      </c>
      <c r="DA15" s="167" t="s">
        <v>455</v>
      </c>
      <c r="DB15" s="270">
        <v>1</v>
      </c>
    </row>
    <row r="16" spans="1:106">
      <c r="A16" s="2">
        <v>26</v>
      </c>
      <c r="B16" s="6">
        <f>VLOOKUP(A16,Spiele!$A$1:$L$116,2,FALSE)</f>
        <v>46191.5</v>
      </c>
      <c r="C16" s="6" t="str">
        <f>VLOOKUP(A16,Spiele!$A$1:$L$116,9,FALSE)</f>
        <v>Los Angeles</v>
      </c>
      <c r="D16" s="56" t="str">
        <f>Y15</f>
        <v>Schweiz</v>
      </c>
      <c r="E16" s="40" t="s">
        <v>24</v>
      </c>
      <c r="F16" s="56" t="str">
        <f>Y13</f>
        <v>Bosnien/Herzg.</v>
      </c>
      <c r="G16" s="53"/>
      <c r="H16" s="107">
        <f t="shared" ca="1" si="4"/>
        <v>3</v>
      </c>
      <c r="I16" s="11" t="s">
        <v>25</v>
      </c>
      <c r="J16" s="107">
        <f t="shared" ca="1" si="5"/>
        <v>1</v>
      </c>
      <c r="K16" s="7" t="s">
        <v>26</v>
      </c>
      <c r="L16" s="1"/>
      <c r="N16" s="1"/>
      <c r="O16" s="1"/>
      <c r="P16" s="1"/>
      <c r="S16" s="60"/>
      <c r="T16" s="61">
        <f ca="1">IF(K13=$B$98,H13,0)</f>
        <v>3</v>
      </c>
      <c r="U16" s="61">
        <f ca="1">IF(K15=$B$98,H15,0)</f>
        <v>4</v>
      </c>
      <c r="V16" s="61">
        <f ca="1">IF(K18=$B$98,J17,0)</f>
        <v>1</v>
      </c>
      <c r="W16" s="62"/>
      <c r="X16" s="62"/>
      <c r="Y16" s="62"/>
      <c r="Z16" s="62"/>
      <c r="AA16" s="62"/>
      <c r="AB16" s="62"/>
      <c r="AC16" s="62"/>
      <c r="AD16" s="66"/>
      <c r="AE16" s="204"/>
      <c r="AF16" s="217"/>
      <c r="AG16" s="217"/>
      <c r="AH16" s="217"/>
      <c r="AI16" s="217"/>
      <c r="AJ16" s="217"/>
      <c r="AK16" s="217"/>
      <c r="AL16" s="217"/>
      <c r="AM16" s="217"/>
      <c r="AN16" s="217"/>
      <c r="AO16" s="217"/>
      <c r="AP16" s="217"/>
      <c r="AQ16" s="217"/>
      <c r="AR16" s="217"/>
      <c r="AS16" s="217"/>
      <c r="AT16" s="217"/>
      <c r="AV16" s="217"/>
      <c r="AW16" s="2"/>
      <c r="AX16" s="17">
        <f ca="1">IF($CX$97="",IF(OR(Ergebnisse!H16="",Ergebnisse!J16=""),0,IF(AND(H16=Ergebnisse!H16,J16=Ergebnisse!J16),7,MIN(7,(H16-J16=Ergebnisse!H16-Ergebnisse!J16)*4+(AND(H16-J16&lt;&gt;Ergebnisse!H16-Ergebnisse!J16,SIGN(H16-J16)=SIGN(Ergebnisse!H16-Ergebnisse!J16)))*2+(H16=Ergebnisse!H16)+(J16=Ergebnisse!J16)))),INT(RAND()*8))</f>
        <v>0</v>
      </c>
      <c r="AY16" s="17" t="str">
        <f ca="1">IF(Ergebnisse!K16=Ergebnisse!$B$98,Ergebnisse!K16,"")</f>
        <v>ok</v>
      </c>
      <c r="AZ16" s="2"/>
      <c r="BA16" s="2">
        <v>34</v>
      </c>
      <c r="BB16" s="6">
        <f>VLOOKUP(BA16,Spiele!$A$1:$L$116,2,FALSE)</f>
        <v>46193.791666666672</v>
      </c>
      <c r="BC16" s="6" t="str">
        <f>VLOOKUP(BA16,Spiele!$A$1:$L$116,9,FALSE)</f>
        <v>Kansas City</v>
      </c>
      <c r="BD16" s="56" t="str">
        <f>BY15</f>
        <v>Ecuador</v>
      </c>
      <c r="BE16" s="40" t="s">
        <v>24</v>
      </c>
      <c r="BF16" s="56" t="str">
        <f>BY13</f>
        <v>Curaçao</v>
      </c>
      <c r="BG16" s="53"/>
      <c r="BH16" s="107">
        <f t="shared" ca="1" si="6"/>
        <v>3</v>
      </c>
      <c r="BI16" s="11" t="s">
        <v>25</v>
      </c>
      <c r="BJ16" s="107">
        <f t="shared" ca="1" si="7"/>
        <v>0</v>
      </c>
      <c r="BK16" s="7" t="s">
        <v>26</v>
      </c>
      <c r="BL16" s="1"/>
      <c r="BN16" s="1"/>
      <c r="BO16" s="1"/>
      <c r="BP16" s="1"/>
      <c r="BS16" s="60"/>
      <c r="BT16" s="61">
        <f ca="1">IF(BK13=$B$98,BH13,0)</f>
        <v>1</v>
      </c>
      <c r="BU16" s="61">
        <f ca="1">IF(BK15=$B$98,BH15,0)</f>
        <v>5</v>
      </c>
      <c r="BV16" s="61">
        <f ca="1">IF(BK18=$B$98,BJ17,0)</f>
        <v>1</v>
      </c>
      <c r="BW16" s="1"/>
      <c r="BX16" s="1"/>
      <c r="BY16" s="62"/>
      <c r="BZ16" s="1"/>
      <c r="CA16" s="1"/>
      <c r="CB16" s="1"/>
      <c r="CC16" s="1"/>
      <c r="CD16" s="5"/>
      <c r="CE16" s="7"/>
      <c r="CF16" s="218"/>
      <c r="CG16" s="218"/>
      <c r="CH16" s="218"/>
      <c r="CI16" s="218"/>
      <c r="CJ16" s="218"/>
      <c r="CK16" s="218"/>
      <c r="CL16" s="218"/>
      <c r="CM16" s="218"/>
      <c r="CN16" s="218"/>
      <c r="CO16" s="218"/>
      <c r="CP16" s="218"/>
      <c r="CQ16" s="218"/>
      <c r="CR16" s="218"/>
      <c r="CS16" s="218"/>
      <c r="CT16" s="218"/>
      <c r="CV16" s="218"/>
      <c r="CX16" s="17">
        <f ca="1">IF($CX$97="",IF(OR(Ergebnisse!BH16="",Ergebnisse!BJ16=""),0,IF(AND(BH16=Ergebnisse!BH16,BJ16=Ergebnisse!BJ16),7,MIN(7,(BH16-BJ16=Ergebnisse!BH16-Ergebnisse!BJ16)*4+(AND(BH16-BJ16&lt;&gt;Ergebnisse!BH16-Ergebnisse!BJ16,SIGN(BH16-BJ16)=SIGN(Ergebnisse!BH16-Ergebnisse!BJ16)))*2+(BH16=Ergebnisse!BH16)+(BJ16=Ergebnisse!BJ16)))),INT(RAND()*8))</f>
        <v>2</v>
      </c>
      <c r="CY16" s="17" t="str">
        <f ca="1">IF(Ergebnisse!BK16=Ergebnisse!$B$98,Ergebnisse!BK16,"")</f>
        <v>ok</v>
      </c>
      <c r="DA16" s="171" t="s">
        <v>83</v>
      </c>
      <c r="DB16" s="270">
        <v>7</v>
      </c>
    </row>
    <row r="17" spans="1:106">
      <c r="A17" s="2">
        <v>51</v>
      </c>
      <c r="B17" s="6">
        <f>VLOOKUP(A17,Spiele!$A$1:$L$116,2,FALSE)</f>
        <v>46197.5</v>
      </c>
      <c r="C17" s="6" t="str">
        <f>VLOOKUP(A17,Spiele!$A$1:$L$116,9,FALSE)</f>
        <v>Vancouver</v>
      </c>
      <c r="D17" s="56" t="str">
        <f>Y15</f>
        <v>Schweiz</v>
      </c>
      <c r="E17" s="40" t="s">
        <v>24</v>
      </c>
      <c r="F17" s="56" t="str">
        <f>Y12</f>
        <v>Kanada</v>
      </c>
      <c r="G17" s="55"/>
      <c r="H17" s="107">
        <f t="shared" ca="1" si="4"/>
        <v>4</v>
      </c>
      <c r="I17" s="11" t="s">
        <v>25</v>
      </c>
      <c r="J17" s="107">
        <f t="shared" ca="1" si="5"/>
        <v>1</v>
      </c>
      <c r="K17" s="7" t="s">
        <v>26</v>
      </c>
      <c r="M17" s="37" t="str">
        <f ca="1">IF(N12&gt;0,M12,"")</f>
        <v>Schweiz</v>
      </c>
      <c r="N17" s="2" t="s">
        <v>33</v>
      </c>
      <c r="P17" s="29"/>
      <c r="S17" s="61">
        <f ca="1">IF(K13=$B$98,J13,0)</f>
        <v>4</v>
      </c>
      <c r="T17" s="60"/>
      <c r="U17" s="61">
        <f ca="1">IF(K17=$B$98,H18,0)</f>
        <v>1</v>
      </c>
      <c r="V17" s="61">
        <f ca="1">IF(K16=$B$98,J16,0)</f>
        <v>1</v>
      </c>
      <c r="AD17" s="55" t="s">
        <v>140</v>
      </c>
      <c r="AE17" s="108"/>
      <c r="AF17" s="219"/>
      <c r="AG17" s="219"/>
      <c r="AH17" s="219"/>
      <c r="AI17" s="219"/>
      <c r="AJ17" s="219"/>
      <c r="AK17" s="219"/>
      <c r="AL17" s="219"/>
      <c r="AM17" s="219"/>
      <c r="AN17" s="219"/>
      <c r="AO17" s="219"/>
      <c r="AP17" s="219"/>
      <c r="AQ17" s="219"/>
      <c r="AR17" s="219"/>
      <c r="AS17" s="219"/>
      <c r="AT17" s="219"/>
      <c r="AV17" s="219"/>
      <c r="AW17" s="2"/>
      <c r="AX17" s="17">
        <f ca="1">IF($CX$97="",IF(OR(Ergebnisse!H17="",Ergebnisse!J17=""),0,IF(AND(H17=Ergebnisse!H17,J17=Ergebnisse!J17),7,MIN(7,(H17-J17=Ergebnisse!H17-Ergebnisse!J17)*4+(AND(H17-J17&lt;&gt;Ergebnisse!H17-Ergebnisse!J17,SIGN(H17-J17)=SIGN(Ergebnisse!H17-Ergebnisse!J17)))*2+(H17=Ergebnisse!H17)+(J17=Ergebnisse!J17)))),INT(RAND()*8))</f>
        <v>0</v>
      </c>
      <c r="AY17" s="17" t="str">
        <f ca="1">IF(Ergebnisse!K17=Ergebnisse!$B$98,Ergebnisse!K17,"")</f>
        <v>ok</v>
      </c>
      <c r="AZ17" s="2"/>
      <c r="BA17" s="2">
        <v>57</v>
      </c>
      <c r="BB17" s="6">
        <f>VLOOKUP(BA17,Spiele!$A$1:$L$116,2,FALSE)</f>
        <v>46198.75</v>
      </c>
      <c r="BC17" s="6" t="str">
        <f>VLOOKUP(BA17,Spiele!$A$1:$L$116,9,FALSE)</f>
        <v>Dallas</v>
      </c>
      <c r="BD17" s="56" t="str">
        <f>BY15</f>
        <v>Ecuador</v>
      </c>
      <c r="BE17" s="40" t="s">
        <v>24</v>
      </c>
      <c r="BF17" s="56" t="str">
        <f>BY12</f>
        <v>Deutschland</v>
      </c>
      <c r="BG17" s="55"/>
      <c r="BH17" s="107">
        <f t="shared" ca="1" si="6"/>
        <v>3</v>
      </c>
      <c r="BI17" s="11" t="s">
        <v>25</v>
      </c>
      <c r="BJ17" s="107">
        <f t="shared" ca="1" si="7"/>
        <v>1</v>
      </c>
      <c r="BK17" s="7" t="s">
        <v>26</v>
      </c>
      <c r="BM17" s="73" t="str">
        <f ca="1">IF(BN12&gt;0,BM12,"")</f>
        <v>Ecuador</v>
      </c>
      <c r="BN17" s="2" t="s">
        <v>28</v>
      </c>
      <c r="BP17" s="29"/>
      <c r="BS17" s="61">
        <f ca="1">IF(BK13=$B$98,BJ13,0)</f>
        <v>3</v>
      </c>
      <c r="BT17" s="60"/>
      <c r="BU17" s="61">
        <f ca="1">IF(BK17=$B$98,BH18,0)</f>
        <v>3</v>
      </c>
      <c r="BV17" s="61">
        <f ca="1">IF(BK16=$B$98,BJ16,0)</f>
        <v>0</v>
      </c>
      <c r="CD17" s="2" t="s">
        <v>140</v>
      </c>
      <c r="CE17" s="8"/>
      <c r="CF17" s="220"/>
      <c r="CG17" s="220"/>
      <c r="CH17" s="220"/>
      <c r="CI17" s="220"/>
      <c r="CJ17" s="220"/>
      <c r="CK17" s="220"/>
      <c r="CL17" s="220"/>
      <c r="CM17" s="220"/>
      <c r="CN17" s="220"/>
      <c r="CO17" s="220"/>
      <c r="CP17" s="220"/>
      <c r="CQ17" s="220"/>
      <c r="CR17" s="220"/>
      <c r="CS17" s="220"/>
      <c r="CT17" s="220"/>
      <c r="CV17" s="220"/>
      <c r="CX17" s="17">
        <f ca="1">IF($CX$97="",IF(OR(Ergebnisse!BH17="",Ergebnisse!BJ17=""),0,IF(AND(BH17=Ergebnisse!BH17,BJ17=Ergebnisse!BJ17),7,MIN(7,(BH17-BJ17=Ergebnisse!BH17-Ergebnisse!BJ17)*4+(AND(BH17-BJ17&lt;&gt;Ergebnisse!BH17-Ergebnisse!BJ17,SIGN(BH17-BJ17)=SIGN(Ergebnisse!BH17-Ergebnisse!BJ17)))*2+(BH17=Ergebnisse!BH17)+(BJ17=Ergebnisse!BJ17)))),INT(RAND()*8))</f>
        <v>2</v>
      </c>
      <c r="CY17" s="17" t="str">
        <f ca="1">IF(Ergebnisse!BK17=Ergebnisse!$B$98,Ergebnisse!BK17,"")</f>
        <v>ok</v>
      </c>
      <c r="DA17" s="168" t="s">
        <v>76</v>
      </c>
      <c r="DB17" s="169">
        <v>16</v>
      </c>
    </row>
    <row r="18" spans="1:106">
      <c r="A18" s="2">
        <v>52</v>
      </c>
      <c r="B18" s="6">
        <f>VLOOKUP(A18,Spiele!$A$1:$L$116,2,FALSE)</f>
        <v>46197.5</v>
      </c>
      <c r="C18" s="6" t="str">
        <f>VLOOKUP(A18,Spiele!$A$1:$L$116,9,FALSE)</f>
        <v>Seattle</v>
      </c>
      <c r="D18" s="56" t="str">
        <f>Y13</f>
        <v>Bosnien/Herzg.</v>
      </c>
      <c r="E18" s="40" t="s">
        <v>24</v>
      </c>
      <c r="F18" s="56" t="str">
        <f>Y14</f>
        <v>Katar</v>
      </c>
      <c r="G18" s="55"/>
      <c r="H18" s="107">
        <f t="shared" ca="1" si="4"/>
        <v>1</v>
      </c>
      <c r="I18" s="11" t="s">
        <v>25</v>
      </c>
      <c r="J18" s="107">
        <f t="shared" ca="1" si="5"/>
        <v>1</v>
      </c>
      <c r="K18" s="7" t="s">
        <v>26</v>
      </c>
      <c r="M18" s="37" t="str">
        <f ca="1">IF(N13&gt;0,M13,"")</f>
        <v>Bosnien/Herzg.</v>
      </c>
      <c r="N18" s="2" t="s">
        <v>35</v>
      </c>
      <c r="O18" s="30"/>
      <c r="P18" s="205" t="s">
        <v>11</v>
      </c>
      <c r="S18" s="61">
        <f ca="1">IF(K15=$B$98,J15,0)</f>
        <v>2</v>
      </c>
      <c r="T18" s="61">
        <f ca="1">IF(K17=$B$98,J18,0)</f>
        <v>1</v>
      </c>
      <c r="U18" s="60"/>
      <c r="V18" s="61">
        <f ca="1">IF(K14=$B$98,H14,0)</f>
        <v>2</v>
      </c>
      <c r="AD18" s="55" t="s">
        <v>141</v>
      </c>
      <c r="AE18" s="108"/>
      <c r="AF18" s="219"/>
      <c r="AG18" s="219"/>
      <c r="AH18" s="219"/>
      <c r="AI18" s="219"/>
      <c r="AJ18" s="219"/>
      <c r="AK18" s="219"/>
      <c r="AL18" s="219"/>
      <c r="AM18" s="219"/>
      <c r="AN18" s="219"/>
      <c r="AO18" s="219"/>
      <c r="AP18" s="219"/>
      <c r="AQ18" s="219"/>
      <c r="AR18" s="219"/>
      <c r="AS18" s="219"/>
      <c r="AT18" s="219"/>
      <c r="AV18" s="219"/>
      <c r="AW18" s="2"/>
      <c r="AX18" s="17">
        <f ca="1">IF($CX$97="",IF(OR(Ergebnisse!H18="",Ergebnisse!J18=""),0,IF(AND(H18=Ergebnisse!H18,J18=Ergebnisse!J18),7,MIN(7,(H18-J18=Ergebnisse!H18-Ergebnisse!J18)*4+(AND(H18-J18&lt;&gt;Ergebnisse!H18-Ergebnisse!J18,SIGN(H18-J18)=SIGN(Ergebnisse!H18-Ergebnisse!J18)))*2+(H18=Ergebnisse!H18)+(J18=Ergebnisse!J18)))),INT(RAND()*8))</f>
        <v>0</v>
      </c>
      <c r="AY18" s="17" t="str">
        <f ca="1">IF(Ergebnisse!K18=Ergebnisse!$B$98,Ergebnisse!K18,"")</f>
        <v>ok</v>
      </c>
      <c r="AZ18" s="2"/>
      <c r="BA18" s="2">
        <v>58</v>
      </c>
      <c r="BB18" s="6">
        <f>VLOOKUP(BA18,Spiele!$A$1:$L$116,2,FALSE)</f>
        <v>46198.75</v>
      </c>
      <c r="BC18" s="6" t="str">
        <f>VLOOKUP(BA18,Spiele!$A$1:$L$116,9,FALSE)</f>
        <v>Kansas City</v>
      </c>
      <c r="BD18" s="56" t="str">
        <f>BY13</f>
        <v>Curaçao</v>
      </c>
      <c r="BE18" s="40" t="s">
        <v>24</v>
      </c>
      <c r="BF18" s="56" t="str">
        <f>BY14</f>
        <v>Elfenbeinküste</v>
      </c>
      <c r="BG18" s="55"/>
      <c r="BH18" s="107">
        <f t="shared" ca="1" si="6"/>
        <v>3</v>
      </c>
      <c r="BI18" s="11" t="s">
        <v>25</v>
      </c>
      <c r="BJ18" s="107">
        <f t="shared" ca="1" si="7"/>
        <v>2</v>
      </c>
      <c r="BK18" s="7" t="s">
        <v>26</v>
      </c>
      <c r="BM18" s="73" t="str">
        <f ca="1">IF(BN13&gt;0,BM13,"")</f>
        <v>Curaçao</v>
      </c>
      <c r="BN18" s="2" t="s">
        <v>30</v>
      </c>
      <c r="BO18" s="30"/>
      <c r="BP18" s="205" t="s">
        <v>11</v>
      </c>
      <c r="BS18" s="61">
        <f ca="1">IF(BK15=$B$98,BJ15,0)</f>
        <v>5</v>
      </c>
      <c r="BT18" s="61">
        <f ca="1">IF(BK17=$B$98,BJ18,0)</f>
        <v>2</v>
      </c>
      <c r="BU18" s="60"/>
      <c r="BV18" s="61">
        <f ca="1">IF(BK14=$B$98,BH14,0)</f>
        <v>2</v>
      </c>
      <c r="CD18" s="2" t="s">
        <v>141</v>
      </c>
      <c r="CE18" s="8"/>
      <c r="CF18" s="220"/>
      <c r="CG18" s="220"/>
      <c r="CH18" s="220"/>
      <c r="CI18" s="220"/>
      <c r="CJ18" s="220"/>
      <c r="CK18" s="220"/>
      <c r="CL18" s="220"/>
      <c r="CM18" s="220"/>
      <c r="CN18" s="220"/>
      <c r="CO18" s="220"/>
      <c r="CP18" s="220"/>
      <c r="CQ18" s="220"/>
      <c r="CR18" s="220"/>
      <c r="CS18" s="220"/>
      <c r="CT18" s="220"/>
      <c r="CV18" s="220"/>
      <c r="CX18" s="17">
        <f ca="1">IF($CX$97="",IF(OR(Ergebnisse!BH18="",Ergebnisse!BJ18=""),0,IF(AND(BH18=Ergebnisse!BH18,BJ18=Ergebnisse!BJ18),7,MIN(7,(BH18-BJ18=Ergebnisse!BH18-Ergebnisse!BJ18)*4+(AND(BH18-BJ18&lt;&gt;Ergebnisse!BH18-Ergebnisse!BJ18,SIGN(BH18-BJ18)=SIGN(Ergebnisse!BH18-Ergebnisse!BJ18)))*2+(BH18=Ergebnisse!BH18)+(BJ18=Ergebnisse!BJ18)))),INT(RAND()*8))</f>
        <v>0</v>
      </c>
      <c r="CY18" s="17" t="str">
        <f ca="1">IF(Ergebnisse!BK18=Ergebnisse!$B$98,Ergebnisse!BK18,"")</f>
        <v>ok</v>
      </c>
      <c r="DA18" s="163"/>
      <c r="DB18" s="164"/>
    </row>
    <row r="19" spans="1:106">
      <c r="D19" s="55"/>
      <c r="E19" s="55"/>
      <c r="G19" s="55"/>
      <c r="M19" s="37" t="str">
        <f ca="1">IF(N14&gt;0,M14,"")</f>
        <v>Kanada</v>
      </c>
      <c r="N19" s="2" t="s">
        <v>144</v>
      </c>
      <c r="S19" s="61">
        <f ca="1">IF(K18=$B$98,H17,0)</f>
        <v>4</v>
      </c>
      <c r="T19" s="61">
        <f ca="1">IF(K16=$B$98,H16,0)</f>
        <v>3</v>
      </c>
      <c r="U19" s="61">
        <f ca="1">IF(K14=$B$98,J14,0)</f>
        <v>6</v>
      </c>
      <c r="V19" s="60"/>
      <c r="AD19" s="55" t="s">
        <v>143</v>
      </c>
      <c r="AE19" s="108"/>
      <c r="AF19" s="219"/>
      <c r="AG19" s="219"/>
      <c r="AH19" s="219"/>
      <c r="AI19" s="219"/>
      <c r="AJ19" s="219"/>
      <c r="AK19" s="219"/>
      <c r="AL19" s="219"/>
      <c r="AM19" s="219"/>
      <c r="AN19" s="219"/>
      <c r="AO19" s="219"/>
      <c r="AP19" s="219"/>
      <c r="AQ19" s="219"/>
      <c r="AR19" s="219"/>
      <c r="AS19" s="219"/>
      <c r="AT19" s="219"/>
      <c r="AV19" s="219"/>
      <c r="AW19" s="2"/>
      <c r="AX19" s="31">
        <f ca="1">IF($CX$97="",2*COUNTIF(Ergebnisse!$D$63:'Ergebnisse'!$F$78,M19),2*INT(RAND()*2))</f>
        <v>2</v>
      </c>
      <c r="AY19" s="17" t="str">
        <f ca="1">IF(COUNTIF(Ergebnisse!K13:'Ergebnisse'!K18,Ergebnisse!$B$98)=6,"ok","")</f>
        <v>ok</v>
      </c>
      <c r="AZ19" s="2"/>
      <c r="BB19" s="2" t="s">
        <v>2</v>
      </c>
      <c r="BE19" s="55"/>
      <c r="BF19" s="55"/>
      <c r="BG19" s="55"/>
      <c r="BM19" s="73" t="str">
        <f ca="1">IF(BN14&gt;0,BM14,"")</f>
        <v>Elfenbeinküste</v>
      </c>
      <c r="BN19" s="2" t="s">
        <v>151</v>
      </c>
      <c r="BS19" s="61">
        <f ca="1">IF(BK18=$B$98,BH17,0)</f>
        <v>3</v>
      </c>
      <c r="BT19" s="61">
        <f ca="1">IF(BK16=$B$98,BH16,0)</f>
        <v>3</v>
      </c>
      <c r="BU19" s="61">
        <f ca="1">IF(BK14=$B$98,BJ14,0)</f>
        <v>0</v>
      </c>
      <c r="BV19" s="60"/>
      <c r="CD19" s="2" t="s">
        <v>143</v>
      </c>
      <c r="CE19" s="8"/>
      <c r="CF19" s="220"/>
      <c r="CG19" s="220"/>
      <c r="CH19" s="220"/>
      <c r="CI19" s="220"/>
      <c r="CJ19" s="220"/>
      <c r="CK19" s="220"/>
      <c r="CL19" s="220"/>
      <c r="CM19" s="220"/>
      <c r="CN19" s="220"/>
      <c r="CO19" s="220"/>
      <c r="CP19" s="220"/>
      <c r="CQ19" s="220"/>
      <c r="CR19" s="220"/>
      <c r="CS19" s="220"/>
      <c r="CT19" s="220"/>
      <c r="CV19" s="220"/>
      <c r="CX19" s="72">
        <f ca="1">IF($CX$97="",2*COUNTIF(Ergebnisse!$D$63:'Ergebnisse'!$F$78,BM19),2*INT(RAND()*2))</f>
        <v>2</v>
      </c>
      <c r="CY19" s="17" t="str">
        <f ca="1">IF(COUNTIF(Ergebnisse!BK13:'Ergebnisse'!BK18,Ergebnisse!$B$98)=6,"ok","")</f>
        <v>ok</v>
      </c>
      <c r="DA19" s="170" t="s">
        <v>82</v>
      </c>
      <c r="DB19" s="166">
        <f>DB23*(DB22+2*DB21)</f>
        <v>88</v>
      </c>
    </row>
    <row r="20" spans="1:106" ht="6" customHeight="1">
      <c r="D20" s="55"/>
      <c r="E20" s="58"/>
      <c r="F20" s="59"/>
      <c r="G20" s="59"/>
      <c r="H20" s="55"/>
      <c r="I20" s="55"/>
      <c r="J20" s="55"/>
      <c r="AE20" s="108"/>
      <c r="AF20" s="219"/>
      <c r="AG20" s="219"/>
      <c r="AH20" s="219"/>
      <c r="AI20" s="219"/>
      <c r="AJ20" s="219"/>
      <c r="AK20" s="219"/>
      <c r="AL20" s="219"/>
      <c r="AM20" s="219"/>
      <c r="AN20" s="219"/>
      <c r="AO20" s="219"/>
      <c r="AP20" s="219"/>
      <c r="AQ20" s="219"/>
      <c r="AR20" s="219"/>
      <c r="AS20" s="219"/>
      <c r="AT20" s="219"/>
      <c r="AV20" s="219"/>
      <c r="AW20" s="2"/>
      <c r="AX20" s="17"/>
      <c r="AZ20" s="2"/>
      <c r="BD20" s="55"/>
      <c r="BE20" s="58"/>
      <c r="BF20" s="59"/>
      <c r="BG20" s="59"/>
      <c r="BH20" s="55"/>
      <c r="BI20" s="55"/>
      <c r="BJ20" s="55"/>
      <c r="BS20" s="55"/>
      <c r="BT20" s="55"/>
      <c r="BU20" s="55"/>
      <c r="BV20" s="55"/>
      <c r="CE20" s="8"/>
      <c r="CF20" s="220"/>
      <c r="CG20" s="220"/>
      <c r="CH20" s="220"/>
      <c r="CI20" s="220"/>
      <c r="CJ20" s="220"/>
      <c r="CK20" s="220"/>
      <c r="CL20" s="220"/>
      <c r="CM20" s="220"/>
      <c r="CN20" s="220"/>
      <c r="CO20" s="220"/>
      <c r="CP20" s="220"/>
      <c r="CQ20" s="220"/>
      <c r="CR20" s="220"/>
      <c r="CS20" s="220"/>
      <c r="CT20" s="220"/>
      <c r="CV20" s="220"/>
    </row>
    <row r="21" spans="1:106" s="10" customFormat="1">
      <c r="B21" s="27" t="s">
        <v>0</v>
      </c>
      <c r="C21" s="25" t="s">
        <v>37</v>
      </c>
      <c r="D21" s="53" t="s">
        <v>2</v>
      </c>
      <c r="E21" s="54"/>
      <c r="F21" s="53"/>
      <c r="G21" s="53"/>
      <c r="H21" s="20"/>
      <c r="I21" s="19"/>
      <c r="J21" s="20"/>
      <c r="K21" s="180"/>
      <c r="L21" s="17"/>
      <c r="M21" s="35" t="s">
        <v>3</v>
      </c>
      <c r="N21" s="17" t="s">
        <v>4</v>
      </c>
      <c r="O21" s="17" t="s">
        <v>5</v>
      </c>
      <c r="P21" s="17" t="s">
        <v>6</v>
      </c>
      <c r="Q21" s="17" t="s">
        <v>7</v>
      </c>
      <c r="R21" s="17"/>
      <c r="S21" s="55"/>
      <c r="T21" s="55"/>
      <c r="U21" s="55"/>
      <c r="V21" s="55"/>
      <c r="W21" s="53"/>
      <c r="X21" s="53" t="s">
        <v>8</v>
      </c>
      <c r="Y21" s="56" t="s">
        <v>9</v>
      </c>
      <c r="Z21" s="53" t="s">
        <v>4</v>
      </c>
      <c r="AA21" s="53" t="s">
        <v>5</v>
      </c>
      <c r="AB21" s="53" t="s">
        <v>6</v>
      </c>
      <c r="AC21" s="53" t="s">
        <v>7</v>
      </c>
      <c r="AD21" s="53"/>
      <c r="AE21" s="19" t="s">
        <v>10</v>
      </c>
      <c r="AF21" s="40" t="s">
        <v>11</v>
      </c>
      <c r="AG21" s="40"/>
      <c r="AH21" s="40"/>
      <c r="AI21" s="40"/>
      <c r="AJ21" s="40" t="s">
        <v>12</v>
      </c>
      <c r="AK21" s="56" t="s">
        <v>13</v>
      </c>
      <c r="AL21" s="40" t="s">
        <v>14</v>
      </c>
      <c r="AM21" s="40"/>
      <c r="AN21" s="40"/>
      <c r="AO21" s="40"/>
      <c r="AP21" s="40" t="s">
        <v>15</v>
      </c>
      <c r="AQ21" s="40" t="s">
        <v>16</v>
      </c>
      <c r="AR21" s="40"/>
      <c r="AS21" s="40"/>
      <c r="AT21" s="40"/>
      <c r="AU21" s="58" t="s">
        <v>17</v>
      </c>
      <c r="AV21" s="56" t="s">
        <v>18</v>
      </c>
      <c r="AX21" s="27">
        <f ca="1">IF($CX$97="",2*COUNTIF(Ergebnisse!$D$63:'Ergebnisse'!$F$78,M27),2*INT(RAND()*2))</f>
        <v>2</v>
      </c>
      <c r="AY21" s="17" t="str">
        <f ca="1">IF(COUNTIF(Ergebnisse!K23:'Ergebnisse'!K28,Ergebnisse!$B$98)=6,"ok","")</f>
        <v>ok</v>
      </c>
      <c r="BB21" s="221" t="s">
        <v>0</v>
      </c>
      <c r="BC21" s="222" t="s">
        <v>32</v>
      </c>
      <c r="BD21" s="53" t="s">
        <v>2</v>
      </c>
      <c r="BE21" s="54"/>
      <c r="BF21" s="53"/>
      <c r="BG21" s="53"/>
      <c r="BH21" s="20"/>
      <c r="BI21" s="19"/>
      <c r="BJ21" s="20"/>
      <c r="BK21" s="180"/>
      <c r="BL21" s="17"/>
      <c r="BM21" s="35" t="s">
        <v>3</v>
      </c>
      <c r="BN21" s="17" t="s">
        <v>4</v>
      </c>
      <c r="BO21" s="17" t="s">
        <v>5</v>
      </c>
      <c r="BP21" s="17" t="s">
        <v>6</v>
      </c>
      <c r="BQ21" s="17" t="s">
        <v>7</v>
      </c>
      <c r="BR21" s="17"/>
      <c r="BS21" s="55"/>
      <c r="BT21" s="55"/>
      <c r="BU21" s="55"/>
      <c r="BV21" s="55"/>
      <c r="BW21" s="17"/>
      <c r="BX21" s="17" t="s">
        <v>8</v>
      </c>
      <c r="BY21" s="56" t="s">
        <v>9</v>
      </c>
      <c r="BZ21" s="17" t="s">
        <v>4</v>
      </c>
      <c r="CA21" s="17" t="s">
        <v>5</v>
      </c>
      <c r="CB21" s="17" t="s">
        <v>6</v>
      </c>
      <c r="CC21" s="17" t="s">
        <v>7</v>
      </c>
      <c r="CD21" s="17"/>
      <c r="CE21" s="180" t="s">
        <v>10</v>
      </c>
      <c r="CF21" s="15" t="s">
        <v>11</v>
      </c>
      <c r="CG21" s="15"/>
      <c r="CH21" s="15"/>
      <c r="CI21" s="15"/>
      <c r="CJ21" s="15" t="s">
        <v>12</v>
      </c>
      <c r="CK21" s="21" t="s">
        <v>13</v>
      </c>
      <c r="CL21" s="15" t="s">
        <v>14</v>
      </c>
      <c r="CM21" s="15"/>
      <c r="CN21" s="15"/>
      <c r="CO21" s="15"/>
      <c r="CP21" s="15" t="s">
        <v>15</v>
      </c>
      <c r="CQ21" s="15" t="s">
        <v>16</v>
      </c>
      <c r="CR21" s="15"/>
      <c r="CS21" s="15"/>
      <c r="CT21" s="15"/>
      <c r="CU21" s="16" t="s">
        <v>17</v>
      </c>
      <c r="CV21" s="21" t="s">
        <v>18</v>
      </c>
      <c r="CX21" s="221">
        <f ca="1">IF($CX$97="",2*COUNTIF(Ergebnisse!$D$63:'Ergebnisse'!$F$78,BM27),2*INT(RAND()*2))</f>
        <v>2</v>
      </c>
      <c r="CY21" s="17" t="str">
        <f ca="1">IF(COUNTIF(Ergebnisse!BK23:'Ergebnisse'!BK28,Ergebnisse!$B$98)=6,"ok","")</f>
        <v>ok</v>
      </c>
      <c r="DA21" s="167" t="s">
        <v>125</v>
      </c>
      <c r="DB21" s="164">
        <v>2</v>
      </c>
    </row>
    <row r="22" spans="1:106">
      <c r="B22" s="3" t="s">
        <v>22</v>
      </c>
      <c r="C22" s="3" t="s">
        <v>23</v>
      </c>
      <c r="D22" s="55"/>
      <c r="E22" s="55"/>
      <c r="F22" s="55"/>
      <c r="G22" s="55"/>
      <c r="L22" s="1"/>
      <c r="M22" s="9" t="str">
        <f ca="1">VLOOKUP(1,$X$22:$AC$25,2,FALSE)</f>
        <v>Haiti</v>
      </c>
      <c r="N22" s="2">
        <f ca="1">VLOOKUP(1,$X$22:$AC$25,3,FALSE)</f>
        <v>7</v>
      </c>
      <c r="O22" s="2">
        <f ca="1">VLOOKUP(1,$X$22:$AC$25,4,FALSE)</f>
        <v>12</v>
      </c>
      <c r="P22" s="2">
        <f ca="1">VLOOKUP(1,$X$22:$AC$25,5,FALSE)</f>
        <v>8</v>
      </c>
      <c r="Q22" s="2">
        <f ca="1">VLOOKUP(1,$X$22:$AC$25,6,FALSE)</f>
        <v>4</v>
      </c>
      <c r="S22" s="60"/>
      <c r="T22" s="61">
        <f ca="1">IF(H23="",0,IF(K23=$B$98,IF(H23&gt;J23,3,IF(H23=J23,1,0)),0))</f>
        <v>3</v>
      </c>
      <c r="U22" s="61">
        <f ca="1">IF(H25="",0,IF(K25=$B$98,IF(H25&gt;J25,3,IF(H25=J25,1,0)),0))</f>
        <v>0</v>
      </c>
      <c r="V22" s="61">
        <f ca="1">IF(J27="",0,IF(K28=$B$98,IF(H27&lt;J27,3,IF(H27=J27,1,0)),0))</f>
        <v>0</v>
      </c>
      <c r="W22" s="62"/>
      <c r="X22" s="62">
        <f ca="1">RANK(AD22,$AD$22:$AD$25)</f>
        <v>3</v>
      </c>
      <c r="Y22" s="40" t="s">
        <v>213</v>
      </c>
      <c r="Z22" s="62">
        <f ca="1">SUM(S22:V22)</f>
        <v>3</v>
      </c>
      <c r="AA22" s="62">
        <f ca="1">SUM(S26:V26)</f>
        <v>7</v>
      </c>
      <c r="AB22" s="62">
        <f ca="1">SUM(S26:S29)</f>
        <v>12</v>
      </c>
      <c r="AC22" s="62">
        <f ca="1">AA22-AB22</f>
        <v>-5</v>
      </c>
      <c r="AD22" s="24">
        <f ca="1">IF(P$28="",(((((((AE22*10+Z22)*100+AC22)*100+AA22)*10+AK22)*10+AJ22)*100+AP22)*100+AU22)*10+AV22,(((((((AE22*10+Z22)*10+AK22)*10+AJ22)*100+AP22)*100+AU22)*100+AC22)*100+AA22)*10+AV22)</f>
        <v>299999995074</v>
      </c>
      <c r="AE22" s="203"/>
      <c r="AF22" s="217"/>
      <c r="AG22" s="217">
        <f ca="1">IF($Z22=$Z23,$T22-$S23,0)</f>
        <v>0</v>
      </c>
      <c r="AH22" s="217">
        <f ca="1">IF($Z22=$Z24,$U22-$S24,0)</f>
        <v>0</v>
      </c>
      <c r="AI22" s="217">
        <f ca="1">IF($Z22=$Z25,$V22-$S25,0)</f>
        <v>0</v>
      </c>
      <c r="AJ22" s="217">
        <f ca="1">SUM(AF22:AI22)</f>
        <v>0</v>
      </c>
      <c r="AK22" s="203"/>
      <c r="AL22" s="217"/>
      <c r="AM22" s="217">
        <f ca="1">IF($Z22=$Z23,$T26-$S27,0)</f>
        <v>0</v>
      </c>
      <c r="AN22" s="217">
        <f ca="1">IF($Z22=$Z24,$U26-$S28,0)</f>
        <v>0</v>
      </c>
      <c r="AO22" s="217">
        <f ca="1">IF($Z22=$Z25,$V26-$S29,0)</f>
        <v>0</v>
      </c>
      <c r="AP22" s="217">
        <f ca="1">SUM(AL22:AO22)</f>
        <v>0</v>
      </c>
      <c r="AQ22" s="217"/>
      <c r="AR22" s="217">
        <f ca="1">IF($Z22=$Z23,$T26,0)</f>
        <v>0</v>
      </c>
      <c r="AS22" s="217">
        <f ca="1">IF($Z22=$Z24,$U26,0)</f>
        <v>0</v>
      </c>
      <c r="AT22" s="217">
        <f ca="1">IF($Z22=$Z25,$V26,0)</f>
        <v>0</v>
      </c>
      <c r="AU22" s="217">
        <f ca="1">SUM(AQ22:AT22)</f>
        <v>0</v>
      </c>
      <c r="AV22" s="203">
        <v>4</v>
      </c>
      <c r="AW22" s="2"/>
      <c r="AX22" s="27">
        <f ca="1">IF($CX$97="",2*COUNTIF(Ergebnisse!$D$63:'Ergebnisse'!$F$78,M28),2*INT(RAND()*2))</f>
        <v>2</v>
      </c>
      <c r="AY22" s="17" t="str">
        <f ca="1">IF(COUNTIF(Ergebnisse!K23:'Ergebnisse'!K28,Ergebnisse!$B$98)=6,"ok","")</f>
        <v>ok</v>
      </c>
      <c r="AZ22" s="2"/>
      <c r="BB22" s="3" t="s">
        <v>22</v>
      </c>
      <c r="BC22" s="3" t="s">
        <v>23</v>
      </c>
      <c r="BD22" s="55"/>
      <c r="BE22" s="55"/>
      <c r="BF22" s="55"/>
      <c r="BG22" s="55"/>
      <c r="BL22" s="1"/>
      <c r="BM22" s="9" t="str">
        <f ca="1">VLOOKUP(1,$BX$22:$CC$25,2,FALSE)</f>
        <v>Tunesien</v>
      </c>
      <c r="BN22" s="2">
        <f ca="1">VLOOKUP(1,$BX$22:$CC$25,3,FALSE)</f>
        <v>7</v>
      </c>
      <c r="BO22" s="2">
        <f ca="1">VLOOKUP(1,$BX$22:$CC$25,4,FALSE)</f>
        <v>9</v>
      </c>
      <c r="BP22" s="2">
        <f ca="1">VLOOKUP(1,$BX$22:$CC$25,5,FALSE)</f>
        <v>4</v>
      </c>
      <c r="BQ22" s="2">
        <f ca="1">VLOOKUP(1,$BX$22:$CC$25,6,FALSE)</f>
        <v>5</v>
      </c>
      <c r="BS22" s="60"/>
      <c r="BT22" s="61">
        <f ca="1">IF(BH23="",0,IF(BK23=$B$98,IF(BH23&gt;BJ23,3,IF(BH23=BJ23,1,0)),0))</f>
        <v>3</v>
      </c>
      <c r="BU22" s="61">
        <f ca="1">IF(BH25="",0,IF(BK25=$B$98,IF(BH25&gt;BJ25,3,IF(BH25=BJ25,1,0)),0))</f>
        <v>3</v>
      </c>
      <c r="BV22" s="61">
        <f ca="1">IF(BJ27="",0,IF(BK28=$B$98,IF(BH27&lt;BJ27,3,IF(BH27=BJ27,1,0)),0))</f>
        <v>1</v>
      </c>
      <c r="BW22" s="1"/>
      <c r="BX22" s="1">
        <f ca="1">RANK(CD22,$CD$22:$CD$25)</f>
        <v>2</v>
      </c>
      <c r="BY22" s="40" t="s">
        <v>71</v>
      </c>
      <c r="BZ22" s="1">
        <f ca="1">SUM(BS22:BV22)</f>
        <v>7</v>
      </c>
      <c r="CA22" s="1">
        <f ca="1">SUM(BS26:BV26)</f>
        <v>9</v>
      </c>
      <c r="CB22" s="1">
        <f ca="1">SUM(BS26:BS29)</f>
        <v>5</v>
      </c>
      <c r="CC22" s="1">
        <f ca="1">CA22-CB22</f>
        <v>4</v>
      </c>
      <c r="CD22" s="24">
        <f ca="1">IF(BP$28="",(((((((CE22*10+BZ22)*100+CC22)*100+CA22)*10+CK22)*10+CJ22)*100+CP22)*100+CU22)*10+CV22,(((((((CE22*10+BZ22)*10+CK22)*10+CJ22)*100+CP22)*100+CU22)*100+CC22)*100+CA22)*10+CV22)</f>
        <v>700000204094</v>
      </c>
      <c r="CE22" s="207"/>
      <c r="CF22" s="218"/>
      <c r="CG22" s="218">
        <f ca="1">IF($BZ22=$BZ23,$BT22-$BS23,0)</f>
        <v>0</v>
      </c>
      <c r="CH22" s="218">
        <f ca="1">IF($BZ22=$BZ24,$BU22-$BS24,0)</f>
        <v>0</v>
      </c>
      <c r="CI22" s="218">
        <f ca="1">IF($BZ22=$BZ25,$BV22-$BS25,0)</f>
        <v>0</v>
      </c>
      <c r="CJ22" s="218">
        <f ca="1">SUM(CF22:CI22)</f>
        <v>0</v>
      </c>
      <c r="CK22" s="207"/>
      <c r="CL22" s="218"/>
      <c r="CM22" s="218">
        <f ca="1">IF($BZ22=$BZ23,$BT26-$BS27,0)</f>
        <v>0</v>
      </c>
      <c r="CN22" s="218">
        <f ca="1">IF($BZ22=$BZ24,$BU26-$BS28,0)</f>
        <v>0</v>
      </c>
      <c r="CO22" s="218">
        <f ca="1">IF($BZ22=$BZ25,$BV26-$BS29,0)</f>
        <v>0</v>
      </c>
      <c r="CP22" s="218">
        <f ca="1">SUM(CL22:CO22)</f>
        <v>0</v>
      </c>
      <c r="CQ22" s="218"/>
      <c r="CR22" s="218">
        <f ca="1">IF($BZ22=$BZ23,$BT26,0)</f>
        <v>0</v>
      </c>
      <c r="CS22" s="218">
        <f ca="1">IF($BZ22=$BZ24,$BU26,0)</f>
        <v>0</v>
      </c>
      <c r="CT22" s="218">
        <f ca="1">IF($BZ22=$BZ25,$BV26,0)</f>
        <v>2</v>
      </c>
      <c r="CU22" s="218">
        <f ca="1">SUM(CQ22:CT22)</f>
        <v>2</v>
      </c>
      <c r="CV22" s="207">
        <v>4</v>
      </c>
      <c r="CX22" s="221">
        <f ca="1">IF($CX$97="",2*COUNTIF(Ergebnisse!$D$63:'Ergebnisse'!$F$78,BM28),2*INT(RAND()*2))</f>
        <v>2</v>
      </c>
      <c r="CY22" s="17" t="str">
        <f ca="1">IF(COUNTIF(Ergebnisse!BK23:'Ergebnisse'!BK28,Ergebnisse!$B$98)=6,"ok","")</f>
        <v>ok</v>
      </c>
      <c r="DA22" s="171" t="s">
        <v>83</v>
      </c>
      <c r="DB22" s="270">
        <v>7</v>
      </c>
    </row>
    <row r="23" spans="1:106">
      <c r="A23" s="2">
        <v>7</v>
      </c>
      <c r="B23" s="6">
        <f>VLOOKUP(A23,Spiele!$A$1:$L$116,2,FALSE)</f>
        <v>46186.75</v>
      </c>
      <c r="C23" s="6" t="str">
        <f>VLOOKUP(A23,Spiele!$A$1:$L$116,9,FALSE)</f>
        <v>New York</v>
      </c>
      <c r="D23" s="56" t="str">
        <f>Y22</f>
        <v>Brasilien</v>
      </c>
      <c r="E23" s="40" t="s">
        <v>24</v>
      </c>
      <c r="F23" s="56" t="str">
        <f>Y23</f>
        <v>Marokko</v>
      </c>
      <c r="G23" s="53"/>
      <c r="H23" s="107">
        <f t="shared" ref="H23:H28" ca="1" si="8">IF($B$99="",2,INT(RAND()*5)+INT(RAND()*3)*INT(RAND()*2))</f>
        <v>4</v>
      </c>
      <c r="I23" s="11" t="s">
        <v>25</v>
      </c>
      <c r="J23" s="107">
        <f t="shared" ref="J23:J28" ca="1" si="9">IF($B$99="",1,INT(RAND()*5)+INT(RAND()*3)*INT(RAND()*2))</f>
        <v>2</v>
      </c>
      <c r="K23" s="7" t="s">
        <v>26</v>
      </c>
      <c r="L23" s="1"/>
      <c r="M23" s="9" t="str">
        <f ca="1">VLOOKUP(2,$X$22:$AC$25,2,FALSE)</f>
        <v>Schottland</v>
      </c>
      <c r="N23" s="2">
        <f ca="1">VLOOKUP(2,$X$22:$AC$25,3,FALSE)</f>
        <v>6</v>
      </c>
      <c r="O23" s="2">
        <f ca="1">VLOOKUP(2,$X$22:$AC$25,4,FALSE)</f>
        <v>12</v>
      </c>
      <c r="P23" s="2">
        <f ca="1">VLOOKUP(2,$X$22:$AC$25,5,FALSE)</f>
        <v>6</v>
      </c>
      <c r="Q23" s="2">
        <f ca="1">VLOOKUP(2,$X$22:$AC$25,6,FALSE)</f>
        <v>6</v>
      </c>
      <c r="S23" s="61">
        <f ca="1">IF(J23="",0,IF(K23=$B$98,IF(H23&lt;J23,3,IF(H23=J23,1,0)),0))</f>
        <v>0</v>
      </c>
      <c r="T23" s="60"/>
      <c r="U23" s="61">
        <f ca="1">IF(H28="",0,IF(K27=$B$98,IF(H28&gt;J28,3,IF(H28=J28,1,0)),0))</f>
        <v>1</v>
      </c>
      <c r="V23" s="61">
        <f ca="1">IF(J26="",0,IF(K26=$B$98,IF(J26&gt;H26,3,IF(J26=H26,1,0)),0))</f>
        <v>0</v>
      </c>
      <c r="W23" s="62"/>
      <c r="X23" s="62">
        <f ca="1">RANK(AD23,$AD$22:$AD$25)</f>
        <v>4</v>
      </c>
      <c r="Y23" s="40" t="s">
        <v>214</v>
      </c>
      <c r="Z23" s="62">
        <f ca="1">SUM(S23:V23)</f>
        <v>1</v>
      </c>
      <c r="AA23" s="62">
        <f ca="1">SUM(S27:V27)</f>
        <v>6</v>
      </c>
      <c r="AB23" s="62">
        <f ca="1">SUM(T26:T29)</f>
        <v>11</v>
      </c>
      <c r="AC23" s="62">
        <f ca="1">AA23-AB23</f>
        <v>-5</v>
      </c>
      <c r="AD23" s="24">
        <f ca="1">IF(P$28="",(((((((AE23*10+Z23)*100+AC23)*100+AA23)*10+AK23)*10+AJ23)*100+AP23)*100+AU23)*10+AV23,(((((((AE23*10+Z23)*10+AK23)*10+AJ23)*100+AP23)*100+AU23)*100+AC23)*100+AA23)*10+AV23)</f>
        <v>99999995063</v>
      </c>
      <c r="AE23" s="203"/>
      <c r="AF23" s="217">
        <f ca="1">IF($Z23=$Z22,$S23-$T22,0)</f>
        <v>0</v>
      </c>
      <c r="AG23" s="217"/>
      <c r="AH23" s="217">
        <f ca="1">IF($Z23=$Z24,$U23-$T24,0)</f>
        <v>0</v>
      </c>
      <c r="AI23" s="217">
        <f ca="1">IF($Z23=$Z25,$V23-$T25,0)</f>
        <v>0</v>
      </c>
      <c r="AJ23" s="217">
        <f ca="1">SUM(AF23:AI23)</f>
        <v>0</v>
      </c>
      <c r="AK23" s="203"/>
      <c r="AL23" s="217">
        <f ca="1">IF($Z23=$Z22,$S27-$T26,0)</f>
        <v>0</v>
      </c>
      <c r="AM23" s="217"/>
      <c r="AN23" s="217">
        <f ca="1">IF($Z23=$Z24,$U27-$T28,0)</f>
        <v>0</v>
      </c>
      <c r="AO23" s="217">
        <f ca="1">IF($Z23=$Z25,$V27-$T29,0)</f>
        <v>0</v>
      </c>
      <c r="AP23" s="217">
        <f ca="1">SUM(AL23:AO23)</f>
        <v>0</v>
      </c>
      <c r="AQ23" s="217">
        <f ca="1">IF($Z23=$Z22,$S27,0)</f>
        <v>0</v>
      </c>
      <c r="AR23" s="217"/>
      <c r="AS23" s="217">
        <f ca="1">IF($Z23=$Z24,$U27,0)</f>
        <v>0</v>
      </c>
      <c r="AT23" s="217">
        <f ca="1">IF($Z23=$Z25,$V27,0)</f>
        <v>0</v>
      </c>
      <c r="AU23" s="217">
        <f ca="1">SUM(AQ23:AT23)</f>
        <v>0</v>
      </c>
      <c r="AV23" s="203">
        <v>3</v>
      </c>
      <c r="AW23" s="2"/>
      <c r="AX23" s="17">
        <f ca="1">IF($CX$97="",IF(OR(Ergebnisse!H23="",Ergebnisse!J23=""),0,IF(AND(H23=Ergebnisse!H23,J23=Ergebnisse!J23),7,MIN(7,(H23-J23=Ergebnisse!H23-Ergebnisse!J23)*4+(AND(H23-J23&lt;&gt;Ergebnisse!H23-Ergebnisse!J23,SIGN(H23-J23)=SIGN(Ergebnisse!H23-Ergebnisse!J23)))*2+(H23=Ergebnisse!H23)+(J23=Ergebnisse!J23)))),INT(RAND()*8))</f>
        <v>4</v>
      </c>
      <c r="AY23" s="17" t="str">
        <f ca="1">IF(Ergebnisse!K23=Ergebnisse!$B$98,Ergebnisse!K23,"")</f>
        <v>ok</v>
      </c>
      <c r="AZ23" s="2"/>
      <c r="BA23" s="2">
        <v>11</v>
      </c>
      <c r="BB23" s="6">
        <f>VLOOKUP(BA23,Spiele!$A$1:$L$116,2,FALSE)</f>
        <v>46187.625</v>
      </c>
      <c r="BC23" s="6" t="str">
        <f>VLOOKUP(BA23,Spiele!$A$1:$L$116,9,FALSE)</f>
        <v>Dallas</v>
      </c>
      <c r="BD23" s="56" t="str">
        <f>BY22</f>
        <v>Niederlande</v>
      </c>
      <c r="BE23" s="40" t="s">
        <v>24</v>
      </c>
      <c r="BF23" s="56" t="str">
        <f>BY23</f>
        <v>Japan</v>
      </c>
      <c r="BG23" s="53"/>
      <c r="BH23" s="107">
        <f t="shared" ref="BH23:BH28" ca="1" si="10">IF($B$99="",2,INT(RAND()*5)+INT(RAND()*3)*INT(RAND()*2))</f>
        <v>4</v>
      </c>
      <c r="BI23" s="11" t="s">
        <v>25</v>
      </c>
      <c r="BJ23" s="107">
        <f t="shared" ref="BJ23:BJ28" ca="1" si="11">IF($B$99="",1,INT(RAND()*5)+INT(RAND()*3)*INT(RAND()*2))</f>
        <v>3</v>
      </c>
      <c r="BK23" s="7" t="s">
        <v>26</v>
      </c>
      <c r="BL23" s="1"/>
      <c r="BM23" s="9" t="str">
        <f ca="1">VLOOKUP(2,$BX$22:$CC$25,2,FALSE)</f>
        <v>Niederlande</v>
      </c>
      <c r="BN23" s="2">
        <f ca="1">VLOOKUP(2,$BX$22:$CC$25,3,FALSE)</f>
        <v>7</v>
      </c>
      <c r="BO23" s="2">
        <f ca="1">VLOOKUP(2,$BX$22:$CC$25,4,FALSE)</f>
        <v>9</v>
      </c>
      <c r="BP23" s="2">
        <f ca="1">VLOOKUP(2,$BX$22:$CC$25,5,FALSE)</f>
        <v>5</v>
      </c>
      <c r="BQ23" s="2">
        <f ca="1">VLOOKUP(2,$BX$22:$CC$25,6,FALSE)</f>
        <v>4</v>
      </c>
      <c r="BS23" s="61">
        <f ca="1">IF(BJ23="",0,IF(BK23=$B$98,IF(BH23&lt;BJ23,3,IF(BH23=BJ23,1,0)),0))</f>
        <v>0</v>
      </c>
      <c r="BT23" s="60"/>
      <c r="BU23" s="61">
        <f ca="1">IF(BH28="",0,IF(BK27=$B$98,IF(BH28&gt;BJ28,3,IF(BH28=BJ28,1,0)),0))</f>
        <v>0</v>
      </c>
      <c r="BV23" s="61">
        <f ca="1">IF(BJ26="",0,IF(BK26=$B$98,IF(BJ26&gt;BH26,3,IF(BJ26=BH26,1,0)),0))</f>
        <v>0</v>
      </c>
      <c r="BW23" s="1"/>
      <c r="BX23" s="1">
        <f ca="1">RANK(CD23,$CD$22:$CD$25)</f>
        <v>4</v>
      </c>
      <c r="BY23" s="40" t="s">
        <v>215</v>
      </c>
      <c r="BZ23" s="1">
        <f ca="1">SUM(BS23:BV23)</f>
        <v>0</v>
      </c>
      <c r="CA23" s="1">
        <f ca="1">SUM(BS27:BV27)</f>
        <v>7</v>
      </c>
      <c r="CB23" s="1">
        <f ca="1">SUM(BT26:BT29)</f>
        <v>10</v>
      </c>
      <c r="CC23" s="1">
        <f ca="1">CA23-CB23</f>
        <v>-3</v>
      </c>
      <c r="CD23" s="24">
        <f ca="1">IF(BP$28="",(((((((CE23*10+BZ23)*100+CC23)*100+CA23)*10+CK23)*10+CJ23)*100+CP23)*100+CU23)*10+CV23,(((((((CE23*10+BZ23)*10+CK23)*10+CJ23)*100+CP23)*100+CU23)*100+CC23)*100+CA23)*10+CV23)</f>
        <v>-2927</v>
      </c>
      <c r="CE23" s="207"/>
      <c r="CF23" s="218">
        <f ca="1">IF($BZ23=$BZ22,$BS23-$BT22,0)</f>
        <v>0</v>
      </c>
      <c r="CG23" s="218"/>
      <c r="CH23" s="218">
        <f ca="1">IF($BZ23=$BZ24,$BU23-$BT24,0)</f>
        <v>0</v>
      </c>
      <c r="CI23" s="218">
        <f ca="1">IF($BZ23=$BZ25,$BV23-$BT25,0)</f>
        <v>0</v>
      </c>
      <c r="CJ23" s="218">
        <f ca="1">SUM(CF23:CI23)</f>
        <v>0</v>
      </c>
      <c r="CK23" s="207"/>
      <c r="CL23" s="218">
        <f ca="1">IF($BZ23=$BZ22,$BS27-$BT26,0)</f>
        <v>0</v>
      </c>
      <c r="CM23" s="218"/>
      <c r="CN23" s="218">
        <f ca="1">IF($BZ23=$BZ24,$BU27-$BT28,0)</f>
        <v>0</v>
      </c>
      <c r="CO23" s="218">
        <f ca="1">IF($BZ23=$BZ25,$BV27-$BT29,0)</f>
        <v>0</v>
      </c>
      <c r="CP23" s="218">
        <f ca="1">SUM(CL23:CO23)</f>
        <v>0</v>
      </c>
      <c r="CQ23" s="218">
        <f ca="1">IF($BZ23=$BZ22,$BS27,0)</f>
        <v>0</v>
      </c>
      <c r="CR23" s="218"/>
      <c r="CS23" s="218">
        <f ca="1">IF($BZ23=$BZ24,$BU27,0)</f>
        <v>0</v>
      </c>
      <c r="CT23" s="218">
        <f ca="1">IF($BZ23=$BZ25,$BV27,0)</f>
        <v>0</v>
      </c>
      <c r="CU23" s="218">
        <f ca="1">SUM(CQ23:CT23)</f>
        <v>0</v>
      </c>
      <c r="CV23" s="207">
        <v>3</v>
      </c>
      <c r="CX23" s="17">
        <f ca="1">IF($CX$97="",IF(OR(Ergebnisse!BH23="",Ergebnisse!BJ23=""),0,IF(AND(BH23=Ergebnisse!BH23,BJ23=Ergebnisse!BJ23),7,MIN(7,(BH23-BJ23=Ergebnisse!BH23-Ergebnisse!BJ23)*4+(AND(BH23-BJ23&lt;&gt;Ergebnisse!BH23-Ergebnisse!BJ23,SIGN(BH23-BJ23)=SIGN(Ergebnisse!BH23-Ergebnisse!BJ23)))*2+(BH23=Ergebnisse!BH23)+(BJ23=Ergebnisse!BJ23)))),INT(RAND()*8))</f>
        <v>3</v>
      </c>
      <c r="CY23" s="17" t="str">
        <f ca="1">IF(Ergebnisse!BK23=Ergebnisse!$B$98,Ergebnisse!BK23,"")</f>
        <v>ok</v>
      </c>
      <c r="DA23" s="168" t="s">
        <v>76</v>
      </c>
      <c r="DB23" s="169">
        <v>8</v>
      </c>
    </row>
    <row r="24" spans="1:106">
      <c r="A24" s="2">
        <v>5</v>
      </c>
      <c r="B24" s="6">
        <f>VLOOKUP(A24,Spiele!$A$1:$L$116,2,FALSE)</f>
        <v>46186.875</v>
      </c>
      <c r="C24" s="6" t="str">
        <f>VLOOKUP(A24,Spiele!$A$1:$L$116,9,FALSE)</f>
        <v>Boston</v>
      </c>
      <c r="D24" s="56" t="str">
        <f>Y24</f>
        <v>Haiti</v>
      </c>
      <c r="E24" s="40" t="s">
        <v>24</v>
      </c>
      <c r="F24" s="56" t="str">
        <f>Y25</f>
        <v>Schottland</v>
      </c>
      <c r="G24" s="53"/>
      <c r="H24" s="107">
        <f t="shared" ca="1" si="8"/>
        <v>4</v>
      </c>
      <c r="I24" s="11" t="s">
        <v>25</v>
      </c>
      <c r="J24" s="107">
        <f t="shared" ca="1" si="9"/>
        <v>3</v>
      </c>
      <c r="K24" s="7" t="s">
        <v>26</v>
      </c>
      <c r="L24" s="1"/>
      <c r="M24" s="9" t="str">
        <f ca="1">VLOOKUP(3,$X$22:$AC$25,2,FALSE)</f>
        <v>Brasilien</v>
      </c>
      <c r="N24" s="2">
        <f ca="1">VLOOKUP(3,$X$22:$AC$25,3,FALSE)</f>
        <v>3</v>
      </c>
      <c r="O24" s="2">
        <f ca="1">VLOOKUP(3,$X$22:$AC$25,4,FALSE)</f>
        <v>7</v>
      </c>
      <c r="P24" s="2">
        <f ca="1">VLOOKUP(3,$X$22:$AC$25,5,FALSE)</f>
        <v>12</v>
      </c>
      <c r="Q24" s="2">
        <f ca="1">VLOOKUP(3,$X$22:$AC$25,6,FALSE)</f>
        <v>-5</v>
      </c>
      <c r="S24" s="61">
        <f ca="1">IF(J25="",0,IF(K25=$B$98,IF(H25&lt;J25,3,IF(H25=J25,1,0)),0))</f>
        <v>3</v>
      </c>
      <c r="T24" s="61">
        <f ca="1">IF(J28="",0,IF(K27=$B$98,IF(H28&lt;J28,3,IF(H28=J28,1,0)),0))</f>
        <v>1</v>
      </c>
      <c r="U24" s="60"/>
      <c r="V24" s="61">
        <f ca="1">IF(H24="",0,IF(K24=$B$98,IF(H24&gt;J24,3,IF(H24=J24,1,0)),0))</f>
        <v>3</v>
      </c>
      <c r="W24" s="62"/>
      <c r="X24" s="62">
        <f ca="1">RANK(AD24,$AD$22:$AD$25)</f>
        <v>1</v>
      </c>
      <c r="Y24" s="40" t="s">
        <v>216</v>
      </c>
      <c r="Z24" s="62">
        <f ca="1">SUM(S24:V24)</f>
        <v>7</v>
      </c>
      <c r="AA24" s="62">
        <f ca="1">SUM(S28:V28)</f>
        <v>12</v>
      </c>
      <c r="AB24" s="62">
        <f ca="1">SUM(U26:U29)</f>
        <v>8</v>
      </c>
      <c r="AC24" s="62">
        <f ca="1">AA24-AB24</f>
        <v>4</v>
      </c>
      <c r="AD24" s="24">
        <f ca="1">IF(P$28="",(((((((AE24*10+Z24)*100+AC24)*100+AA24)*10+AK24)*10+AJ24)*100+AP24)*100+AU24)*10+AV24,(((((((AE24*10+Z24)*10+AK24)*10+AJ24)*100+AP24)*100+AU24)*100+AC24)*100+AA24)*10+AV24)</f>
        <v>700000004122</v>
      </c>
      <c r="AE24" s="203"/>
      <c r="AF24" s="217">
        <f ca="1">IF($Z24=$Z22,$S24-$U22,0)</f>
        <v>0</v>
      </c>
      <c r="AG24" s="217">
        <f ca="1">IF($Z24=$Z23,$T24-$U23,0)</f>
        <v>0</v>
      </c>
      <c r="AH24" s="217"/>
      <c r="AI24" s="217">
        <f ca="1">IF($Z24=$Z25,$V24-$U25,0)</f>
        <v>0</v>
      </c>
      <c r="AJ24" s="217">
        <f ca="1">SUM(AF24:AI24)</f>
        <v>0</v>
      </c>
      <c r="AK24" s="203"/>
      <c r="AL24" s="217">
        <f ca="1">IF($Z24=$Z22,$S28-$U26,0)</f>
        <v>0</v>
      </c>
      <c r="AM24" s="217">
        <f ca="1">IF($Z24=$Z23,$T28-$U27,0)</f>
        <v>0</v>
      </c>
      <c r="AN24" s="217"/>
      <c r="AO24" s="217">
        <f ca="1">IF($Z24=$Z25,$V28-$U29,0)</f>
        <v>0</v>
      </c>
      <c r="AP24" s="217">
        <f ca="1">SUM(AL24:AO24)</f>
        <v>0</v>
      </c>
      <c r="AQ24" s="217">
        <f ca="1">IF($Z24=$Z22,$S28,0)</f>
        <v>0</v>
      </c>
      <c r="AR24" s="217">
        <f ca="1">IF($Z24=$Z23,$T28,0)</f>
        <v>0</v>
      </c>
      <c r="AS24" s="217"/>
      <c r="AT24" s="217">
        <f ca="1">IF($Z24=$Z25,$V28,0)</f>
        <v>0</v>
      </c>
      <c r="AU24" s="217">
        <f ca="1">SUM(AQ24:AT24)</f>
        <v>0</v>
      </c>
      <c r="AV24" s="203">
        <v>2</v>
      </c>
      <c r="AW24" s="2"/>
      <c r="AX24" s="17">
        <f ca="1">IF($CX$97="",IF(OR(Ergebnisse!H24="",Ergebnisse!J24=""),0,IF(AND(H24=Ergebnisse!H24,J24=Ergebnisse!J24),7,MIN(7,(H24-J24=Ergebnisse!H24-Ergebnisse!J24)*4+(AND(H24-J24&lt;&gt;Ergebnisse!H24-Ergebnisse!J24,SIGN(H24-J24)=SIGN(Ergebnisse!H24-Ergebnisse!J24)))*2+(H24=Ergebnisse!H24)+(J24=Ergebnisse!J24)))),INT(RAND()*8))</f>
        <v>0</v>
      </c>
      <c r="AY24" s="17" t="str">
        <f ca="1">IF(Ergebnisse!K24=Ergebnisse!$B$98,Ergebnisse!K24,"")</f>
        <v>ok</v>
      </c>
      <c r="AZ24" s="2"/>
      <c r="BA24" s="2">
        <v>12</v>
      </c>
      <c r="BB24" s="6">
        <f>VLOOKUP(BA24,Spiele!$A$1:$L$116,2,FALSE)</f>
        <v>46187.875</v>
      </c>
      <c r="BC24" s="6" t="str">
        <f>VLOOKUP(BA24,Spiele!$A$1:$L$116,9,FALSE)</f>
        <v>Monterrey</v>
      </c>
      <c r="BD24" s="56" t="str">
        <f>BY24</f>
        <v>Schweden</v>
      </c>
      <c r="BE24" s="40" t="s">
        <v>24</v>
      </c>
      <c r="BF24" s="56" t="str">
        <f>BY25</f>
        <v>Tunesien</v>
      </c>
      <c r="BG24" s="53"/>
      <c r="BH24" s="107">
        <f t="shared" ca="1" si="10"/>
        <v>0</v>
      </c>
      <c r="BI24" s="11" t="s">
        <v>25</v>
      </c>
      <c r="BJ24" s="107">
        <f t="shared" ca="1" si="11"/>
        <v>4</v>
      </c>
      <c r="BK24" s="7" t="s">
        <v>26</v>
      </c>
      <c r="BL24" s="1"/>
      <c r="BM24" s="9" t="str">
        <f ca="1">VLOOKUP(3,$BX$22:$CC$25,2,FALSE)</f>
        <v>Schweden</v>
      </c>
      <c r="BN24" s="2">
        <f ca="1">VLOOKUP(3,$BX$22:$CC$25,3,FALSE)</f>
        <v>3</v>
      </c>
      <c r="BO24" s="2">
        <f ca="1">VLOOKUP(3,$BX$22:$CC$25,4,FALSE)</f>
        <v>3</v>
      </c>
      <c r="BP24" s="2">
        <f ca="1">VLOOKUP(3,$BX$22:$CC$25,5,FALSE)</f>
        <v>9</v>
      </c>
      <c r="BQ24" s="2">
        <f ca="1">VLOOKUP(3,$BX$22:$CC$25,6,FALSE)</f>
        <v>-6</v>
      </c>
      <c r="BS24" s="61">
        <f ca="1">IF(BJ25="",0,IF(BK25=$B$98,IF(BH25&lt;BJ25,3,IF(BH25=BJ25,1,0)),0))</f>
        <v>0</v>
      </c>
      <c r="BT24" s="61">
        <f ca="1">IF(BJ28="",0,IF(BK27=$B$98,IF(BH28&lt;BJ28,3,IF(BH28=BJ28,1,0)),0))</f>
        <v>3</v>
      </c>
      <c r="BU24" s="60"/>
      <c r="BV24" s="61">
        <f ca="1">IF(BH24="",0,IF(BK24=$B$98,IF(BH24&gt;BJ24,3,IF(BH24=BJ24,1,0)),0))</f>
        <v>0</v>
      </c>
      <c r="BW24" s="1"/>
      <c r="BX24" s="1">
        <f ca="1">RANK(CD24,$CD$22:$CD$25)</f>
        <v>3</v>
      </c>
      <c r="BY24" s="40" t="s">
        <v>217</v>
      </c>
      <c r="BZ24" s="1">
        <f ca="1">SUM(BS24:BV24)</f>
        <v>3</v>
      </c>
      <c r="CA24" s="1">
        <f ca="1">SUM(BS28:BV28)</f>
        <v>3</v>
      </c>
      <c r="CB24" s="1">
        <f ca="1">SUM(BU26:BU29)</f>
        <v>9</v>
      </c>
      <c r="CC24" s="1">
        <f ca="1">CA24-CB24</f>
        <v>-6</v>
      </c>
      <c r="CD24" s="24">
        <f ca="1">IF(BP$28="",(((((((CE24*10+BZ24)*100+CC24)*100+CA24)*10+CK24)*10+CJ24)*100+CP24)*100+CU24)*10+CV24,(((((((CE24*10+BZ24)*10+CK24)*10+CJ24)*100+CP24)*100+CU24)*100+CC24)*100+CA24)*10+CV24)</f>
        <v>299999994032</v>
      </c>
      <c r="CE24" s="207"/>
      <c r="CF24" s="218">
        <f ca="1">IF($BZ24=$BZ22,$BS24-$BU22,0)</f>
        <v>0</v>
      </c>
      <c r="CG24" s="218">
        <f ca="1">IF($BZ24=$BZ23,$BT24-$BU23,0)</f>
        <v>0</v>
      </c>
      <c r="CH24" s="218"/>
      <c r="CI24" s="218">
        <f ca="1">IF($BZ24=$BZ25,$BV24-$BU25,0)</f>
        <v>0</v>
      </c>
      <c r="CJ24" s="218">
        <f ca="1">SUM(CF24:CI24)</f>
        <v>0</v>
      </c>
      <c r="CK24" s="207"/>
      <c r="CL24" s="218">
        <f ca="1">IF($BZ24=$BZ22,$BS28-$BU26,0)</f>
        <v>0</v>
      </c>
      <c r="CM24" s="218">
        <f ca="1">IF($BZ24=$BZ23,$BT28-$BU27,0)</f>
        <v>0</v>
      </c>
      <c r="CN24" s="218"/>
      <c r="CO24" s="218">
        <f ca="1">IF($BZ24=$BZ25,$BV28-$BU29,0)</f>
        <v>0</v>
      </c>
      <c r="CP24" s="218">
        <f ca="1">SUM(CL24:CO24)</f>
        <v>0</v>
      </c>
      <c r="CQ24" s="218">
        <f ca="1">IF($BZ24=$BZ22,$BS28,0)</f>
        <v>0</v>
      </c>
      <c r="CR24" s="218">
        <f ca="1">IF($BZ24=$BZ23,$BT28,0)</f>
        <v>0</v>
      </c>
      <c r="CS24" s="218"/>
      <c r="CT24" s="218">
        <f ca="1">IF($BZ24=$BZ25,$BV28,0)</f>
        <v>0</v>
      </c>
      <c r="CU24" s="218">
        <f ca="1">SUM(CQ24:CT24)</f>
        <v>0</v>
      </c>
      <c r="CV24" s="207">
        <v>2</v>
      </c>
      <c r="CX24" s="17">
        <f ca="1">IF($CX$97="",IF(OR(Ergebnisse!BH24="",Ergebnisse!BJ24=""),0,IF(AND(BH24=Ergebnisse!BH24,BJ24=Ergebnisse!BJ24),7,MIN(7,(BH24-BJ24=Ergebnisse!BH24-Ergebnisse!BJ24)*4+(AND(BH24-BJ24&lt;&gt;Ergebnisse!BH24-Ergebnisse!BJ24,SIGN(BH24-BJ24)=SIGN(Ergebnisse!BH24-Ergebnisse!BJ24)))*2+(BH24=Ergebnisse!BH24)+(BJ24=Ergebnisse!BJ24)))),INT(RAND()*8))</f>
        <v>1</v>
      </c>
      <c r="CY24" s="17" t="str">
        <f ca="1">IF(Ergebnisse!BK24=Ergebnisse!$B$98,Ergebnisse!BK24,"")</f>
        <v>ok</v>
      </c>
    </row>
    <row r="25" spans="1:106">
      <c r="A25" s="2">
        <v>29</v>
      </c>
      <c r="B25" s="6">
        <f>VLOOKUP(A25,Spiele!$A$1:$L$116,2,FALSE)</f>
        <v>46192.875</v>
      </c>
      <c r="C25" s="6" t="str">
        <f>VLOOKUP(A25,Spiele!$A$1:$L$116,9,FALSE)</f>
        <v>Philadelphia</v>
      </c>
      <c r="D25" s="56" t="str">
        <f>Y22</f>
        <v>Brasilien</v>
      </c>
      <c r="E25" s="40" t="s">
        <v>24</v>
      </c>
      <c r="F25" s="56" t="str">
        <f>Y24</f>
        <v>Haiti</v>
      </c>
      <c r="G25" s="53"/>
      <c r="H25" s="107">
        <f t="shared" ca="1" si="8"/>
        <v>2</v>
      </c>
      <c r="I25" s="11" t="s">
        <v>25</v>
      </c>
      <c r="J25" s="107">
        <f t="shared" ca="1" si="9"/>
        <v>5</v>
      </c>
      <c r="K25" s="7" t="s">
        <v>26</v>
      </c>
      <c r="L25" s="1"/>
      <c r="M25" s="9" t="str">
        <f ca="1">VLOOKUP(4,$X$22:$AC$25,2,FALSE)</f>
        <v>Marokko</v>
      </c>
      <c r="N25" s="2">
        <f ca="1">VLOOKUP(4,$X$22:$AC$25,3,FALSE)</f>
        <v>1</v>
      </c>
      <c r="O25" s="2">
        <f ca="1">VLOOKUP(4,$X$22:$AC$25,4,FALSE)</f>
        <v>6</v>
      </c>
      <c r="P25" s="2">
        <f ca="1">VLOOKUP(4,$X$22:$AC$25,5,FALSE)</f>
        <v>11</v>
      </c>
      <c r="Q25" s="2">
        <f ca="1">VLOOKUP(4,$X$22:$AC$25,6,FALSE)</f>
        <v>-5</v>
      </c>
      <c r="S25" s="61">
        <f ca="1">IF(H27="",0,IF(K28=$B$98,IF(H27&gt;J27,3,IF(H27=J27,1,0)),0))</f>
        <v>3</v>
      </c>
      <c r="T25" s="61">
        <f ca="1">IF(H26="",0,IF(K26=$B$98,IF(J26&lt;H26,3,IF(J26=H26,1,0)),0))</f>
        <v>3</v>
      </c>
      <c r="U25" s="61">
        <f ca="1">IF(J24="",0,IF(K24=$B$98,IF(H24&lt;J24,3,IF(H24=J24,1,0)),0))</f>
        <v>0</v>
      </c>
      <c r="V25" s="60"/>
      <c r="W25" s="62"/>
      <c r="X25" s="62">
        <f ca="1">RANK(AD25,$AD$22:$AD$25)</f>
        <v>2</v>
      </c>
      <c r="Y25" s="40" t="s">
        <v>184</v>
      </c>
      <c r="Z25" s="62">
        <f ca="1">SUM(S25:V25)</f>
        <v>6</v>
      </c>
      <c r="AA25" s="62">
        <f ca="1">SUM(S29:V29)</f>
        <v>12</v>
      </c>
      <c r="AB25" s="62">
        <f ca="1">SUM(V26:V29)</f>
        <v>6</v>
      </c>
      <c r="AC25" s="62">
        <f ca="1">AA25-AB25</f>
        <v>6</v>
      </c>
      <c r="AD25" s="24">
        <f ca="1">IF(P$28="",(((((((AE25*10+Z25)*100+AC25)*100+AA25)*10+AK25)*10+AJ25)*100+AP25)*100+AU25)*10+AV25,(((((((AE25*10+Z25)*10+AK25)*10+AJ25)*100+AP25)*100+AU25)*100+AC25)*100+AA25)*10+AV25)</f>
        <v>600000006121</v>
      </c>
      <c r="AE25" s="203"/>
      <c r="AF25" s="217">
        <f ca="1">IF($Z25=$Z22,$S25-$V22,0)</f>
        <v>0</v>
      </c>
      <c r="AG25" s="217">
        <f ca="1">IF($Z25=$Z23,$T25-$V23,0)</f>
        <v>0</v>
      </c>
      <c r="AH25" s="217">
        <f ca="1">IF($Z25=$Z24,$U25-$V24,0)</f>
        <v>0</v>
      </c>
      <c r="AI25" s="217"/>
      <c r="AJ25" s="217">
        <f ca="1">SUM(AF25:AI25)</f>
        <v>0</v>
      </c>
      <c r="AK25" s="203"/>
      <c r="AL25" s="217">
        <f ca="1">IF($Z25=$Z22,$S29-$V26,0)</f>
        <v>0</v>
      </c>
      <c r="AM25" s="217">
        <f ca="1">IF($Z25=$Z23,$T29-$V27,0)</f>
        <v>0</v>
      </c>
      <c r="AN25" s="217">
        <f ca="1">IF($Z25=$Z24,$U29-$V28,0)</f>
        <v>0</v>
      </c>
      <c r="AO25" s="217"/>
      <c r="AP25" s="217">
        <f ca="1">SUM(AL25:AO25)</f>
        <v>0</v>
      </c>
      <c r="AQ25" s="217">
        <f ca="1">IF($Z25=$Z22,$S29,0)</f>
        <v>0</v>
      </c>
      <c r="AR25" s="217">
        <f ca="1">IF($Z25=$Z23,$T29,0)</f>
        <v>0</v>
      </c>
      <c r="AS25" s="217">
        <f ca="1">IF($Z25=$Z24,$U29,0)</f>
        <v>0</v>
      </c>
      <c r="AT25" s="217"/>
      <c r="AU25" s="217">
        <f ca="1">SUM(AQ25:AT25)</f>
        <v>0</v>
      </c>
      <c r="AV25" s="203">
        <v>1</v>
      </c>
      <c r="AW25" s="2"/>
      <c r="AX25" s="17">
        <f ca="1">IF($CX$97="",IF(OR(Ergebnisse!H25="",Ergebnisse!J25=""),0,IF(AND(H25=Ergebnisse!H25,J25=Ergebnisse!J25),7,MIN(7,(H25-J25=Ergebnisse!H25-Ergebnisse!J25)*4+(AND(H25-J25&lt;&gt;Ergebnisse!H25-Ergebnisse!J25,SIGN(H25-J25)=SIGN(Ergebnisse!H25-Ergebnisse!J25)))*2+(H25=Ergebnisse!H25)+(J25=Ergebnisse!J25)))),INT(RAND()*8))</f>
        <v>2</v>
      </c>
      <c r="AY25" s="17" t="str">
        <f ca="1">IF(Ergebnisse!K25=Ergebnisse!$B$98,Ergebnisse!K25,"")</f>
        <v>ok</v>
      </c>
      <c r="AZ25" s="2"/>
      <c r="BA25" s="2">
        <v>35</v>
      </c>
      <c r="BB25" s="6">
        <f>VLOOKUP(BA25,Spiele!$A$1:$L$116,2,FALSE)</f>
        <v>46193.5</v>
      </c>
      <c r="BC25" s="6" t="str">
        <f>VLOOKUP(BA25,Spiele!$A$1:$L$116,9,FALSE)</f>
        <v>Houston</v>
      </c>
      <c r="BD25" s="56" t="str">
        <f>BY22</f>
        <v>Niederlande</v>
      </c>
      <c r="BE25" s="40" t="s">
        <v>24</v>
      </c>
      <c r="BF25" s="56" t="str">
        <f>BY24</f>
        <v>Schweden</v>
      </c>
      <c r="BG25" s="53"/>
      <c r="BH25" s="107">
        <f t="shared" ca="1" si="10"/>
        <v>3</v>
      </c>
      <c r="BI25" s="11" t="s">
        <v>25</v>
      </c>
      <c r="BJ25" s="107">
        <f t="shared" ca="1" si="11"/>
        <v>0</v>
      </c>
      <c r="BK25" s="7" t="s">
        <v>26</v>
      </c>
      <c r="BL25" s="1"/>
      <c r="BM25" s="9" t="str">
        <f ca="1">VLOOKUP(4,$BX$22:$CC$25,2,FALSE)</f>
        <v>Japan</v>
      </c>
      <c r="BN25" s="2">
        <f ca="1">VLOOKUP(4,$BX$22:$CC$25,3,FALSE)</f>
        <v>0</v>
      </c>
      <c r="BO25" s="2">
        <f ca="1">VLOOKUP(4,$BX$22:$CC$25,4,FALSE)</f>
        <v>7</v>
      </c>
      <c r="BP25" s="2">
        <f ca="1">VLOOKUP(4,$BX$22:$CC$25,5,FALSE)</f>
        <v>10</v>
      </c>
      <c r="BQ25" s="2">
        <f ca="1">VLOOKUP(4,$BX$22:$CC$25,6,FALSE)</f>
        <v>-3</v>
      </c>
      <c r="BS25" s="61">
        <f ca="1">IF(BH27="",0,IF(BK28=$B$98,IF(BH27&gt;BJ27,3,IF(BH27=BJ27,1,0)),0))</f>
        <v>1</v>
      </c>
      <c r="BT25" s="61">
        <f ca="1">IF(BH26="",0,IF(BK26=$B$98,IF(BJ26&lt;BH26,3,IF(BJ26=BH26,1,0)),0))</f>
        <v>3</v>
      </c>
      <c r="BU25" s="61">
        <f ca="1">IF(BJ24="",0,IF(BK24=$B$98,IF(BH24&lt;BJ24,3,IF(BH24=BJ24,1,0)),0))</f>
        <v>3</v>
      </c>
      <c r="BV25" s="60"/>
      <c r="BW25" s="1"/>
      <c r="BX25" s="1">
        <f ca="1">RANK(CD25,$CD$22:$CD$25)</f>
        <v>1</v>
      </c>
      <c r="BY25" s="40" t="s">
        <v>218</v>
      </c>
      <c r="BZ25" s="1">
        <f ca="1">SUM(BS25:BV25)</f>
        <v>7</v>
      </c>
      <c r="CA25" s="1">
        <f ca="1">SUM(BS29:BV29)</f>
        <v>9</v>
      </c>
      <c r="CB25" s="1">
        <f ca="1">SUM(BV26:BV29)</f>
        <v>4</v>
      </c>
      <c r="CC25" s="1">
        <f ca="1">CA25-CB25</f>
        <v>5</v>
      </c>
      <c r="CD25" s="24">
        <f ca="1">IF(BP$28="",(((((((CE25*10+BZ25)*100+CC25)*100+CA25)*10+CK25)*10+CJ25)*100+CP25)*100+CU25)*10+CV25,(((((((CE25*10+BZ25)*10+CK25)*10+CJ25)*100+CP25)*100+CU25)*100+CC25)*100+CA25)*10+CV25)</f>
        <v>700000205091</v>
      </c>
      <c r="CE25" s="207"/>
      <c r="CF25" s="218">
        <f ca="1">IF($BZ25=$BZ22,$BS25-$BV22,0)</f>
        <v>0</v>
      </c>
      <c r="CG25" s="218">
        <f ca="1">IF($BZ25=$BZ23,$BT25-$BV23,0)</f>
        <v>0</v>
      </c>
      <c r="CH25" s="218">
        <f ca="1">IF($BZ25=$BZ24,$BU25-$BV24,0)</f>
        <v>0</v>
      </c>
      <c r="CI25" s="218"/>
      <c r="CJ25" s="218">
        <f ca="1">SUM(CF25:CI25)</f>
        <v>0</v>
      </c>
      <c r="CK25" s="207"/>
      <c r="CL25" s="218">
        <f ca="1">IF($BZ25=$BZ22,$BS29-$BV26,0)</f>
        <v>0</v>
      </c>
      <c r="CM25" s="218">
        <f ca="1">IF($BZ25=$BZ23,$BT29-$BV27,0)</f>
        <v>0</v>
      </c>
      <c r="CN25" s="218">
        <f ca="1">IF($BZ25=$BZ24,$BU29-$BV28,0)</f>
        <v>0</v>
      </c>
      <c r="CO25" s="218"/>
      <c r="CP25" s="218">
        <f ca="1">SUM(CL25:CO25)</f>
        <v>0</v>
      </c>
      <c r="CQ25" s="218">
        <f ca="1">IF($BZ25=$BZ22,$BS29,0)</f>
        <v>2</v>
      </c>
      <c r="CR25" s="218">
        <f ca="1">IF($BZ25=$BZ23,$BT29,0)</f>
        <v>0</v>
      </c>
      <c r="CS25" s="218">
        <f ca="1">IF($BZ25=$BZ24,$BU29,0)</f>
        <v>0</v>
      </c>
      <c r="CT25" s="218"/>
      <c r="CU25" s="218">
        <f ca="1">SUM(CQ25:CT25)</f>
        <v>2</v>
      </c>
      <c r="CV25" s="207">
        <v>1</v>
      </c>
      <c r="CX25" s="17">
        <f ca="1">IF($CX$97="",IF(OR(Ergebnisse!BH25="",Ergebnisse!BJ25=""),0,IF(AND(BH25=Ergebnisse!BH25,BJ25=Ergebnisse!BJ25),7,MIN(7,(BH25-BJ25=Ergebnisse!BH25-Ergebnisse!BJ25)*4+(AND(BH25-BJ25&lt;&gt;Ergebnisse!BH25-Ergebnisse!BJ25,SIGN(BH25-BJ25)=SIGN(Ergebnisse!BH25-Ergebnisse!BJ25)))*2+(BH25=Ergebnisse!BH25)+(BJ25=Ergebnisse!BJ25)))),INT(RAND()*8))</f>
        <v>3</v>
      </c>
      <c r="CY25" s="17" t="str">
        <f ca="1">IF(Ergebnisse!BK25=Ergebnisse!$B$98,Ergebnisse!BK25,"")</f>
        <v>ok</v>
      </c>
      <c r="DA25" s="170" t="s">
        <v>75</v>
      </c>
      <c r="DB25" s="166">
        <f>DB29*(DB28+2*DB26)</f>
        <v>52</v>
      </c>
    </row>
    <row r="26" spans="1:106">
      <c r="A26" s="2">
        <v>30</v>
      </c>
      <c r="B26" s="6">
        <f>VLOOKUP(A26,Spiele!$A$1:$L$116,2,FALSE)</f>
        <v>46192.75</v>
      </c>
      <c r="C26" s="6" t="str">
        <f>VLOOKUP(A26,Spiele!$A$1:$L$116,9,FALSE)</f>
        <v>Boston</v>
      </c>
      <c r="D26" s="56" t="str">
        <f>Y25</f>
        <v>Schottland</v>
      </c>
      <c r="E26" s="40" t="s">
        <v>24</v>
      </c>
      <c r="F26" s="56" t="str">
        <f>Y23</f>
        <v>Marokko</v>
      </c>
      <c r="G26" s="53"/>
      <c r="H26" s="107">
        <f t="shared" ca="1" si="8"/>
        <v>4</v>
      </c>
      <c r="I26" s="11" t="s">
        <v>25</v>
      </c>
      <c r="J26" s="107">
        <f t="shared" ca="1" si="9"/>
        <v>1</v>
      </c>
      <c r="K26" s="7" t="s">
        <v>26</v>
      </c>
      <c r="L26" s="1"/>
      <c r="N26" s="1"/>
      <c r="O26" s="1"/>
      <c r="P26" s="1"/>
      <c r="S26" s="60"/>
      <c r="T26" s="61">
        <f ca="1">IF(K23=$B$98,H23,0)</f>
        <v>4</v>
      </c>
      <c r="U26" s="61">
        <f ca="1">IF(K25=$B$98,H25,0)</f>
        <v>2</v>
      </c>
      <c r="V26" s="61">
        <f ca="1">IF(K28=$B$98,J27,0)</f>
        <v>1</v>
      </c>
      <c r="W26" s="62"/>
      <c r="X26" s="62"/>
      <c r="Y26" s="62"/>
      <c r="Z26" s="62"/>
      <c r="AA26" s="62"/>
      <c r="AB26" s="62"/>
      <c r="AC26" s="62"/>
      <c r="AD26" s="66"/>
      <c r="AE26" s="204"/>
      <c r="AF26" s="217"/>
      <c r="AG26" s="217"/>
      <c r="AH26" s="217"/>
      <c r="AI26" s="217"/>
      <c r="AJ26" s="217"/>
      <c r="AK26" s="217"/>
      <c r="AL26" s="217"/>
      <c r="AM26" s="217"/>
      <c r="AN26" s="217"/>
      <c r="AO26" s="217"/>
      <c r="AP26" s="217"/>
      <c r="AQ26" s="217"/>
      <c r="AR26" s="217"/>
      <c r="AS26" s="217"/>
      <c r="AT26" s="217"/>
      <c r="AV26" s="217"/>
      <c r="AW26" s="2"/>
      <c r="AX26" s="17">
        <f ca="1">IF($CX$97="",IF(OR(Ergebnisse!H26="",Ergebnisse!J26=""),0,IF(AND(H26=Ergebnisse!H26,J26=Ergebnisse!J26),7,MIN(7,(H26-J26=Ergebnisse!H26-Ergebnisse!J26)*4+(AND(H26-J26&lt;&gt;Ergebnisse!H26-Ergebnisse!J26,SIGN(H26-J26)=SIGN(Ergebnisse!H26-Ergebnisse!J26)))*2+(H26=Ergebnisse!H26)+(J26=Ergebnisse!J26)))),INT(RAND()*8))</f>
        <v>0</v>
      </c>
      <c r="AY26" s="17" t="str">
        <f ca="1">IF(Ergebnisse!K26=Ergebnisse!$B$98,Ergebnisse!K26,"")</f>
        <v>ok</v>
      </c>
      <c r="AZ26" s="2"/>
      <c r="BA26" s="2">
        <v>36</v>
      </c>
      <c r="BB26" s="6">
        <f>VLOOKUP(BA26,Spiele!$A$1:$L$116,2,FALSE)</f>
        <v>46193.958333333336</v>
      </c>
      <c r="BC26" s="6" t="str">
        <f>VLOOKUP(BA26,Spiele!$A$1:$L$116,9,FALSE)</f>
        <v>Monterrey</v>
      </c>
      <c r="BD26" s="56" t="str">
        <f>BY25</f>
        <v>Tunesien</v>
      </c>
      <c r="BE26" s="40" t="s">
        <v>24</v>
      </c>
      <c r="BF26" s="56" t="str">
        <f>BY23</f>
        <v>Japan</v>
      </c>
      <c r="BG26" s="53"/>
      <c r="BH26" s="107">
        <f t="shared" ca="1" si="10"/>
        <v>3</v>
      </c>
      <c r="BI26" s="11" t="s">
        <v>25</v>
      </c>
      <c r="BJ26" s="107">
        <f t="shared" ca="1" si="11"/>
        <v>2</v>
      </c>
      <c r="BK26" s="7" t="s">
        <v>26</v>
      </c>
      <c r="BL26" s="1"/>
      <c r="BN26" s="1"/>
      <c r="BO26" s="1"/>
      <c r="BP26" s="1"/>
      <c r="BS26" s="60"/>
      <c r="BT26" s="61">
        <f ca="1">IF(BK23=$B$98,BH23,0)</f>
        <v>4</v>
      </c>
      <c r="BU26" s="61">
        <f ca="1">IF(BK25=$B$98,BH25,0)</f>
        <v>3</v>
      </c>
      <c r="BV26" s="61">
        <f ca="1">IF(BK28=$B$98,BJ27,0)</f>
        <v>2</v>
      </c>
      <c r="BW26" s="1"/>
      <c r="BX26" s="1"/>
      <c r="BY26" s="62"/>
      <c r="BZ26" s="1"/>
      <c r="CA26" s="1"/>
      <c r="CB26" s="1"/>
      <c r="CC26" s="1"/>
      <c r="CD26" s="5"/>
      <c r="CE26" s="7"/>
      <c r="CF26" s="218"/>
      <c r="CG26" s="218"/>
      <c r="CH26" s="218"/>
      <c r="CI26" s="218"/>
      <c r="CJ26" s="218"/>
      <c r="CK26" s="218"/>
      <c r="CL26" s="218"/>
      <c r="CM26" s="218"/>
      <c r="CN26" s="218"/>
      <c r="CO26" s="218"/>
      <c r="CP26" s="218"/>
      <c r="CQ26" s="218"/>
      <c r="CR26" s="218"/>
      <c r="CS26" s="218"/>
      <c r="CT26" s="218"/>
      <c r="CV26" s="218"/>
      <c r="CX26" s="17">
        <f ca="1">IF($CX$97="",IF(OR(Ergebnisse!BH26="",Ergebnisse!BJ26=""),0,IF(AND(BH26=Ergebnisse!BH26,BJ26=Ergebnisse!BJ26),7,MIN(7,(BH26-BJ26=Ergebnisse!BH26-Ergebnisse!BJ26)*4+(AND(BH26-BJ26&lt;&gt;Ergebnisse!BH26-Ergebnisse!BJ26,SIGN(BH26-BJ26)=SIGN(Ergebnisse!BH26-Ergebnisse!BJ26)))*2+(BH26=Ergebnisse!BH26)+(BJ26=Ergebnisse!BJ26)))),INT(RAND()*8))</f>
        <v>7</v>
      </c>
      <c r="CY26" s="17" t="str">
        <f ca="1">IF(Ergebnisse!BK26=Ergebnisse!$B$98,Ergebnisse!BK26,"")</f>
        <v>ok</v>
      </c>
      <c r="DA26" s="167" t="s">
        <v>126</v>
      </c>
      <c r="DB26" s="164">
        <v>3</v>
      </c>
    </row>
    <row r="27" spans="1:106">
      <c r="A27" s="2">
        <v>49</v>
      </c>
      <c r="B27" s="6">
        <f>VLOOKUP(A27,Spiele!$A$1:$L$116,2,FALSE)</f>
        <v>46197.75</v>
      </c>
      <c r="C27" s="6" t="str">
        <f>VLOOKUP(A27,Spiele!$A$1:$L$116,9,FALSE)</f>
        <v>Miami</v>
      </c>
      <c r="D27" s="56" t="str">
        <f>Y25</f>
        <v>Schottland</v>
      </c>
      <c r="E27" s="40" t="s">
        <v>24</v>
      </c>
      <c r="F27" s="56" t="str">
        <f>Y22</f>
        <v>Brasilien</v>
      </c>
      <c r="G27" s="55"/>
      <c r="H27" s="107">
        <f t="shared" ca="1" si="8"/>
        <v>5</v>
      </c>
      <c r="I27" s="11" t="s">
        <v>25</v>
      </c>
      <c r="J27" s="107">
        <f t="shared" ca="1" si="9"/>
        <v>1</v>
      </c>
      <c r="K27" s="7" t="s">
        <v>26</v>
      </c>
      <c r="M27" s="38" t="str">
        <f ca="1">IF(N22&gt;0,M22,"")</f>
        <v>Haiti</v>
      </c>
      <c r="N27" s="2" t="s">
        <v>38</v>
      </c>
      <c r="P27" s="29"/>
      <c r="S27" s="61">
        <f ca="1">IF(K23=$B$98,J23,0)</f>
        <v>2</v>
      </c>
      <c r="T27" s="60"/>
      <c r="U27" s="61">
        <f ca="1">IF(K27=$B$98,H28,0)</f>
        <v>3</v>
      </c>
      <c r="V27" s="61">
        <f ca="1">IF(K26=$B$98,J26,0)</f>
        <v>1</v>
      </c>
      <c r="AD27" s="55" t="s">
        <v>140</v>
      </c>
      <c r="AE27" s="108"/>
      <c r="AF27" s="219"/>
      <c r="AG27" s="219"/>
      <c r="AH27" s="219"/>
      <c r="AI27" s="219"/>
      <c r="AJ27" s="219"/>
      <c r="AK27" s="219"/>
      <c r="AL27" s="219"/>
      <c r="AM27" s="219"/>
      <c r="AN27" s="219"/>
      <c r="AO27" s="219"/>
      <c r="AP27" s="219"/>
      <c r="AQ27" s="219"/>
      <c r="AR27" s="219"/>
      <c r="AS27" s="219"/>
      <c r="AT27" s="219"/>
      <c r="AV27" s="219"/>
      <c r="AW27" s="2"/>
      <c r="AX27" s="17">
        <f ca="1">IF($CX$97="",IF(OR(Ergebnisse!H27="",Ergebnisse!J27=""),0,IF(AND(H27=Ergebnisse!H27,J27=Ergebnisse!J27),7,MIN(7,(H27-J27=Ergebnisse!H27-Ergebnisse!J27)*4+(AND(H27-J27&lt;&gt;Ergebnisse!H27-Ergebnisse!J27,SIGN(H27-J27)=SIGN(Ergebnisse!H27-Ergebnisse!J27)))*2+(H27=Ergebnisse!H27)+(J27=Ergebnisse!J27)))),INT(RAND()*8))</f>
        <v>3</v>
      </c>
      <c r="AY27" s="17" t="str">
        <f ca="1">IF(Ergebnisse!K27=Ergebnisse!$B$98,Ergebnisse!K27,"")</f>
        <v>ok</v>
      </c>
      <c r="AZ27" s="2"/>
      <c r="BA27" s="2">
        <v>55</v>
      </c>
      <c r="BB27" s="6">
        <f>VLOOKUP(BA27,Spiele!$A$1:$L$116,2,FALSE)</f>
        <v>46198.666666666664</v>
      </c>
      <c r="BC27" s="6" t="str">
        <f>VLOOKUP(BA27,Spiele!$A$1:$L$116,9,FALSE)</f>
        <v>Philadelphia</v>
      </c>
      <c r="BD27" s="56" t="str">
        <f>BY25</f>
        <v>Tunesien</v>
      </c>
      <c r="BE27" s="40" t="s">
        <v>24</v>
      </c>
      <c r="BF27" s="56" t="str">
        <f>BY22</f>
        <v>Niederlande</v>
      </c>
      <c r="BG27" s="55"/>
      <c r="BH27" s="107">
        <f t="shared" ca="1" si="10"/>
        <v>2</v>
      </c>
      <c r="BI27" s="11" t="s">
        <v>25</v>
      </c>
      <c r="BJ27" s="107">
        <f t="shared" ca="1" si="11"/>
        <v>2</v>
      </c>
      <c r="BK27" s="7" t="s">
        <v>26</v>
      </c>
      <c r="BM27" s="223" t="str">
        <f ca="1">IF(BN22&gt;0,BM22,"")</f>
        <v>Tunesien</v>
      </c>
      <c r="BN27" s="2" t="s">
        <v>34</v>
      </c>
      <c r="BP27" s="29"/>
      <c r="BS27" s="61">
        <f ca="1">IF(BK23=$B$98,BJ23,0)</f>
        <v>3</v>
      </c>
      <c r="BT27" s="60"/>
      <c r="BU27" s="61">
        <f ca="1">IF(BK27=$B$98,BH28,0)</f>
        <v>2</v>
      </c>
      <c r="BV27" s="61">
        <f ca="1">IF(BK26=$B$98,BJ26,0)</f>
        <v>2</v>
      </c>
      <c r="CD27" s="2" t="s">
        <v>140</v>
      </c>
      <c r="CE27" s="8"/>
      <c r="CF27" s="220"/>
      <c r="CG27" s="220"/>
      <c r="CH27" s="220"/>
      <c r="CI27" s="220"/>
      <c r="CJ27" s="220"/>
      <c r="CK27" s="220"/>
      <c r="CL27" s="220"/>
      <c r="CM27" s="220"/>
      <c r="CN27" s="220"/>
      <c r="CO27" s="220"/>
      <c r="CP27" s="220"/>
      <c r="CQ27" s="220"/>
      <c r="CR27" s="220"/>
      <c r="CS27" s="220"/>
      <c r="CT27" s="220"/>
      <c r="CV27" s="220"/>
      <c r="CX27" s="17">
        <f ca="1">IF($CX$97="",IF(OR(Ergebnisse!BH27="",Ergebnisse!BJ27=""),0,IF(AND(BH27=Ergebnisse!BH27,BJ27=Ergebnisse!BJ27),7,MIN(7,(BH27-BJ27=Ergebnisse!BH27-Ergebnisse!BJ27)*4+(AND(BH27-BJ27&lt;&gt;Ergebnisse!BH27-Ergebnisse!BJ27,SIGN(BH27-BJ27)=SIGN(Ergebnisse!BH27-Ergebnisse!BJ27)))*2+(BH27=Ergebnisse!BH27)+(BJ27=Ergebnisse!BJ27)))),INT(RAND()*8))</f>
        <v>1</v>
      </c>
      <c r="CY27" s="17" t="str">
        <f ca="1">IF(Ergebnisse!BK27=Ergebnisse!$B$98,Ergebnisse!BK27,"")</f>
        <v>ok</v>
      </c>
      <c r="DA27" s="167" t="s">
        <v>122</v>
      </c>
      <c r="DB27" s="164">
        <v>1</v>
      </c>
    </row>
    <row r="28" spans="1:106">
      <c r="A28" s="2">
        <v>50</v>
      </c>
      <c r="B28" s="6">
        <f>VLOOKUP(A28,Spiele!$A$1:$L$116,2,FALSE)</f>
        <v>46197.75</v>
      </c>
      <c r="C28" s="6" t="str">
        <f>VLOOKUP(A28,Spiele!$A$1:$L$116,9,FALSE)</f>
        <v>Atlanta</v>
      </c>
      <c r="D28" s="56" t="str">
        <f>Y23</f>
        <v>Marokko</v>
      </c>
      <c r="E28" s="40" t="s">
        <v>24</v>
      </c>
      <c r="F28" s="56" t="str">
        <f>Y24</f>
        <v>Haiti</v>
      </c>
      <c r="G28" s="55"/>
      <c r="H28" s="107">
        <f t="shared" ca="1" si="8"/>
        <v>3</v>
      </c>
      <c r="I28" s="11" t="s">
        <v>25</v>
      </c>
      <c r="J28" s="107">
        <f t="shared" ca="1" si="9"/>
        <v>3</v>
      </c>
      <c r="K28" s="7" t="s">
        <v>26</v>
      </c>
      <c r="M28" s="38" t="str">
        <f ca="1">IF(N23&gt;0,M23,"")</f>
        <v>Schottland</v>
      </c>
      <c r="N28" s="2" t="s">
        <v>39</v>
      </c>
      <c r="O28" s="30"/>
      <c r="P28" s="205" t="s">
        <v>11</v>
      </c>
      <c r="S28" s="61">
        <f ca="1">IF(K25=$B$98,J25,0)</f>
        <v>5</v>
      </c>
      <c r="T28" s="61">
        <f ca="1">IF(K27=$B$98,J28,0)</f>
        <v>3</v>
      </c>
      <c r="U28" s="60"/>
      <c r="V28" s="61">
        <f ca="1">IF(K24=$B$98,H24,0)</f>
        <v>4</v>
      </c>
      <c r="AD28" s="55" t="s">
        <v>141</v>
      </c>
      <c r="AE28" s="108"/>
      <c r="AF28" s="219"/>
      <c r="AG28" s="219"/>
      <c r="AH28" s="219"/>
      <c r="AI28" s="219"/>
      <c r="AJ28" s="219"/>
      <c r="AK28" s="219"/>
      <c r="AL28" s="219"/>
      <c r="AM28" s="219"/>
      <c r="AN28" s="219"/>
      <c r="AO28" s="219"/>
      <c r="AP28" s="219"/>
      <c r="AQ28" s="219"/>
      <c r="AR28" s="219"/>
      <c r="AS28" s="219"/>
      <c r="AT28" s="219"/>
      <c r="AV28" s="219"/>
      <c r="AW28" s="2"/>
      <c r="AX28" s="17">
        <f ca="1">IF($CX$97="",IF(OR(Ergebnisse!H28="",Ergebnisse!J28=""),0,IF(AND(H28=Ergebnisse!H28,J28=Ergebnisse!J28),7,MIN(7,(H28-J28=Ergebnisse!H28-Ergebnisse!J28)*4+(AND(H28-J28&lt;&gt;Ergebnisse!H28-Ergebnisse!J28,SIGN(H28-J28)=SIGN(Ergebnisse!H28-Ergebnisse!J28)))*2+(H28=Ergebnisse!H28)+(J28=Ergebnisse!J28)))),INT(RAND()*8))</f>
        <v>0</v>
      </c>
      <c r="AY28" s="17" t="str">
        <f ca="1">IF(Ergebnisse!K28=Ergebnisse!$B$98,Ergebnisse!K28,"")</f>
        <v>ok</v>
      </c>
      <c r="AZ28" s="2"/>
      <c r="BA28" s="2">
        <v>56</v>
      </c>
      <c r="BB28" s="6">
        <f>VLOOKUP(BA28,Spiele!$A$1:$L$116,2,FALSE)</f>
        <v>46198.666666666664</v>
      </c>
      <c r="BC28" s="6" t="str">
        <f>VLOOKUP(BA28,Spiele!$A$1:$L$116,9,FALSE)</f>
        <v>New York</v>
      </c>
      <c r="BD28" s="56" t="str">
        <f>BY23</f>
        <v>Japan</v>
      </c>
      <c r="BE28" s="40" t="s">
        <v>24</v>
      </c>
      <c r="BF28" s="56" t="str">
        <f>BY24</f>
        <v>Schweden</v>
      </c>
      <c r="BG28" s="55"/>
      <c r="BH28" s="107">
        <f t="shared" ca="1" si="10"/>
        <v>2</v>
      </c>
      <c r="BI28" s="11" t="s">
        <v>25</v>
      </c>
      <c r="BJ28" s="107">
        <f t="shared" ca="1" si="11"/>
        <v>3</v>
      </c>
      <c r="BK28" s="7" t="s">
        <v>26</v>
      </c>
      <c r="BM28" s="223" t="str">
        <f ca="1">IF(BN23&gt;0,BM23,"")</f>
        <v>Niederlande</v>
      </c>
      <c r="BN28" s="2" t="s">
        <v>36</v>
      </c>
      <c r="BO28" s="30"/>
      <c r="BP28" s="205" t="s">
        <v>11</v>
      </c>
      <c r="BS28" s="61">
        <f ca="1">IF(BK25=$B$98,BJ25,0)</f>
        <v>0</v>
      </c>
      <c r="BT28" s="61">
        <f ca="1">IF(BK27=$B$98,BJ28,0)</f>
        <v>3</v>
      </c>
      <c r="BU28" s="60"/>
      <c r="BV28" s="61">
        <f ca="1">IF(BK24=$B$98,BH24,0)</f>
        <v>0</v>
      </c>
      <c r="CD28" s="2" t="s">
        <v>141</v>
      </c>
      <c r="CE28" s="8"/>
      <c r="CF28" s="220"/>
      <c r="CG28" s="220"/>
      <c r="CH28" s="220"/>
      <c r="CI28" s="220"/>
      <c r="CJ28" s="220"/>
      <c r="CK28" s="220"/>
      <c r="CL28" s="220"/>
      <c r="CM28" s="220"/>
      <c r="CN28" s="220"/>
      <c r="CO28" s="220"/>
      <c r="CP28" s="220"/>
      <c r="CQ28" s="220"/>
      <c r="CR28" s="220"/>
      <c r="CS28" s="220"/>
      <c r="CT28" s="220"/>
      <c r="CV28" s="220"/>
      <c r="CX28" s="17">
        <f ca="1">IF($CX$97="",IF(OR(Ergebnisse!BH28="",Ergebnisse!BJ28=""),0,IF(AND(BH28=Ergebnisse!BH28,BJ28=Ergebnisse!BJ28),7,MIN(7,(BH28-BJ28=Ergebnisse!BH28-Ergebnisse!BJ28)*4+(AND(BH28-BJ28&lt;&gt;Ergebnisse!BH28-Ergebnisse!BJ28,SIGN(BH28-BJ28)=SIGN(Ergebnisse!BH28-Ergebnisse!BJ28)))*2+(BH28=Ergebnisse!BH28)+(BJ28=Ergebnisse!BJ28)))),INT(RAND()*8))</f>
        <v>4</v>
      </c>
      <c r="CY28" s="17" t="str">
        <f ca="1">IF(Ergebnisse!BK28=Ergebnisse!$B$98,Ergebnisse!BK28,"")</f>
        <v>ok</v>
      </c>
      <c r="DA28" s="171" t="s">
        <v>83</v>
      </c>
      <c r="DB28" s="270">
        <v>7</v>
      </c>
    </row>
    <row r="29" spans="1:106">
      <c r="D29" s="55"/>
      <c r="E29" s="55"/>
      <c r="G29" s="55"/>
      <c r="M29" s="38" t="str">
        <f ca="1">IF(N24&gt;0,M24,"")</f>
        <v>Brasilien</v>
      </c>
      <c r="N29" s="2" t="s">
        <v>145</v>
      </c>
      <c r="S29" s="61">
        <f ca="1">IF(K28=$B$98,H27,0)</f>
        <v>5</v>
      </c>
      <c r="T29" s="61">
        <f ca="1">IF(K26=$B$98,H26,0)</f>
        <v>4</v>
      </c>
      <c r="U29" s="61">
        <f ca="1">IF(K24=$B$98,J24,0)</f>
        <v>3</v>
      </c>
      <c r="V29" s="60"/>
      <c r="AD29" s="55" t="s">
        <v>143</v>
      </c>
      <c r="AE29" s="108"/>
      <c r="AF29" s="219"/>
      <c r="AG29" s="219"/>
      <c r="AH29" s="219"/>
      <c r="AI29" s="219"/>
      <c r="AJ29" s="219"/>
      <c r="AK29" s="219"/>
      <c r="AL29" s="219"/>
      <c r="AM29" s="219"/>
      <c r="AN29" s="219"/>
      <c r="AO29" s="219"/>
      <c r="AP29" s="219"/>
      <c r="AQ29" s="219"/>
      <c r="AR29" s="219"/>
      <c r="AS29" s="219"/>
      <c r="AT29" s="219"/>
      <c r="AV29" s="219"/>
      <c r="AW29" s="2"/>
      <c r="AX29" s="27">
        <f ca="1">IF($CX$97="",2*COUNTIF(Ergebnisse!$D$63:'Ergebnisse'!$F$78,M29),2*INT(RAND()*2))</f>
        <v>2</v>
      </c>
      <c r="AY29" s="17" t="str">
        <f ca="1">IF(COUNTIF(Ergebnisse!K23:'Ergebnisse'!K28,Ergebnisse!$B$98)=6,"ok","")</f>
        <v>ok</v>
      </c>
      <c r="AZ29" s="2"/>
      <c r="BE29" s="55"/>
      <c r="BF29" s="55"/>
      <c r="BG29" s="55"/>
      <c r="BM29" s="223" t="str">
        <f ca="1">IF(BN24&gt;0,BM24,"")</f>
        <v>Schweden</v>
      </c>
      <c r="BN29" s="2" t="s">
        <v>152</v>
      </c>
      <c r="BS29" s="61">
        <f ca="1">IF(BK28=$B$98,BH27,0)</f>
        <v>2</v>
      </c>
      <c r="BT29" s="61">
        <f ca="1">IF(BK26=$B$98,BH26,0)</f>
        <v>3</v>
      </c>
      <c r="BU29" s="61">
        <f ca="1">IF(BK24=$B$98,BJ24,0)</f>
        <v>4</v>
      </c>
      <c r="BV29" s="60"/>
      <c r="CD29" s="2" t="s">
        <v>143</v>
      </c>
      <c r="CE29" s="8"/>
      <c r="CF29" s="220"/>
      <c r="CG29" s="220"/>
      <c r="CH29" s="220"/>
      <c r="CI29" s="220"/>
      <c r="CJ29" s="220"/>
      <c r="CK29" s="220"/>
      <c r="CL29" s="220"/>
      <c r="CM29" s="220"/>
      <c r="CN29" s="220"/>
      <c r="CO29" s="220"/>
      <c r="CP29" s="220"/>
      <c r="CQ29" s="220"/>
      <c r="CR29" s="220"/>
      <c r="CS29" s="220"/>
      <c r="CT29" s="220"/>
      <c r="CV29" s="220"/>
      <c r="CX29" s="221">
        <f ca="1">IF($CX$97="",2*COUNTIF(Ergebnisse!$D$63:'Ergebnisse'!$F$78,BM29),2*INT(RAND()*2))</f>
        <v>2</v>
      </c>
      <c r="CY29" s="17" t="str">
        <f ca="1">IF(COUNTIF(Ergebnisse!BK23:'Ergebnisse'!BK28,Ergebnisse!$B$98)=6,"ok","")</f>
        <v>ok</v>
      </c>
      <c r="DA29" s="168" t="s">
        <v>76</v>
      </c>
      <c r="DB29" s="169">
        <v>4</v>
      </c>
    </row>
    <row r="30" spans="1:106" ht="6" customHeight="1">
      <c r="D30" s="55"/>
      <c r="E30" s="58"/>
      <c r="F30" s="59"/>
      <c r="G30" s="59"/>
      <c r="H30" s="55"/>
      <c r="I30" s="55"/>
      <c r="J30" s="55"/>
      <c r="AE30" s="108"/>
      <c r="AF30" s="219"/>
      <c r="AG30" s="219"/>
      <c r="AH30" s="219"/>
      <c r="AI30" s="219"/>
      <c r="AJ30" s="219"/>
      <c r="AK30" s="219"/>
      <c r="AL30" s="219"/>
      <c r="AM30" s="219"/>
      <c r="AN30" s="219"/>
      <c r="AO30" s="219"/>
      <c r="AP30" s="219"/>
      <c r="AQ30" s="219"/>
      <c r="AR30" s="219"/>
      <c r="AS30" s="219"/>
      <c r="AT30" s="219"/>
      <c r="AV30" s="219"/>
      <c r="AW30" s="2"/>
      <c r="AX30" s="17"/>
      <c r="AZ30" s="2"/>
      <c r="BD30" s="55"/>
      <c r="BE30" s="58"/>
      <c r="BF30" s="59"/>
      <c r="BG30" s="59"/>
      <c r="BH30" s="55"/>
      <c r="BI30" s="55"/>
      <c r="BJ30" s="55"/>
      <c r="BS30" s="55"/>
      <c r="BT30" s="55"/>
      <c r="BU30" s="55"/>
      <c r="BV30" s="55"/>
      <c r="CE30" s="8"/>
      <c r="CF30" s="220"/>
      <c r="CG30" s="220"/>
      <c r="CH30" s="220"/>
      <c r="CI30" s="220"/>
      <c r="CJ30" s="220"/>
      <c r="CK30" s="220"/>
      <c r="CL30" s="220"/>
      <c r="CM30" s="220"/>
      <c r="CN30" s="220"/>
      <c r="CO30" s="220"/>
      <c r="CP30" s="220"/>
      <c r="CQ30" s="220"/>
      <c r="CR30" s="220"/>
      <c r="CS30" s="220"/>
      <c r="CT30" s="220"/>
      <c r="CV30" s="220"/>
      <c r="DA30" s="163"/>
      <c r="DB30" s="164"/>
    </row>
    <row r="31" spans="1:106">
      <c r="A31" s="10"/>
      <c r="B31" s="224" t="s">
        <v>0</v>
      </c>
      <c r="C31" s="225" t="s">
        <v>219</v>
      </c>
      <c r="D31" s="17" t="s">
        <v>2</v>
      </c>
      <c r="E31" s="14"/>
      <c r="F31" s="17"/>
      <c r="G31" s="17"/>
      <c r="H31" s="17"/>
      <c r="I31" s="19"/>
      <c r="J31" s="20"/>
      <c r="K31" s="180"/>
      <c r="L31" s="17"/>
      <c r="M31" s="35" t="s">
        <v>3</v>
      </c>
      <c r="N31" s="17" t="s">
        <v>4</v>
      </c>
      <c r="O31" s="17" t="s">
        <v>5</v>
      </c>
      <c r="P31" s="17" t="s">
        <v>6</v>
      </c>
      <c r="Q31" s="17" t="s">
        <v>7</v>
      </c>
      <c r="R31" s="17"/>
      <c r="W31" s="53"/>
      <c r="X31" s="53" t="s">
        <v>8</v>
      </c>
      <c r="Y31" s="56" t="s">
        <v>9</v>
      </c>
      <c r="Z31" s="53" t="s">
        <v>4</v>
      </c>
      <c r="AA31" s="53" t="s">
        <v>5</v>
      </c>
      <c r="AB31" s="53" t="s">
        <v>6</v>
      </c>
      <c r="AC31" s="53" t="s">
        <v>7</v>
      </c>
      <c r="AD31" s="53"/>
      <c r="AE31" s="19" t="s">
        <v>10</v>
      </c>
      <c r="AF31" s="40" t="s">
        <v>11</v>
      </c>
      <c r="AG31" s="40"/>
      <c r="AH31" s="40"/>
      <c r="AI31" s="40"/>
      <c r="AJ31" s="40" t="s">
        <v>12</v>
      </c>
      <c r="AK31" s="56" t="s">
        <v>13</v>
      </c>
      <c r="AL31" s="40" t="s">
        <v>14</v>
      </c>
      <c r="AM31" s="40"/>
      <c r="AN31" s="40"/>
      <c r="AO31" s="40"/>
      <c r="AP31" s="40" t="s">
        <v>15</v>
      </c>
      <c r="AQ31" s="40" t="s">
        <v>16</v>
      </c>
      <c r="AR31" s="40"/>
      <c r="AS31" s="40"/>
      <c r="AT31" s="40"/>
      <c r="AU31" s="58" t="s">
        <v>17</v>
      </c>
      <c r="AV31" s="56" t="s">
        <v>18</v>
      </c>
      <c r="AW31" s="10"/>
      <c r="AX31" s="224">
        <f ca="1">IF($CX$97="",2*COUNTIF(Ergebnisse!$D$63:'Ergebnisse'!$F$78,M37),2*INT(RAND()*2))</f>
        <v>2</v>
      </c>
      <c r="AY31" s="17" t="str">
        <f ca="1">IF(COUNTIF(Ergebnisse!K33:'Ergebnisse'!K38,Ergebnisse!$B$98)=6,"ok","")</f>
        <v>ok</v>
      </c>
      <c r="AZ31" s="10"/>
      <c r="BA31" s="10"/>
      <c r="BB31" s="226" t="s">
        <v>0</v>
      </c>
      <c r="BC31" s="227" t="s">
        <v>220</v>
      </c>
      <c r="BD31" s="17" t="s">
        <v>2</v>
      </c>
      <c r="BE31" s="14"/>
      <c r="BF31" s="17"/>
      <c r="BG31" s="17"/>
      <c r="BH31" s="17"/>
      <c r="BI31" s="19"/>
      <c r="BJ31" s="20"/>
      <c r="BK31" s="180"/>
      <c r="BL31" s="17"/>
      <c r="BM31" s="35" t="s">
        <v>3</v>
      </c>
      <c r="BN31" s="17" t="s">
        <v>4</v>
      </c>
      <c r="BO31" s="17" t="s">
        <v>5</v>
      </c>
      <c r="BP31" s="17" t="s">
        <v>6</v>
      </c>
      <c r="BQ31" s="17" t="s">
        <v>7</v>
      </c>
      <c r="BR31" s="17"/>
      <c r="BW31" s="17"/>
      <c r="BX31" s="17" t="s">
        <v>8</v>
      </c>
      <c r="BY31" s="56" t="s">
        <v>9</v>
      </c>
      <c r="BZ31" s="17" t="s">
        <v>4</v>
      </c>
      <c r="CA31" s="17" t="s">
        <v>5</v>
      </c>
      <c r="CB31" s="17" t="s">
        <v>6</v>
      </c>
      <c r="CC31" s="17" t="s">
        <v>7</v>
      </c>
      <c r="CD31" s="17"/>
      <c r="CE31" s="180" t="s">
        <v>10</v>
      </c>
      <c r="CF31" s="15" t="s">
        <v>11</v>
      </c>
      <c r="CG31" s="15"/>
      <c r="CH31" s="15"/>
      <c r="CI31" s="15"/>
      <c r="CJ31" s="15" t="s">
        <v>12</v>
      </c>
      <c r="CK31" s="21" t="s">
        <v>13</v>
      </c>
      <c r="CL31" s="15" t="s">
        <v>14</v>
      </c>
      <c r="CM31" s="15"/>
      <c r="CN31" s="15"/>
      <c r="CO31" s="15"/>
      <c r="CP31" s="15" t="s">
        <v>15</v>
      </c>
      <c r="CQ31" s="15" t="s">
        <v>16</v>
      </c>
      <c r="CR31" s="15"/>
      <c r="CS31" s="15"/>
      <c r="CT31" s="15"/>
      <c r="CU31" s="16" t="s">
        <v>17</v>
      </c>
      <c r="CV31" s="21" t="s">
        <v>18</v>
      </c>
      <c r="CW31" s="10"/>
      <c r="CX31" s="226">
        <f ca="1">IF($CX$97="",2*COUNTIF(Ergebnisse!$D$63:'Ergebnisse'!$F$78,BM37),2*INT(RAND()*2))</f>
        <v>2</v>
      </c>
      <c r="CY31" s="17" t="str">
        <f ca="1">IF(COUNTIF(Ergebnisse!BK33:'Ergebnisse'!BK38,Ergebnisse!$B$98)=6,"ok","")</f>
        <v>ok</v>
      </c>
      <c r="CZ31" s="10"/>
    </row>
    <row r="32" spans="1:106">
      <c r="B32" s="3" t="s">
        <v>22</v>
      </c>
      <c r="C32" s="3" t="s">
        <v>23</v>
      </c>
      <c r="L32" s="1"/>
      <c r="M32" s="9" t="str">
        <f ca="1">VLOOKUP(1,$X$32:$AC$35,2,FALSE)</f>
        <v>Belgien</v>
      </c>
      <c r="N32" s="2">
        <f ca="1">VLOOKUP(1,$X$32:$AC$35,3,FALSE)</f>
        <v>6</v>
      </c>
      <c r="O32" s="2">
        <f ca="1">VLOOKUP(1,$X$32:$AC$35,4,FALSE)</f>
        <v>11</v>
      </c>
      <c r="P32" s="2">
        <f ca="1">VLOOKUP(1,$X$32:$AC$35,5,FALSE)</f>
        <v>9</v>
      </c>
      <c r="Q32" s="2">
        <f ca="1">VLOOKUP(1,$X$32:$AC$35,6,FALSE)</f>
        <v>2</v>
      </c>
      <c r="S32" s="60"/>
      <c r="T32" s="61">
        <f ca="1">IF(H33="",0,IF(K33=$B$98,IF(H33&gt;J33,3,IF(H33=J33,1,0)),0))</f>
        <v>3</v>
      </c>
      <c r="U32" s="61">
        <f ca="1">IF(H35="",0,IF(K35=$B$98,IF(H35&gt;J35,3,IF(H35=J35,1,0)),0))</f>
        <v>0</v>
      </c>
      <c r="V32" s="61">
        <f ca="1">IF(J37="",0,IF(K38=$B$98,IF(H37&lt;J37,3,IF(H37=J37,1,0)),0))</f>
        <v>3</v>
      </c>
      <c r="W32" s="62"/>
      <c r="X32" s="62">
        <f ca="1">RANK(AD32,$AD$32:$AD$35)</f>
        <v>1</v>
      </c>
      <c r="Y32" s="40" t="s">
        <v>186</v>
      </c>
      <c r="Z32" s="62">
        <f ca="1">SUM(S32:V32)</f>
        <v>6</v>
      </c>
      <c r="AA32" s="62">
        <f ca="1">SUM(S36:V36)</f>
        <v>11</v>
      </c>
      <c r="AB32" s="62">
        <f ca="1">SUM(S36:S39)</f>
        <v>9</v>
      </c>
      <c r="AC32" s="62">
        <f ca="1">AA32-AB32</f>
        <v>2</v>
      </c>
      <c r="AD32" s="24">
        <f ca="1">IF(P$8="",(((((((AE32*10+Z32)*100+AC32)*100+AA32)*10+AK32)*10+AJ32)*100+AP32)*100+AU32)*10+AV32,(((((((AE32*10+Z32)*10+AK32)*10+AJ32)*100+AP32)*100+AU32)*100+AC32)*100+AA32)*10+AV32)</f>
        <v>600000002114</v>
      </c>
      <c r="AE32" s="203"/>
      <c r="AF32" s="217"/>
      <c r="AG32" s="217">
        <f ca="1">IF($Z32=$Z33,$T32-$S33,0)</f>
        <v>0</v>
      </c>
      <c r="AH32" s="217">
        <f ca="1">IF($Z32=$Z34,$U32-$S34,0)</f>
        <v>0</v>
      </c>
      <c r="AI32" s="217">
        <f ca="1">IF($Z32=$Z35,$V32-$S35,0)</f>
        <v>0</v>
      </c>
      <c r="AJ32" s="217">
        <f ca="1">SUM(AF32:AI32)</f>
        <v>0</v>
      </c>
      <c r="AK32" s="203"/>
      <c r="AL32" s="217"/>
      <c r="AM32" s="217">
        <f ca="1">IF($Z32=$Z33,$T36-$S37,0)</f>
        <v>0</v>
      </c>
      <c r="AN32" s="217">
        <f ca="1">IF($Z32=$Z34,$U36-$S38,0)</f>
        <v>0</v>
      </c>
      <c r="AO32" s="217">
        <f ca="1">IF($Z32=$Z35,$V36-$S39,0)</f>
        <v>0</v>
      </c>
      <c r="AP32" s="217">
        <f ca="1">SUM(AL32:AO32)</f>
        <v>0</v>
      </c>
      <c r="AQ32" s="217"/>
      <c r="AR32" s="217">
        <f ca="1">IF($Z32=$Z33,$T36,0)</f>
        <v>0</v>
      </c>
      <c r="AS32" s="217">
        <f ca="1">IF($Z32=$Z34,$U36,0)</f>
        <v>0</v>
      </c>
      <c r="AT32" s="217">
        <f ca="1">IF($Z32=$Z35,$V36,0)</f>
        <v>0</v>
      </c>
      <c r="AU32" s="217">
        <f ca="1">SUM(AQ32:AT32)</f>
        <v>0</v>
      </c>
      <c r="AV32" s="203">
        <v>4</v>
      </c>
      <c r="AW32" s="2"/>
      <c r="AX32" s="224">
        <f ca="1">IF($CX$97="",2*COUNTIF(Ergebnisse!$D$63:'Ergebnisse'!$F$78,M38),2*INT(RAND()*2))</f>
        <v>2</v>
      </c>
      <c r="AY32" s="17" t="str">
        <f ca="1">IF(COUNTIF(Ergebnisse!K33:'Ergebnisse'!K38,Ergebnisse!$B$98)=6,"ok","")</f>
        <v>ok</v>
      </c>
      <c r="AZ32" s="2"/>
      <c r="BB32" s="3" t="s">
        <v>22</v>
      </c>
      <c r="BC32" s="3" t="s">
        <v>23</v>
      </c>
      <c r="BL32" s="1"/>
      <c r="BM32" s="9" t="str">
        <f ca="1">VLOOKUP(1,$BX$32:$CC$35,2,FALSE)</f>
        <v>Argentinien</v>
      </c>
      <c r="BN32" s="2">
        <f ca="1">VLOOKUP(1,$BX$32:$CC$35,3,FALSE)</f>
        <v>9</v>
      </c>
      <c r="BO32" s="2">
        <f ca="1">VLOOKUP(1,$BX$32:$CC$35,4,FALSE)</f>
        <v>9</v>
      </c>
      <c r="BP32" s="2">
        <f ca="1">VLOOKUP(1,$BX$32:$CC$35,5,FALSE)</f>
        <v>3</v>
      </c>
      <c r="BQ32" s="2">
        <f ca="1">VLOOKUP(1,$BX$32:$CC$35,6,FALSE)</f>
        <v>6</v>
      </c>
      <c r="BS32" s="60"/>
      <c r="BT32" s="61">
        <f ca="1">IF(BH33="",0,IF(BK33=$B$98,IF(BH33&gt;BJ33,3,IF(BH33=BJ33,1,0)),0))</f>
        <v>3</v>
      </c>
      <c r="BU32" s="61">
        <f ca="1">IF(BH35="",0,IF(BK35=$B$98,IF(BH35&gt;BJ35,3,IF(BH35=BJ35,1,0)),0))</f>
        <v>3</v>
      </c>
      <c r="BV32" s="61">
        <f ca="1">IF(BJ37="",0,IF(BK38=$B$98,IF(BH37&lt;BJ37,3,IF(BH37=BJ37,1,0)),0))</f>
        <v>3</v>
      </c>
      <c r="BW32" s="1"/>
      <c r="BX32" s="1">
        <f ca="1">RANK(CD32,$CD$32:$CD$35)</f>
        <v>1</v>
      </c>
      <c r="BY32" s="40" t="s">
        <v>221</v>
      </c>
      <c r="BZ32" s="1">
        <f ca="1">SUM(BS32:BV32)</f>
        <v>9</v>
      </c>
      <c r="CA32" s="1">
        <f ca="1">SUM(BS36:BV36)</f>
        <v>9</v>
      </c>
      <c r="CB32" s="1">
        <f ca="1">SUM(BS36:BS39)</f>
        <v>3</v>
      </c>
      <c r="CC32" s="1">
        <f ca="1">CA32-CB32</f>
        <v>6</v>
      </c>
      <c r="CD32" s="24">
        <f ca="1">IF(BP$8="",(((((((CE32*10+BZ32)*100+CC32)*100+CA32)*10+CK32)*10+CJ32)*100+CP32)*100+CU32)*10+CV32,(((((((CE32*10+BZ32)*10+CK32)*10+CJ32)*100+CP32)*100+CU32)*100+CC32)*100+CA32)*10+CV32)</f>
        <v>900000006094</v>
      </c>
      <c r="CE32" s="207"/>
      <c r="CF32" s="218"/>
      <c r="CG32" s="218">
        <f ca="1">IF($BZ32=$BZ33,$BT32-$BS33,0)</f>
        <v>0</v>
      </c>
      <c r="CH32" s="218">
        <f ca="1">IF($BZ32=$BZ34,$BU32-$BS34,0)</f>
        <v>0</v>
      </c>
      <c r="CI32" s="218">
        <f ca="1">IF($BZ32=$BZ35,$BV32-$BS35,0)</f>
        <v>0</v>
      </c>
      <c r="CJ32" s="218">
        <f ca="1">SUM(CF32:CI32)</f>
        <v>0</v>
      </c>
      <c r="CK32" s="207"/>
      <c r="CL32" s="218"/>
      <c r="CM32" s="218">
        <f ca="1">IF($BZ32=$BZ33,$BT36-$BS37,0)</f>
        <v>0</v>
      </c>
      <c r="CN32" s="218">
        <f ca="1">IF($BZ32=$BZ34,$BU36-$BS38,0)</f>
        <v>0</v>
      </c>
      <c r="CO32" s="218">
        <f ca="1">IF($BZ32=$BZ35,$BV36-$BS39,0)</f>
        <v>0</v>
      </c>
      <c r="CP32" s="218">
        <f ca="1">SUM(CL32:CO32)</f>
        <v>0</v>
      </c>
      <c r="CQ32" s="218"/>
      <c r="CR32" s="218">
        <f ca="1">IF($BZ32=$BZ33,$BT36,0)</f>
        <v>0</v>
      </c>
      <c r="CS32" s="218">
        <f ca="1">IF($BZ32=$BZ34,$BU36,0)</f>
        <v>0</v>
      </c>
      <c r="CT32" s="218">
        <f ca="1">IF($BZ32=$BZ35,$BV36,0)</f>
        <v>0</v>
      </c>
      <c r="CU32" s="218">
        <f ca="1">SUM(CQ32:CT32)</f>
        <v>0</v>
      </c>
      <c r="CV32" s="207">
        <v>4</v>
      </c>
      <c r="CX32" s="226">
        <f ca="1">IF($CX$97="",2*COUNTIF(Ergebnisse!$D$63:'Ergebnisse'!$F$78,BM38),2*INT(RAND()*2))</f>
        <v>0</v>
      </c>
      <c r="CY32" s="17" t="str">
        <f ca="1">IF(COUNTIF(Ergebnisse!BK33:'Ergebnisse'!BK38,Ergebnisse!$B$98)=6,"ok","")</f>
        <v>ok</v>
      </c>
      <c r="DA32" s="170" t="s">
        <v>77</v>
      </c>
      <c r="DB32" s="166">
        <f>DB36*(DB35+2*DB33)</f>
        <v>30</v>
      </c>
    </row>
    <row r="33" spans="1:106">
      <c r="A33" s="2">
        <v>16</v>
      </c>
      <c r="B33" s="6">
        <f>VLOOKUP(A33,Spiele!$A$1:$L$116,2,FALSE)</f>
        <v>46188.5</v>
      </c>
      <c r="C33" s="6" t="str">
        <f>VLOOKUP(A33,Spiele!$A$1:$L$116,9,FALSE)</f>
        <v>Seattle</v>
      </c>
      <c r="D33" s="56" t="str">
        <f>Y32</f>
        <v>Belgien</v>
      </c>
      <c r="E33" s="40" t="s">
        <v>24</v>
      </c>
      <c r="F33" s="56" t="str">
        <f>Y33</f>
        <v>Ägypten</v>
      </c>
      <c r="G33" s="53"/>
      <c r="H33" s="107">
        <f t="shared" ref="H33:H38" ca="1" si="12">IF($B$99="",2,INT(RAND()*5)+INT(RAND()*3)*INT(RAND()*2))</f>
        <v>4</v>
      </c>
      <c r="I33" s="11" t="s">
        <v>25</v>
      </c>
      <c r="J33" s="107">
        <f t="shared" ref="J33:J38" ca="1" si="13">IF($B$99="",1,INT(RAND()*5)+INT(RAND()*3)*INT(RAND()*2))</f>
        <v>3</v>
      </c>
      <c r="K33" s="7" t="s">
        <v>26</v>
      </c>
      <c r="L33" s="1"/>
      <c r="M33" s="9" t="str">
        <f ca="1">VLOOKUP(2,$X$32:$AC$35,2,FALSE)</f>
        <v>Neuseeland</v>
      </c>
      <c r="N33" s="2">
        <f ca="1">VLOOKUP(2,$X$32:$AC$35,3,FALSE)</f>
        <v>4</v>
      </c>
      <c r="O33" s="2">
        <f ca="1">VLOOKUP(2,$X$32:$AC$35,4,FALSE)</f>
        <v>9</v>
      </c>
      <c r="P33" s="2">
        <f ca="1">VLOOKUP(2,$X$32:$AC$35,5,FALSE)</f>
        <v>7</v>
      </c>
      <c r="Q33" s="2">
        <f ca="1">VLOOKUP(2,$X$32:$AC$35,6,FALSE)</f>
        <v>2</v>
      </c>
      <c r="S33" s="61">
        <f ca="1">IF(J33="",0,IF(K33=$B$98,IF(H33&lt;J33,3,IF(H33=J33,1,0)),0))</f>
        <v>0</v>
      </c>
      <c r="T33" s="60"/>
      <c r="U33" s="61">
        <f ca="1">IF(H38="",0,IF(K37=$B$98,IF(H38&gt;J38,3,IF(H38=J38,1,0)),0))</f>
        <v>3</v>
      </c>
      <c r="V33" s="61">
        <f ca="1">IF(J36="",0,IF(K36=$B$98,IF(J36&gt;H36,3,IF(J36=H36,1,0)),0))</f>
        <v>0</v>
      </c>
      <c r="W33" s="62"/>
      <c r="X33" s="62">
        <f ca="1">RANK(AD33,$AD$32:$AD$35)</f>
        <v>4</v>
      </c>
      <c r="Y33" s="40" t="s">
        <v>222</v>
      </c>
      <c r="Z33" s="62">
        <f ca="1">SUM(S33:V33)</f>
        <v>3</v>
      </c>
      <c r="AA33" s="62">
        <f ca="1">SUM(S37:V37)</f>
        <v>7</v>
      </c>
      <c r="AB33" s="62">
        <f ca="1">SUM(T36:T39)</f>
        <v>8</v>
      </c>
      <c r="AC33" s="62">
        <f ca="1">AA33-AB33</f>
        <v>-1</v>
      </c>
      <c r="AD33" s="24">
        <f ca="1">IF(P$8="",(((((((AE33*10+Z33)*100+AC33)*100+AA33)*10+AK33)*10+AJ33)*100+AP33)*100+AU33)*10+AV33,(((((((AE33*10+Z33)*10+AK33)*10+AJ33)*100+AP33)*100+AU33)*100+AC33)*100+AA33)*10+AV33)</f>
        <v>299999999073</v>
      </c>
      <c r="AE33" s="203"/>
      <c r="AF33" s="217">
        <f ca="1">IF($Z33=$Z32,$S33-$T32,0)</f>
        <v>0</v>
      </c>
      <c r="AG33" s="217"/>
      <c r="AH33" s="217">
        <f ca="1">IF($Z33=$Z34,$U33-$T34,0)</f>
        <v>0</v>
      </c>
      <c r="AI33" s="217">
        <f ca="1">IF($Z33=$Z35,$V33-$T35,0)</f>
        <v>0</v>
      </c>
      <c r="AJ33" s="217">
        <f ca="1">SUM(AF33:AI33)</f>
        <v>0</v>
      </c>
      <c r="AK33" s="203"/>
      <c r="AL33" s="217">
        <f ca="1">IF($Z33=$Z32,$S37-$T36,0)</f>
        <v>0</v>
      </c>
      <c r="AM33" s="217"/>
      <c r="AN33" s="217">
        <f ca="1">IF($Z33=$Z34,$U37-$T38,0)</f>
        <v>0</v>
      </c>
      <c r="AO33" s="217">
        <f ca="1">IF($Z33=$Z35,$V37-$T39,0)</f>
        <v>0</v>
      </c>
      <c r="AP33" s="217">
        <f ca="1">SUM(AL33:AO33)</f>
        <v>0</v>
      </c>
      <c r="AQ33" s="217">
        <f ca="1">IF($Z33=$Z32,$S37,0)</f>
        <v>0</v>
      </c>
      <c r="AR33" s="217"/>
      <c r="AS33" s="217">
        <f ca="1">IF($Z33=$Z34,$U37,0)</f>
        <v>0</v>
      </c>
      <c r="AT33" s="217">
        <f ca="1">IF($Z33=$Z35,$V37,0)</f>
        <v>0</v>
      </c>
      <c r="AU33" s="217">
        <f ca="1">SUM(AQ33:AT33)</f>
        <v>0</v>
      </c>
      <c r="AV33" s="203">
        <v>3</v>
      </c>
      <c r="AW33" s="2"/>
      <c r="AX33" s="17">
        <f ca="1">IF($CX$97="",IF(OR(Ergebnisse!H33="",Ergebnisse!J33=""),0,IF(AND(H33=Ergebnisse!H33,J33=Ergebnisse!J33),7,MIN(7,(H33-J33=Ergebnisse!H33-Ergebnisse!J33)*4+(AND(H33-J33&lt;&gt;Ergebnisse!H33-Ergebnisse!J33,SIGN(H33-J33)=SIGN(Ergebnisse!H33-Ergebnisse!J33)))*2+(H33=Ergebnisse!H33)+(J33=Ergebnisse!J33)))),INT(RAND()*8))</f>
        <v>2</v>
      </c>
      <c r="AY33" s="17" t="str">
        <f ca="1">IF(Ergebnisse!K33=Ergebnisse!$B$98,Ergebnisse!K33,"")</f>
        <v>ok</v>
      </c>
      <c r="AZ33" s="2"/>
      <c r="BA33" s="2">
        <v>17</v>
      </c>
      <c r="BB33" s="6">
        <f>VLOOKUP(BA33,Spiele!$A$1:$L$116,2,FALSE)</f>
        <v>46189.625</v>
      </c>
      <c r="BC33" s="6" t="str">
        <f>VLOOKUP(BA33,Spiele!$A$1:$L$116,9,FALSE)</f>
        <v>New York</v>
      </c>
      <c r="BD33" s="56" t="str">
        <f>BY32</f>
        <v>Argentinien</v>
      </c>
      <c r="BE33" s="40" t="s">
        <v>24</v>
      </c>
      <c r="BF33" s="56" t="str">
        <f>BY33</f>
        <v>Algerien</v>
      </c>
      <c r="BG33" s="53"/>
      <c r="BH33" s="107">
        <f t="shared" ref="BH33:BH38" ca="1" si="14">IF($B$99="",2,INT(RAND()*5)+INT(RAND()*3)*INT(RAND()*2))</f>
        <v>2</v>
      </c>
      <c r="BI33" s="11" t="s">
        <v>25</v>
      </c>
      <c r="BJ33" s="107">
        <f t="shared" ref="BJ33:BJ38" ca="1" si="15">IF($B$99="",1,INT(RAND()*5)+INT(RAND()*3)*INT(RAND()*2))</f>
        <v>1</v>
      </c>
      <c r="BK33" s="7" t="s">
        <v>26</v>
      </c>
      <c r="BL33" s="1"/>
      <c r="BM33" s="9" t="str">
        <f ca="1">VLOOKUP(2,$BX$32:$CC$35,2,FALSE)</f>
        <v>Jordanien</v>
      </c>
      <c r="BN33" s="2">
        <f ca="1">VLOOKUP(2,$BX$32:$CC$35,3,FALSE)</f>
        <v>4</v>
      </c>
      <c r="BO33" s="2">
        <f ca="1">VLOOKUP(2,$BX$32:$CC$35,4,FALSE)</f>
        <v>2</v>
      </c>
      <c r="BP33" s="2">
        <f ca="1">VLOOKUP(2,$BX$32:$CC$35,5,FALSE)</f>
        <v>5</v>
      </c>
      <c r="BQ33" s="2">
        <f ca="1">VLOOKUP(2,$BX$32:$CC$35,6,FALSE)</f>
        <v>-3</v>
      </c>
      <c r="BS33" s="61">
        <f ca="1">IF(BJ33="",0,IF(BK33=$B$98,IF(BH33&lt;BJ33,3,IF(BH33=BJ33,1,0)),0))</f>
        <v>0</v>
      </c>
      <c r="BT33" s="60"/>
      <c r="BU33" s="61">
        <f ca="1">IF(BH38="",0,IF(BK37=$B$98,IF(BH38&gt;BJ38,3,IF(BH38=BJ38,1,0)),0))</f>
        <v>0</v>
      </c>
      <c r="BV33" s="61">
        <f ca="1">IF(BJ36="",0,IF(BK36=$B$98,IF(BJ36&gt;BH36,3,IF(BJ36=BH36,1,0)),0))</f>
        <v>1</v>
      </c>
      <c r="BW33" s="1"/>
      <c r="BX33" s="1">
        <f ca="1">RANK(CD33,$CD$32:$CD$35)</f>
        <v>4</v>
      </c>
      <c r="BY33" s="40" t="s">
        <v>223</v>
      </c>
      <c r="BZ33" s="1">
        <f ca="1">SUM(BS33:BV33)</f>
        <v>1</v>
      </c>
      <c r="CA33" s="1">
        <f ca="1">SUM(BS37:BV37)</f>
        <v>3</v>
      </c>
      <c r="CB33" s="1">
        <f ca="1">SUM(BT36:BT39)</f>
        <v>6</v>
      </c>
      <c r="CC33" s="1">
        <f ca="1">CA33-CB33</f>
        <v>-3</v>
      </c>
      <c r="CD33" s="24">
        <f ca="1">IF(BP$8="",(((((((CE33*10+BZ33)*100+CC33)*100+CA33)*10+CK33)*10+CJ33)*100+CP33)*100+CU33)*10+CV33,(((((((CE33*10+BZ33)*10+CK33)*10+CJ33)*100+CP33)*100+CU33)*100+CC33)*100+CA33)*10+CV33)</f>
        <v>99999997033</v>
      </c>
      <c r="CE33" s="207"/>
      <c r="CF33" s="218">
        <f ca="1">IF($BZ33=$BZ32,$BS33-$BT32,0)</f>
        <v>0</v>
      </c>
      <c r="CG33" s="218"/>
      <c r="CH33" s="218">
        <f ca="1">IF($BZ33=$BZ34,$BU33-$BT34,0)</f>
        <v>0</v>
      </c>
      <c r="CI33" s="218">
        <f ca="1">IF($BZ33=$BZ35,$BV33-$BT35,0)</f>
        <v>0</v>
      </c>
      <c r="CJ33" s="218">
        <f ca="1">SUM(CF33:CI33)</f>
        <v>0</v>
      </c>
      <c r="CK33" s="207"/>
      <c r="CL33" s="218">
        <f ca="1">IF($BZ33=$BZ32,$BS37-$BT36,0)</f>
        <v>0</v>
      </c>
      <c r="CM33" s="218"/>
      <c r="CN33" s="218">
        <f ca="1">IF($BZ33=$BZ34,$BU37-$BT38,0)</f>
        <v>0</v>
      </c>
      <c r="CO33" s="218">
        <f ca="1">IF($BZ33=$BZ35,$BV37-$BT39,0)</f>
        <v>0</v>
      </c>
      <c r="CP33" s="218">
        <f ca="1">SUM(CL33:CO33)</f>
        <v>0</v>
      </c>
      <c r="CQ33" s="218">
        <f ca="1">IF($BZ33=$BZ32,$BS37,0)</f>
        <v>0</v>
      </c>
      <c r="CR33" s="218"/>
      <c r="CS33" s="218">
        <f ca="1">IF($BZ33=$BZ34,$BU37,0)</f>
        <v>0</v>
      </c>
      <c r="CT33" s="218">
        <f ca="1">IF($BZ33=$BZ35,$BV37,0)</f>
        <v>0</v>
      </c>
      <c r="CU33" s="218">
        <f ca="1">SUM(CQ33:CT33)</f>
        <v>0</v>
      </c>
      <c r="CV33" s="207">
        <v>3</v>
      </c>
      <c r="CX33" s="17">
        <f ca="1">IF($CX$97="",IF(OR(Ergebnisse!BH33="",Ergebnisse!BJ33=""),0,IF(AND(BH33=Ergebnisse!BH33,BJ33=Ergebnisse!BJ33),7,MIN(7,(BH33-BJ33=Ergebnisse!BH33-Ergebnisse!BJ33)*4+(AND(BH33-BJ33&lt;&gt;Ergebnisse!BH33-Ergebnisse!BJ33,SIGN(BH33-BJ33)=SIGN(Ergebnisse!BH33-Ergebnisse!BJ33)))*2+(BH33=Ergebnisse!BH33)+(BJ33=Ergebnisse!BJ33)))),INT(RAND()*8))</f>
        <v>0</v>
      </c>
      <c r="CY33" s="17" t="str">
        <f ca="1">IF(Ergebnisse!BK33=Ergebnisse!$B$98,Ergebnisse!BK33,"")</f>
        <v>ok</v>
      </c>
      <c r="DA33" s="167" t="s">
        <v>127</v>
      </c>
      <c r="DB33" s="164">
        <v>4</v>
      </c>
    </row>
    <row r="34" spans="1:106" s="10" customFormat="1">
      <c r="A34" s="2">
        <v>15</v>
      </c>
      <c r="B34" s="6">
        <f>VLOOKUP(A34,Spiele!$A$1:$L$116,2,FALSE)</f>
        <v>46188.75</v>
      </c>
      <c r="C34" s="6" t="str">
        <f>VLOOKUP(A34,Spiele!$A$1:$L$116,9,FALSE)</f>
        <v>Los Angeles</v>
      </c>
      <c r="D34" s="56" t="str">
        <f>Y34</f>
        <v>IR Iran</v>
      </c>
      <c r="E34" s="40" t="s">
        <v>24</v>
      </c>
      <c r="F34" s="56" t="str">
        <f>Y35</f>
        <v>Neuseeland</v>
      </c>
      <c r="G34" s="53"/>
      <c r="H34" s="107">
        <f t="shared" ca="1" si="12"/>
        <v>3</v>
      </c>
      <c r="I34" s="11" t="s">
        <v>25</v>
      </c>
      <c r="J34" s="107">
        <f t="shared" ca="1" si="13"/>
        <v>3</v>
      </c>
      <c r="K34" s="7" t="s">
        <v>26</v>
      </c>
      <c r="L34" s="1"/>
      <c r="M34" s="9" t="str">
        <f ca="1">VLOOKUP(3,$X$32:$AC$35,2,FALSE)</f>
        <v>IR Iran</v>
      </c>
      <c r="N34" s="2">
        <f ca="1">VLOOKUP(3,$X$32:$AC$35,3,FALSE)</f>
        <v>4</v>
      </c>
      <c r="O34" s="2">
        <f ca="1">VLOOKUP(3,$X$32:$AC$35,4,FALSE)</f>
        <v>7</v>
      </c>
      <c r="P34" s="2">
        <f ca="1">VLOOKUP(3,$X$32:$AC$35,5,FALSE)</f>
        <v>10</v>
      </c>
      <c r="Q34" s="2">
        <f ca="1">VLOOKUP(3,$X$32:$AC$35,6,FALSE)</f>
        <v>-3</v>
      </c>
      <c r="R34" s="2"/>
      <c r="S34" s="61">
        <f ca="1">IF(J35="",0,IF(K35=$B$98,IF(H35&lt;J35,3,IF(H35=J35,1,0)),0))</f>
        <v>3</v>
      </c>
      <c r="T34" s="61">
        <f ca="1">IF(J38="",0,IF(K37=$B$98,IF(H38&lt;J38,3,IF(H38=J38,1,0)),0))</f>
        <v>0</v>
      </c>
      <c r="U34" s="60"/>
      <c r="V34" s="61">
        <f ca="1">IF(H34="",0,IF(K34=$B$98,IF(H34&gt;J34,3,IF(H34=J34,1,0)),0))</f>
        <v>1</v>
      </c>
      <c r="W34" s="62"/>
      <c r="X34" s="62">
        <f ca="1">RANK(AD34,$AD$32:$AD$35)</f>
        <v>3</v>
      </c>
      <c r="Y34" s="40" t="s">
        <v>224</v>
      </c>
      <c r="Z34" s="62">
        <f ca="1">SUM(S34:V34)</f>
        <v>4</v>
      </c>
      <c r="AA34" s="62">
        <f ca="1">SUM(S38:V38)</f>
        <v>7</v>
      </c>
      <c r="AB34" s="62">
        <f ca="1">SUM(U36:U39)</f>
        <v>10</v>
      </c>
      <c r="AC34" s="62">
        <f ca="1">AA34-AB34</f>
        <v>-3</v>
      </c>
      <c r="AD34" s="24">
        <f ca="1">IF(P$8="",(((((((AE34*10+Z34)*100+AC34)*100+AA34)*10+AK34)*10+AJ34)*100+AP34)*100+AU34)*10+AV34,(((((((AE34*10+Z34)*10+AK34)*10+AJ34)*100+AP34)*100+AU34)*100+AC34)*100+AA34)*10+AV34)</f>
        <v>400000297072</v>
      </c>
      <c r="AE34" s="203"/>
      <c r="AF34" s="217">
        <f ca="1">IF($Z34=$Z32,$S34-$U32,0)</f>
        <v>0</v>
      </c>
      <c r="AG34" s="217">
        <f ca="1">IF($Z34=$Z33,$T34-$U33,0)</f>
        <v>0</v>
      </c>
      <c r="AH34" s="217"/>
      <c r="AI34" s="217">
        <f ca="1">IF($Z34=$Z35,$V34-$U35,0)</f>
        <v>0</v>
      </c>
      <c r="AJ34" s="217">
        <f ca="1">SUM(AF34:AI34)</f>
        <v>0</v>
      </c>
      <c r="AK34" s="203"/>
      <c r="AL34" s="217">
        <f ca="1">IF($Z34=$Z32,$S38-$U36,0)</f>
        <v>0</v>
      </c>
      <c r="AM34" s="217">
        <f ca="1">IF($Z34=$Z33,$T38-$U37,0)</f>
        <v>0</v>
      </c>
      <c r="AN34" s="217"/>
      <c r="AO34" s="217">
        <f ca="1">IF($Z34=$Z35,$V38-$U39,0)</f>
        <v>0</v>
      </c>
      <c r="AP34" s="217">
        <f ca="1">SUM(AL34:AO34)</f>
        <v>0</v>
      </c>
      <c r="AQ34" s="217">
        <f ca="1">IF($Z34=$Z32,$S38,0)</f>
        <v>0</v>
      </c>
      <c r="AR34" s="217">
        <f ca="1">IF($Z34=$Z33,$T38,0)</f>
        <v>0</v>
      </c>
      <c r="AS34" s="217"/>
      <c r="AT34" s="217">
        <f ca="1">IF($Z34=$Z35,$V38,0)</f>
        <v>3</v>
      </c>
      <c r="AU34" s="217">
        <f ca="1">SUM(AQ34:AT34)</f>
        <v>3</v>
      </c>
      <c r="AV34" s="203">
        <v>2</v>
      </c>
      <c r="AW34" s="2"/>
      <c r="AX34" s="17">
        <f ca="1">IF($CX$97="",IF(OR(Ergebnisse!H34="",Ergebnisse!J34=""),0,IF(AND(H34=Ergebnisse!H34,J34=Ergebnisse!J34),7,MIN(7,(H34-J34=Ergebnisse!H34-Ergebnisse!J34)*4+(AND(H34-J34&lt;&gt;Ergebnisse!H34-Ergebnisse!J34,SIGN(H34-J34)=SIGN(Ergebnisse!H34-Ergebnisse!J34)))*2+(H34=Ergebnisse!H34)+(J34=Ergebnisse!J34)))),INT(RAND()*8))</f>
        <v>1</v>
      </c>
      <c r="AY34" s="17" t="str">
        <f ca="1">IF(Ergebnisse!K34=Ergebnisse!$B$98,Ergebnisse!K34,"")</f>
        <v>ok</v>
      </c>
      <c r="AZ34" s="2"/>
      <c r="BA34" s="2">
        <v>18</v>
      </c>
      <c r="BB34" s="6">
        <f>VLOOKUP(BA34,Spiele!$A$1:$L$116,2,FALSE)</f>
        <v>46189.75</v>
      </c>
      <c r="BC34" s="6" t="str">
        <f>VLOOKUP(BA34,Spiele!$A$1:$L$116,9,FALSE)</f>
        <v>Boston</v>
      </c>
      <c r="BD34" s="56" t="str">
        <f>BY34</f>
        <v>Österreich</v>
      </c>
      <c r="BE34" s="40" t="s">
        <v>24</v>
      </c>
      <c r="BF34" s="56" t="str">
        <f>BY35</f>
        <v>Jordanien</v>
      </c>
      <c r="BG34" s="53"/>
      <c r="BH34" s="107">
        <f t="shared" ca="1" si="14"/>
        <v>0</v>
      </c>
      <c r="BI34" s="11" t="s">
        <v>25</v>
      </c>
      <c r="BJ34" s="107">
        <f t="shared" ca="1" si="15"/>
        <v>1</v>
      </c>
      <c r="BK34" s="7" t="s">
        <v>26</v>
      </c>
      <c r="BL34" s="1"/>
      <c r="BM34" s="9" t="str">
        <f ca="1">VLOOKUP(3,$BX$32:$CC$35,2,FALSE)</f>
        <v>Österreich</v>
      </c>
      <c r="BN34" s="2">
        <f ca="1">VLOOKUP(3,$BX$32:$CC$35,3,FALSE)</f>
        <v>3</v>
      </c>
      <c r="BO34" s="2">
        <f ca="1">VLOOKUP(3,$BX$32:$CC$35,4,FALSE)</f>
        <v>5</v>
      </c>
      <c r="BP34" s="2">
        <f ca="1">VLOOKUP(3,$BX$32:$CC$35,5,FALSE)</f>
        <v>5</v>
      </c>
      <c r="BQ34" s="2">
        <f ca="1">VLOOKUP(3,$BX$32:$CC$35,6,FALSE)</f>
        <v>0</v>
      </c>
      <c r="BR34" s="2"/>
      <c r="BS34" s="61">
        <f ca="1">IF(BJ35="",0,IF(BK35=$B$98,IF(BH35&lt;BJ35,3,IF(BH35=BJ35,1,0)),0))</f>
        <v>0</v>
      </c>
      <c r="BT34" s="61">
        <f ca="1">IF(BJ38="",0,IF(BK37=$B$98,IF(BH38&lt;BJ38,3,IF(BH38=BJ38,1,0)),0))</f>
        <v>3</v>
      </c>
      <c r="BU34" s="60"/>
      <c r="BV34" s="61">
        <f ca="1">IF(BH34="",0,IF(BK34=$B$98,IF(BH34&gt;BJ34,3,IF(BH34=BJ34,1,0)),0))</f>
        <v>0</v>
      </c>
      <c r="BW34" s="1"/>
      <c r="BX34" s="1">
        <f ca="1">RANK(CD34,$CD$32:$CD$35)</f>
        <v>3</v>
      </c>
      <c r="BY34" s="40" t="s">
        <v>187</v>
      </c>
      <c r="BZ34" s="1">
        <f ca="1">SUM(BS34:BV34)</f>
        <v>3</v>
      </c>
      <c r="CA34" s="1">
        <f ca="1">SUM(BS38:BV38)</f>
        <v>5</v>
      </c>
      <c r="CB34" s="1">
        <f ca="1">SUM(BU36:BU39)</f>
        <v>5</v>
      </c>
      <c r="CC34" s="1">
        <f ca="1">CA34-CB34</f>
        <v>0</v>
      </c>
      <c r="CD34" s="24">
        <f ca="1">IF(BP$8="",(((((((CE34*10+BZ34)*100+CC34)*100+CA34)*10+CK34)*10+CJ34)*100+CP34)*100+CU34)*10+CV34,(((((((CE34*10+BZ34)*10+CK34)*10+CJ34)*100+CP34)*100+CU34)*100+CC34)*100+CA34)*10+CV34)</f>
        <v>300000000052</v>
      </c>
      <c r="CE34" s="207"/>
      <c r="CF34" s="218">
        <f ca="1">IF($BZ34=$BZ32,$BS34-$BU32,0)</f>
        <v>0</v>
      </c>
      <c r="CG34" s="218">
        <f ca="1">IF($BZ34=$BZ33,$BT34-$BU33,0)</f>
        <v>0</v>
      </c>
      <c r="CH34" s="218"/>
      <c r="CI34" s="218">
        <f ca="1">IF($BZ34=$BZ35,$BV34-$BU35,0)</f>
        <v>0</v>
      </c>
      <c r="CJ34" s="218">
        <f ca="1">SUM(CF34:CI34)</f>
        <v>0</v>
      </c>
      <c r="CK34" s="207"/>
      <c r="CL34" s="218">
        <f ca="1">IF($BZ34=$BZ32,$BS38-$BU36,0)</f>
        <v>0</v>
      </c>
      <c r="CM34" s="218">
        <f ca="1">IF($BZ34=$BZ33,$BT38-$BU37,0)</f>
        <v>0</v>
      </c>
      <c r="CN34" s="218"/>
      <c r="CO34" s="218">
        <f ca="1">IF($BZ34=$BZ35,$BV38-$BU39,0)</f>
        <v>0</v>
      </c>
      <c r="CP34" s="218">
        <f ca="1">SUM(CL34:CO34)</f>
        <v>0</v>
      </c>
      <c r="CQ34" s="218">
        <f ca="1">IF($BZ34=$BZ32,$BS38,0)</f>
        <v>0</v>
      </c>
      <c r="CR34" s="218">
        <f ca="1">IF($BZ34=$BZ33,$BT38,0)</f>
        <v>0</v>
      </c>
      <c r="CS34" s="218"/>
      <c r="CT34" s="218">
        <f ca="1">IF($BZ34=$BZ35,$BV38,0)</f>
        <v>0</v>
      </c>
      <c r="CU34" s="218">
        <f ca="1">SUM(CQ34:CT34)</f>
        <v>0</v>
      </c>
      <c r="CV34" s="207">
        <v>2</v>
      </c>
      <c r="CW34" s="2"/>
      <c r="CX34" s="17">
        <f ca="1">IF($CX$97="",IF(OR(Ergebnisse!BH34="",Ergebnisse!BJ34=""),0,IF(AND(BH34=Ergebnisse!BH34,BJ34=Ergebnisse!BJ34),7,MIN(7,(BH34-BJ34=Ergebnisse!BH34-Ergebnisse!BJ34)*4+(AND(BH34-BJ34&lt;&gt;Ergebnisse!BH34-Ergebnisse!BJ34,SIGN(BH34-BJ34)=SIGN(Ergebnisse!BH34-Ergebnisse!BJ34)))*2+(BH34=Ergebnisse!BH34)+(BJ34=Ergebnisse!BJ34)))),INT(RAND()*8))</f>
        <v>3</v>
      </c>
      <c r="CY34" s="17" t="str">
        <f ca="1">IF(Ergebnisse!BK34=Ergebnisse!$B$98,Ergebnisse!BK34,"")</f>
        <v>ok</v>
      </c>
      <c r="CZ34" s="2"/>
      <c r="DA34" s="167" t="s">
        <v>123</v>
      </c>
      <c r="DB34" s="164">
        <v>2</v>
      </c>
    </row>
    <row r="35" spans="1:106">
      <c r="A35" s="2">
        <v>39</v>
      </c>
      <c r="B35" s="6">
        <f>VLOOKUP(A35,Spiele!$A$1:$L$116,2,FALSE)</f>
        <v>46194.5</v>
      </c>
      <c r="C35" s="6" t="str">
        <f>VLOOKUP(A35,Spiele!$A$1:$L$116,9,FALSE)</f>
        <v>Los Angeles</v>
      </c>
      <c r="D35" s="56" t="str">
        <f>Y32</f>
        <v>Belgien</v>
      </c>
      <c r="E35" s="40" t="s">
        <v>24</v>
      </c>
      <c r="F35" s="56" t="str">
        <f>Y34</f>
        <v>IR Iran</v>
      </c>
      <c r="G35" s="53"/>
      <c r="H35" s="107">
        <f t="shared" ca="1" si="12"/>
        <v>3</v>
      </c>
      <c r="I35" s="11" t="s">
        <v>25</v>
      </c>
      <c r="J35" s="107">
        <f t="shared" ca="1" si="13"/>
        <v>4</v>
      </c>
      <c r="K35" s="7" t="s">
        <v>26</v>
      </c>
      <c r="L35" s="1"/>
      <c r="M35" s="9" t="str">
        <f ca="1">VLOOKUP(4,$X$32:$AC$35,2,FALSE)</f>
        <v>Ägypten</v>
      </c>
      <c r="N35" s="2">
        <f ca="1">VLOOKUP(4,$X$32:$AC$35,3,FALSE)</f>
        <v>3</v>
      </c>
      <c r="O35" s="2">
        <f ca="1">VLOOKUP(4,$X$32:$AC$35,4,FALSE)</f>
        <v>7</v>
      </c>
      <c r="P35" s="2">
        <f ca="1">VLOOKUP(4,$X$32:$AC$35,5,FALSE)</f>
        <v>8</v>
      </c>
      <c r="Q35" s="2">
        <f ca="1">VLOOKUP(4,$X$32:$AC$35,6,FALSE)</f>
        <v>-1</v>
      </c>
      <c r="S35" s="61">
        <f ca="1">IF(H37="",0,IF(K38=$B$98,IF(H37&gt;J37,3,IF(H37=J37,1,0)),0))</f>
        <v>0</v>
      </c>
      <c r="T35" s="61">
        <f ca="1">IF(H36="",0,IF(K36=$B$98,IF(J36&lt;H36,3,IF(J36=H36,1,0)),0))</f>
        <v>3</v>
      </c>
      <c r="U35" s="61">
        <f ca="1">IF(J34="",0,IF(K34=$B$98,IF(H34&lt;J34,3,IF(H34=J34,1,0)),0))</f>
        <v>1</v>
      </c>
      <c r="V35" s="60"/>
      <c r="W35" s="62"/>
      <c r="X35" s="62">
        <f ca="1">RANK(AD35,$AD$32:$AD$35)</f>
        <v>2</v>
      </c>
      <c r="Y35" s="40" t="s">
        <v>225</v>
      </c>
      <c r="Z35" s="62">
        <f ca="1">SUM(S35:V35)</f>
        <v>4</v>
      </c>
      <c r="AA35" s="62">
        <f ca="1">SUM(S39:V39)</f>
        <v>9</v>
      </c>
      <c r="AB35" s="62">
        <f ca="1">SUM(V36:V39)</f>
        <v>7</v>
      </c>
      <c r="AC35" s="62">
        <f ca="1">AA35-AB35</f>
        <v>2</v>
      </c>
      <c r="AD35" s="24">
        <f ca="1">IF(P$8="",(((((((AE35*10+Z35)*100+AC35)*100+AA35)*10+AK35)*10+AJ35)*100+AP35)*100+AU35)*10+AV35,(((((((AE35*10+Z35)*10+AK35)*10+AJ35)*100+AP35)*100+AU35)*100+AC35)*100+AA35)*10+AV35)</f>
        <v>400000302091</v>
      </c>
      <c r="AE35" s="203"/>
      <c r="AF35" s="217">
        <f ca="1">IF($Z35=$Z32,$S35-$V32,0)</f>
        <v>0</v>
      </c>
      <c r="AG35" s="217">
        <f ca="1">IF($Z35=$Z33,$T35-$V33,0)</f>
        <v>0</v>
      </c>
      <c r="AH35" s="217">
        <f ca="1">IF($Z35=$Z34,$U35-$V34,0)</f>
        <v>0</v>
      </c>
      <c r="AI35" s="217"/>
      <c r="AJ35" s="217">
        <f ca="1">SUM(AF35:AI35)</f>
        <v>0</v>
      </c>
      <c r="AK35" s="203"/>
      <c r="AL35" s="217">
        <f ca="1">IF($Z35=$Z32,$S39-$V36,0)</f>
        <v>0</v>
      </c>
      <c r="AM35" s="217">
        <f ca="1">IF($Z35=$Z33,$T39-$V37,0)</f>
        <v>0</v>
      </c>
      <c r="AN35" s="217">
        <f ca="1">IF($Z35=$Z34,$U39-$V38,0)</f>
        <v>0</v>
      </c>
      <c r="AO35" s="217"/>
      <c r="AP35" s="217">
        <f ca="1">SUM(AL35:AO35)</f>
        <v>0</v>
      </c>
      <c r="AQ35" s="217">
        <f ca="1">IF($Z35=$Z32,$S39,0)</f>
        <v>0</v>
      </c>
      <c r="AR35" s="217">
        <f ca="1">IF($Z35=$Z33,$T39,0)</f>
        <v>0</v>
      </c>
      <c r="AS35" s="217">
        <f ca="1">IF($Z35=$Z34,$U39,0)</f>
        <v>3</v>
      </c>
      <c r="AT35" s="217"/>
      <c r="AU35" s="217">
        <f ca="1">SUM(AQ35:AT35)</f>
        <v>3</v>
      </c>
      <c r="AV35" s="203">
        <v>1</v>
      </c>
      <c r="AW35" s="2"/>
      <c r="AX35" s="17">
        <f ca="1">IF($CX$97="",IF(OR(Ergebnisse!H35="",Ergebnisse!J35=""),0,IF(AND(H35=Ergebnisse!H35,J35=Ergebnisse!J35),7,MIN(7,(H35-J35=Ergebnisse!H35-Ergebnisse!J35)*4+(AND(H35-J35&lt;&gt;Ergebnisse!H35-Ergebnisse!J35,SIGN(H35-J35)=SIGN(Ergebnisse!H35-Ergebnisse!J35)))*2+(H35=Ergebnisse!H35)+(J35=Ergebnisse!J35)))),INT(RAND()*8))</f>
        <v>2</v>
      </c>
      <c r="AY35" s="17" t="str">
        <f ca="1">IF(Ergebnisse!K35=Ergebnisse!$B$98,Ergebnisse!K35,"")</f>
        <v>ok</v>
      </c>
      <c r="AZ35" s="2"/>
      <c r="BA35" s="2">
        <v>43</v>
      </c>
      <c r="BB35" s="6">
        <f>VLOOKUP(BA35,Spiele!$A$1:$L$116,2,FALSE)</f>
        <v>46195.5</v>
      </c>
      <c r="BC35" s="6" t="str">
        <f>VLOOKUP(BA35,Spiele!$A$1:$L$116,9,FALSE)</f>
        <v>Dallas</v>
      </c>
      <c r="BD35" s="56" t="str">
        <f>BY32</f>
        <v>Argentinien</v>
      </c>
      <c r="BE35" s="40" t="s">
        <v>24</v>
      </c>
      <c r="BF35" s="56" t="str">
        <f>BY34</f>
        <v>Österreich</v>
      </c>
      <c r="BG35" s="53"/>
      <c r="BH35" s="107">
        <f t="shared" ca="1" si="14"/>
        <v>3</v>
      </c>
      <c r="BI35" s="11" t="s">
        <v>25</v>
      </c>
      <c r="BJ35" s="107">
        <f t="shared" ca="1" si="15"/>
        <v>2</v>
      </c>
      <c r="BK35" s="7" t="s">
        <v>26</v>
      </c>
      <c r="BL35" s="1"/>
      <c r="BM35" s="9" t="str">
        <f ca="1">VLOOKUP(4,$BX$32:$CC$35,2,FALSE)</f>
        <v>Algerien</v>
      </c>
      <c r="BN35" s="2">
        <f ca="1">VLOOKUP(4,$BX$32:$CC$35,3,FALSE)</f>
        <v>1</v>
      </c>
      <c r="BO35" s="2">
        <f ca="1">VLOOKUP(4,$BX$32:$CC$35,4,FALSE)</f>
        <v>3</v>
      </c>
      <c r="BP35" s="2">
        <f ca="1">VLOOKUP(4,$BX$32:$CC$35,5,FALSE)</f>
        <v>6</v>
      </c>
      <c r="BQ35" s="2">
        <f ca="1">VLOOKUP(4,$BX$32:$CC$35,6,FALSE)</f>
        <v>-3</v>
      </c>
      <c r="BS35" s="61">
        <f ca="1">IF(BH37="",0,IF(BK38=$B$98,IF(BH37&gt;BJ37,3,IF(BH37=BJ37,1,0)),0))</f>
        <v>0</v>
      </c>
      <c r="BT35" s="61">
        <f ca="1">IF(BH36="",0,IF(BK36=$B$98,IF(BJ36&lt;BH36,3,IF(BJ36=BH36,1,0)),0))</f>
        <v>1</v>
      </c>
      <c r="BU35" s="61">
        <f ca="1">IF(BJ34="",0,IF(BK34=$B$98,IF(BH34&lt;BJ34,3,IF(BH34=BJ34,1,0)),0))</f>
        <v>3</v>
      </c>
      <c r="BV35" s="60"/>
      <c r="BW35" s="1"/>
      <c r="BX35" s="1">
        <f ca="1">RANK(CD35,$CD$32:$CD$35)</f>
        <v>2</v>
      </c>
      <c r="BY35" s="40" t="s">
        <v>226</v>
      </c>
      <c r="BZ35" s="1">
        <f ca="1">SUM(BS35:BV35)</f>
        <v>4</v>
      </c>
      <c r="CA35" s="1">
        <f ca="1">SUM(BS39:BV39)</f>
        <v>2</v>
      </c>
      <c r="CB35" s="1">
        <f ca="1">SUM(BV36:BV39)</f>
        <v>5</v>
      </c>
      <c r="CC35" s="1">
        <f ca="1">CA35-CB35</f>
        <v>-3</v>
      </c>
      <c r="CD35" s="24">
        <f ca="1">IF(BP$8="",(((((((CE35*10+BZ35)*100+CC35)*100+CA35)*10+CK35)*10+CJ35)*100+CP35)*100+CU35)*10+CV35,(((((((CE35*10+BZ35)*10+CK35)*10+CJ35)*100+CP35)*100+CU35)*100+CC35)*100+CA35)*10+CV35)</f>
        <v>399999997021</v>
      </c>
      <c r="CE35" s="207"/>
      <c r="CF35" s="218">
        <f ca="1">IF($BZ35=$BZ32,$BS35-$BV32,0)</f>
        <v>0</v>
      </c>
      <c r="CG35" s="218">
        <f ca="1">IF($BZ35=$BZ33,$BT35-$BV33,0)</f>
        <v>0</v>
      </c>
      <c r="CH35" s="218">
        <f ca="1">IF($BZ35=$BZ34,$BU35-$BV34,0)</f>
        <v>0</v>
      </c>
      <c r="CI35" s="218"/>
      <c r="CJ35" s="218">
        <f ca="1">SUM(CF35:CI35)</f>
        <v>0</v>
      </c>
      <c r="CK35" s="207"/>
      <c r="CL35" s="218">
        <f ca="1">IF($BZ35=$BZ32,$BS39-$BV36,0)</f>
        <v>0</v>
      </c>
      <c r="CM35" s="218">
        <f ca="1">IF($BZ35=$BZ33,$BT39-$BV37,0)</f>
        <v>0</v>
      </c>
      <c r="CN35" s="218">
        <f ca="1">IF($BZ35=$BZ34,$BU39-$BV38,0)</f>
        <v>0</v>
      </c>
      <c r="CO35" s="218"/>
      <c r="CP35" s="218">
        <f ca="1">SUM(CL35:CO35)</f>
        <v>0</v>
      </c>
      <c r="CQ35" s="218">
        <f ca="1">IF($BZ35=$BZ32,$BS39,0)</f>
        <v>0</v>
      </c>
      <c r="CR35" s="218">
        <f ca="1">IF($BZ35=$BZ33,$BT39,0)</f>
        <v>0</v>
      </c>
      <c r="CS35" s="218">
        <f ca="1">IF($BZ35=$BZ34,$BU39,0)</f>
        <v>0</v>
      </c>
      <c r="CT35" s="218"/>
      <c r="CU35" s="218">
        <f ca="1">SUM(CQ35:CT35)</f>
        <v>0</v>
      </c>
      <c r="CV35" s="207">
        <v>1</v>
      </c>
      <c r="CX35" s="17">
        <f ca="1">IF($CX$97="",IF(OR(Ergebnisse!BH35="",Ergebnisse!BJ35=""),0,IF(AND(BH35=Ergebnisse!BH35,BJ35=Ergebnisse!BJ35),7,MIN(7,(BH35-BJ35=Ergebnisse!BH35-Ergebnisse!BJ35)*4+(AND(BH35-BJ35&lt;&gt;Ergebnisse!BH35-Ergebnisse!BJ35,SIGN(BH35-BJ35)=SIGN(Ergebnisse!BH35-Ergebnisse!BJ35)))*2+(BH35=Ergebnisse!BH35)+(BJ35=Ergebnisse!BJ35)))),INT(RAND()*8))</f>
        <v>4</v>
      </c>
      <c r="CY35" s="17" t="str">
        <f ca="1">IF(Ergebnisse!BK35=Ergebnisse!$B$98,Ergebnisse!BK35,"")</f>
        <v>ok</v>
      </c>
      <c r="DA35" s="171" t="s">
        <v>83</v>
      </c>
      <c r="DB35" s="270">
        <v>7</v>
      </c>
    </row>
    <row r="36" spans="1:106">
      <c r="A36" s="2">
        <v>40</v>
      </c>
      <c r="B36" s="6">
        <f>VLOOKUP(A36,Spiele!$A$1:$L$116,2,FALSE)</f>
        <v>46194.75</v>
      </c>
      <c r="C36" s="6" t="str">
        <f>VLOOKUP(A36,Spiele!$A$1:$L$116,9,FALSE)</f>
        <v>Vancouver</v>
      </c>
      <c r="D36" s="56" t="str">
        <f>Y35</f>
        <v>Neuseeland</v>
      </c>
      <c r="E36" s="40" t="s">
        <v>24</v>
      </c>
      <c r="F36" s="56" t="str">
        <f>Y33</f>
        <v>Ägypten</v>
      </c>
      <c r="G36" s="53"/>
      <c r="H36" s="107">
        <f t="shared" ca="1" si="12"/>
        <v>4</v>
      </c>
      <c r="I36" s="11" t="s">
        <v>25</v>
      </c>
      <c r="J36" s="107">
        <f t="shared" ca="1" si="13"/>
        <v>0</v>
      </c>
      <c r="K36" s="7" t="s">
        <v>26</v>
      </c>
      <c r="L36" s="1"/>
      <c r="N36" s="1"/>
      <c r="O36" s="1"/>
      <c r="P36" s="1"/>
      <c r="S36" s="60"/>
      <c r="T36" s="61">
        <f ca="1">IF(K33=$B$98,H33,0)</f>
        <v>4</v>
      </c>
      <c r="U36" s="61">
        <f ca="1">IF(K35=$B$98,H35,0)</f>
        <v>3</v>
      </c>
      <c r="V36" s="61">
        <f ca="1">IF(K38=$B$98,J37,0)</f>
        <v>4</v>
      </c>
      <c r="W36" s="62"/>
      <c r="X36" s="62"/>
      <c r="Y36" s="62"/>
      <c r="Z36" s="62"/>
      <c r="AA36" s="62"/>
      <c r="AB36" s="62"/>
      <c r="AC36" s="62"/>
      <c r="AD36" s="66"/>
      <c r="AE36" s="204"/>
      <c r="AF36" s="217"/>
      <c r="AG36" s="217"/>
      <c r="AH36" s="217"/>
      <c r="AI36" s="217"/>
      <c r="AJ36" s="217"/>
      <c r="AK36" s="217"/>
      <c r="AL36" s="217"/>
      <c r="AM36" s="217"/>
      <c r="AN36" s="217"/>
      <c r="AO36" s="217"/>
      <c r="AP36" s="217"/>
      <c r="AQ36" s="217"/>
      <c r="AR36" s="217"/>
      <c r="AS36" s="217"/>
      <c r="AT36" s="217"/>
      <c r="AV36" s="217"/>
      <c r="AW36" s="2"/>
      <c r="AX36" s="17">
        <f ca="1">IF($CX$97="",IF(OR(Ergebnisse!H36="",Ergebnisse!J36=""),0,IF(AND(H36=Ergebnisse!H36,J36=Ergebnisse!J36),7,MIN(7,(H36-J36=Ergebnisse!H36-Ergebnisse!J36)*4+(AND(H36-J36&lt;&gt;Ergebnisse!H36-Ergebnisse!J36,SIGN(H36-J36)=SIGN(Ergebnisse!H36-Ergebnisse!J36)))*2+(H36=Ergebnisse!H36)+(J36=Ergebnisse!J36)))),INT(RAND()*8))</f>
        <v>3</v>
      </c>
      <c r="AY36" s="17" t="str">
        <f ca="1">IF(Ergebnisse!K36=Ergebnisse!$B$98,Ergebnisse!K36,"")</f>
        <v>ok</v>
      </c>
      <c r="AZ36" s="2"/>
      <c r="BA36" s="2">
        <v>44</v>
      </c>
      <c r="BB36" s="6">
        <f>VLOOKUP(BA36,Spiele!$A$1:$L$116,2,FALSE)</f>
        <v>46195.833333333336</v>
      </c>
      <c r="BC36" s="6" t="str">
        <f>VLOOKUP(BA36,Spiele!$A$1:$L$116,9,FALSE)</f>
        <v>San Francisco</v>
      </c>
      <c r="BD36" s="56" t="str">
        <f>BY35</f>
        <v>Jordanien</v>
      </c>
      <c r="BE36" s="40" t="s">
        <v>24</v>
      </c>
      <c r="BF36" s="56" t="str">
        <f>BY33</f>
        <v>Algerien</v>
      </c>
      <c r="BG36" s="53"/>
      <c r="BH36" s="107">
        <f t="shared" ca="1" si="14"/>
        <v>1</v>
      </c>
      <c r="BI36" s="11" t="s">
        <v>25</v>
      </c>
      <c r="BJ36" s="107">
        <f t="shared" ca="1" si="15"/>
        <v>1</v>
      </c>
      <c r="BK36" s="7" t="s">
        <v>26</v>
      </c>
      <c r="BL36" s="1"/>
      <c r="BN36" s="1"/>
      <c r="BO36" s="1"/>
      <c r="BP36" s="1"/>
      <c r="BS36" s="60"/>
      <c r="BT36" s="61">
        <f ca="1">IF(BK33=$B$98,BH33,0)</f>
        <v>2</v>
      </c>
      <c r="BU36" s="61">
        <f ca="1">IF(BK35=$B$98,BH35,0)</f>
        <v>3</v>
      </c>
      <c r="BV36" s="61">
        <f ca="1">IF(BK38=$B$98,BJ37,0)</f>
        <v>4</v>
      </c>
      <c r="BW36" s="1"/>
      <c r="BX36" s="1"/>
      <c r="BY36" s="62"/>
      <c r="BZ36" s="1"/>
      <c r="CA36" s="1"/>
      <c r="CB36" s="1"/>
      <c r="CC36" s="1"/>
      <c r="CD36" s="5"/>
      <c r="CE36" s="7"/>
      <c r="CF36" s="218"/>
      <c r="CG36" s="218"/>
      <c r="CH36" s="218"/>
      <c r="CI36" s="218"/>
      <c r="CJ36" s="218"/>
      <c r="CK36" s="218"/>
      <c r="CL36" s="218"/>
      <c r="CM36" s="218"/>
      <c r="CN36" s="218"/>
      <c r="CO36" s="218"/>
      <c r="CP36" s="218"/>
      <c r="CQ36" s="218"/>
      <c r="CR36" s="218"/>
      <c r="CS36" s="218"/>
      <c r="CT36" s="218"/>
      <c r="CV36" s="218"/>
      <c r="CX36" s="17">
        <f ca="1">IF($CX$97="",IF(OR(Ergebnisse!BH36="",Ergebnisse!BJ36=""),0,IF(AND(BH36=Ergebnisse!BH36,BJ36=Ergebnisse!BJ36),7,MIN(7,(BH36-BJ36=Ergebnisse!BH36-Ergebnisse!BJ36)*4+(AND(BH36-BJ36&lt;&gt;Ergebnisse!BH36-Ergebnisse!BJ36,SIGN(BH36-BJ36)=SIGN(Ergebnisse!BH36-Ergebnisse!BJ36)))*2+(BH36=Ergebnisse!BH36)+(BJ36=Ergebnisse!BJ36)))),INT(RAND()*8))</f>
        <v>0</v>
      </c>
      <c r="CY36" s="17" t="str">
        <f ca="1">IF(Ergebnisse!BK36=Ergebnisse!$B$98,Ergebnisse!BK36,"")</f>
        <v>ok</v>
      </c>
      <c r="DA36" s="168" t="s">
        <v>76</v>
      </c>
      <c r="DB36" s="169">
        <v>2</v>
      </c>
    </row>
    <row r="37" spans="1:106">
      <c r="A37" s="2">
        <v>64</v>
      </c>
      <c r="B37" s="6">
        <f>VLOOKUP(A37,Spiele!$A$1:$L$116,2,FALSE)</f>
        <v>46199.833333333336</v>
      </c>
      <c r="C37" s="6" t="str">
        <f>VLOOKUP(A37,Spiele!$A$1:$L$116,9,FALSE)</f>
        <v>Vancouver</v>
      </c>
      <c r="D37" s="56" t="str">
        <f>Y35</f>
        <v>Neuseeland</v>
      </c>
      <c r="E37" s="40" t="s">
        <v>24</v>
      </c>
      <c r="F37" s="56" t="str">
        <f>Y32</f>
        <v>Belgien</v>
      </c>
      <c r="G37" s="55"/>
      <c r="H37" s="107">
        <f t="shared" ca="1" si="12"/>
        <v>2</v>
      </c>
      <c r="I37" s="11" t="s">
        <v>25</v>
      </c>
      <c r="J37" s="107">
        <f t="shared" ca="1" si="13"/>
        <v>4</v>
      </c>
      <c r="K37" s="7" t="s">
        <v>26</v>
      </c>
      <c r="M37" s="228" t="str">
        <f ca="1">IF(N32&gt;0,M32,"")</f>
        <v>Belgien</v>
      </c>
      <c r="N37" s="2" t="s">
        <v>227</v>
      </c>
      <c r="P37" s="29"/>
      <c r="S37" s="61">
        <f ca="1">IF(K33=$B$98,J33,0)</f>
        <v>3</v>
      </c>
      <c r="T37" s="60"/>
      <c r="U37" s="61">
        <f ca="1">IF(K37=$B$98,H38,0)</f>
        <v>4</v>
      </c>
      <c r="V37" s="61">
        <f ca="1">IF(K36=$B$98,J36,0)</f>
        <v>0</v>
      </c>
      <c r="AD37" s="55" t="s">
        <v>140</v>
      </c>
      <c r="AE37" s="108"/>
      <c r="AF37" s="219"/>
      <c r="AG37" s="219"/>
      <c r="AH37" s="219"/>
      <c r="AI37" s="219"/>
      <c r="AJ37" s="219"/>
      <c r="AK37" s="219"/>
      <c r="AL37" s="219"/>
      <c r="AM37" s="219"/>
      <c r="AN37" s="219"/>
      <c r="AO37" s="219"/>
      <c r="AP37" s="219"/>
      <c r="AQ37" s="219"/>
      <c r="AR37" s="219"/>
      <c r="AS37" s="219"/>
      <c r="AT37" s="219"/>
      <c r="AV37" s="219"/>
      <c r="AW37" s="2"/>
      <c r="AX37" s="17">
        <f ca="1">IF($CX$97="",IF(OR(Ergebnisse!H37="",Ergebnisse!J37=""),0,IF(AND(H37=Ergebnisse!H37,J37=Ergebnisse!J37),7,MIN(7,(H37-J37=Ergebnisse!H37-Ergebnisse!J37)*4+(AND(H37-J37&lt;&gt;Ergebnisse!H37-Ergebnisse!J37,SIGN(H37-J37)=SIGN(Ergebnisse!H37-Ergebnisse!J37)))*2+(H37=Ergebnisse!H37)+(J37=Ergebnisse!J37)))),INT(RAND()*8))</f>
        <v>1</v>
      </c>
      <c r="AY37" s="17" t="str">
        <f ca="1">IF(Ergebnisse!K37=Ergebnisse!$B$98,Ergebnisse!K37,"")</f>
        <v>ok</v>
      </c>
      <c r="AZ37" s="2"/>
      <c r="BA37" s="2">
        <v>70</v>
      </c>
      <c r="BB37" s="6">
        <f>VLOOKUP(BA37,Spiele!$A$1:$L$116,2,FALSE)</f>
        <v>46200.875</v>
      </c>
      <c r="BC37" s="6" t="str">
        <f>VLOOKUP(BA37,Spiele!$A$1:$L$116,9,FALSE)</f>
        <v>Dallas</v>
      </c>
      <c r="BD37" s="56" t="str">
        <f>BY35</f>
        <v>Jordanien</v>
      </c>
      <c r="BE37" s="40" t="s">
        <v>24</v>
      </c>
      <c r="BF37" s="56" t="str">
        <f>BY32</f>
        <v>Argentinien</v>
      </c>
      <c r="BG37" s="55"/>
      <c r="BH37" s="107">
        <f t="shared" ca="1" si="14"/>
        <v>0</v>
      </c>
      <c r="BI37" s="11" t="s">
        <v>25</v>
      </c>
      <c r="BJ37" s="107">
        <f t="shared" ca="1" si="15"/>
        <v>4</v>
      </c>
      <c r="BK37" s="7" t="s">
        <v>26</v>
      </c>
      <c r="BM37" s="227" t="str">
        <f ca="1">IF(BN32&gt;0,BM32,"")</f>
        <v>Argentinien</v>
      </c>
      <c r="BN37" s="2" t="s">
        <v>228</v>
      </c>
      <c r="BP37" s="29"/>
      <c r="BS37" s="61">
        <f ca="1">IF(BK33=$B$98,BJ33,0)</f>
        <v>1</v>
      </c>
      <c r="BT37" s="60"/>
      <c r="BU37" s="61">
        <f ca="1">IF(BK37=$B$98,BH38,0)</f>
        <v>1</v>
      </c>
      <c r="BV37" s="61">
        <f ca="1">IF(BK36=$B$98,BJ36,0)</f>
        <v>1</v>
      </c>
      <c r="CD37" s="2" t="s">
        <v>140</v>
      </c>
      <c r="CE37" s="8"/>
      <c r="CF37" s="220"/>
      <c r="CG37" s="220"/>
      <c r="CH37" s="220"/>
      <c r="CI37" s="220"/>
      <c r="CJ37" s="220"/>
      <c r="CK37" s="220"/>
      <c r="CL37" s="220"/>
      <c r="CM37" s="220"/>
      <c r="CN37" s="220"/>
      <c r="CO37" s="220"/>
      <c r="CP37" s="220"/>
      <c r="CQ37" s="220"/>
      <c r="CR37" s="220"/>
      <c r="CS37" s="220"/>
      <c r="CT37" s="220"/>
      <c r="CV37" s="220"/>
      <c r="CX37" s="17">
        <f ca="1">IF($CX$97="",IF(OR(Ergebnisse!BH37="",Ergebnisse!BJ37=""),0,IF(AND(BH37=Ergebnisse!BH37,BJ37=Ergebnisse!BJ37),7,MIN(7,(BH37-BJ37=Ergebnisse!BH37-Ergebnisse!BJ37)*4+(AND(BH37-BJ37&lt;&gt;Ergebnisse!BH37-Ergebnisse!BJ37,SIGN(BH37-BJ37)=SIGN(Ergebnisse!BH37-Ergebnisse!BJ37)))*2+(BH37=Ergebnisse!BH37)+(BJ37=Ergebnisse!BJ37)))),INT(RAND()*8))</f>
        <v>2</v>
      </c>
      <c r="CY37" s="17" t="str">
        <f ca="1">IF(Ergebnisse!BK37=Ergebnisse!$B$98,Ergebnisse!BK37,"")</f>
        <v>ok</v>
      </c>
    </row>
    <row r="38" spans="1:106">
      <c r="A38" s="2">
        <v>63</v>
      </c>
      <c r="B38" s="6">
        <f>VLOOKUP(A38,Spiele!$A$1:$L$116,2,FALSE)</f>
        <v>46199.833333333336</v>
      </c>
      <c r="C38" s="6" t="str">
        <f>VLOOKUP(A38,Spiele!$A$1:$L$116,9,FALSE)</f>
        <v>Seattle</v>
      </c>
      <c r="D38" s="56" t="str">
        <f>Y33</f>
        <v>Ägypten</v>
      </c>
      <c r="E38" s="40" t="s">
        <v>24</v>
      </c>
      <c r="F38" s="56" t="str">
        <f>Y34</f>
        <v>IR Iran</v>
      </c>
      <c r="G38" s="55"/>
      <c r="H38" s="107">
        <f t="shared" ca="1" si="12"/>
        <v>4</v>
      </c>
      <c r="I38" s="11" t="s">
        <v>25</v>
      </c>
      <c r="J38" s="107">
        <f t="shared" ca="1" si="13"/>
        <v>0</v>
      </c>
      <c r="K38" s="7" t="s">
        <v>26</v>
      </c>
      <c r="M38" s="228" t="str">
        <f ca="1">IF(N33&gt;0,M33,"")</f>
        <v>Neuseeland</v>
      </c>
      <c r="N38" s="2" t="s">
        <v>229</v>
      </c>
      <c r="O38" s="30"/>
      <c r="P38" s="205" t="s">
        <v>11</v>
      </c>
      <c r="S38" s="61">
        <f ca="1">IF(K35=$B$98,J35,0)</f>
        <v>4</v>
      </c>
      <c r="T38" s="61">
        <f ca="1">IF(K37=$B$98,J38,0)</f>
        <v>0</v>
      </c>
      <c r="U38" s="60"/>
      <c r="V38" s="61">
        <f ca="1">IF(K34=$B$98,H34,0)</f>
        <v>3</v>
      </c>
      <c r="AD38" s="55" t="s">
        <v>141</v>
      </c>
      <c r="AE38" s="108"/>
      <c r="AF38" s="219"/>
      <c r="AG38" s="219"/>
      <c r="AH38" s="219"/>
      <c r="AI38" s="219"/>
      <c r="AJ38" s="219"/>
      <c r="AK38" s="219"/>
      <c r="AL38" s="219"/>
      <c r="AM38" s="219"/>
      <c r="AN38" s="219"/>
      <c r="AO38" s="219"/>
      <c r="AP38" s="219"/>
      <c r="AQ38" s="219"/>
      <c r="AR38" s="219"/>
      <c r="AS38" s="219"/>
      <c r="AT38" s="219"/>
      <c r="AV38" s="219"/>
      <c r="AW38" s="2"/>
      <c r="AX38" s="17">
        <f ca="1">IF($CX$97="",IF(OR(Ergebnisse!H38="",Ergebnisse!J38=""),0,IF(AND(H38=Ergebnisse!H38,J38=Ergebnisse!J38),7,MIN(7,(H38-J38=Ergebnisse!H38-Ergebnisse!J38)*4+(AND(H38-J38&lt;&gt;Ergebnisse!H38-Ergebnisse!J38,SIGN(H38-J38)=SIGN(Ergebnisse!H38-Ergebnisse!J38)))*2+(H38=Ergebnisse!H38)+(J38=Ergebnisse!J38)))),INT(RAND()*8))</f>
        <v>0</v>
      </c>
      <c r="AY38" s="17" t="str">
        <f ca="1">IF(Ergebnisse!K38=Ergebnisse!$B$98,Ergebnisse!K38,"")</f>
        <v>ok</v>
      </c>
      <c r="AZ38" s="2"/>
      <c r="BA38" s="2">
        <v>69</v>
      </c>
      <c r="BB38" s="6">
        <f>VLOOKUP(BA38,Spiele!$A$1:$L$116,2,FALSE)</f>
        <v>46200.875</v>
      </c>
      <c r="BC38" s="6" t="str">
        <f>VLOOKUP(BA38,Spiele!$A$1:$L$116,9,FALSE)</f>
        <v>Kansas City</v>
      </c>
      <c r="BD38" s="56" t="str">
        <f>BY33</f>
        <v>Algerien</v>
      </c>
      <c r="BE38" s="40" t="s">
        <v>24</v>
      </c>
      <c r="BF38" s="56" t="str">
        <f>BY34</f>
        <v>Österreich</v>
      </c>
      <c r="BG38" s="55"/>
      <c r="BH38" s="107">
        <f t="shared" ca="1" si="14"/>
        <v>1</v>
      </c>
      <c r="BI38" s="11" t="s">
        <v>25</v>
      </c>
      <c r="BJ38" s="107">
        <f t="shared" ca="1" si="15"/>
        <v>3</v>
      </c>
      <c r="BK38" s="7" t="s">
        <v>26</v>
      </c>
      <c r="BM38" s="227" t="str">
        <f ca="1">IF(BN33&gt;0,BM33,"")</f>
        <v>Jordanien</v>
      </c>
      <c r="BN38" s="2" t="s">
        <v>230</v>
      </c>
      <c r="BO38" s="30"/>
      <c r="BP38" s="205" t="s">
        <v>11</v>
      </c>
      <c r="BS38" s="61">
        <f ca="1">IF(BK35=$B$98,BJ35,0)</f>
        <v>2</v>
      </c>
      <c r="BT38" s="61">
        <f ca="1">IF(BK37=$B$98,BJ38,0)</f>
        <v>3</v>
      </c>
      <c r="BU38" s="60"/>
      <c r="BV38" s="61">
        <f ca="1">IF(BK34=$B$98,BH34,0)</f>
        <v>0</v>
      </c>
      <c r="CD38" s="2" t="s">
        <v>141</v>
      </c>
      <c r="CE38" s="8"/>
      <c r="CF38" s="220"/>
      <c r="CG38" s="220"/>
      <c r="CH38" s="220"/>
      <c r="CI38" s="220"/>
      <c r="CJ38" s="220"/>
      <c r="CK38" s="220"/>
      <c r="CL38" s="220"/>
      <c r="CM38" s="220"/>
      <c r="CN38" s="220"/>
      <c r="CO38" s="220"/>
      <c r="CP38" s="220"/>
      <c r="CQ38" s="220"/>
      <c r="CR38" s="220"/>
      <c r="CS38" s="220"/>
      <c r="CT38" s="220"/>
      <c r="CV38" s="220"/>
      <c r="CX38" s="17">
        <f ca="1">IF($CX$97="",IF(OR(Ergebnisse!BH38="",Ergebnisse!BJ38=""),0,IF(AND(BH38=Ergebnisse!BH38,BJ38=Ergebnisse!BJ38),7,MIN(7,(BH38-BJ38=Ergebnisse!BH38-Ergebnisse!BJ38)*4+(AND(BH38-BJ38&lt;&gt;Ergebnisse!BH38-Ergebnisse!BJ38,SIGN(BH38-BJ38)=SIGN(Ergebnisse!BH38-Ergebnisse!BJ38)))*2+(BH38=Ergebnisse!BH38)+(BJ38=Ergebnisse!BJ38)))),INT(RAND()*8))</f>
        <v>4</v>
      </c>
      <c r="CY38" s="17" t="str">
        <f ca="1">IF(Ergebnisse!BK38=Ergebnisse!$B$98,Ergebnisse!BK38,"")</f>
        <v>ok</v>
      </c>
      <c r="DA38" s="165" t="s">
        <v>84</v>
      </c>
      <c r="DB38" s="166">
        <f>DB41*(DB40+2*DB39)</f>
        <v>30</v>
      </c>
    </row>
    <row r="39" spans="1:106">
      <c r="E39" s="55"/>
      <c r="F39" s="55"/>
      <c r="G39" s="55"/>
      <c r="M39" s="228" t="str">
        <f ca="1">IF(N34&gt;0,M34,"")</f>
        <v>IR Iran</v>
      </c>
      <c r="N39" s="2" t="s">
        <v>231</v>
      </c>
      <c r="S39" s="61">
        <f ca="1">IF(K38=$B$98,H37,0)</f>
        <v>2</v>
      </c>
      <c r="T39" s="61">
        <f ca="1">IF(K36=$B$98,H36,0)</f>
        <v>4</v>
      </c>
      <c r="U39" s="61">
        <f ca="1">IF(K34=$B$98,J34,0)</f>
        <v>3</v>
      </c>
      <c r="V39" s="60"/>
      <c r="AD39" s="55" t="s">
        <v>143</v>
      </c>
      <c r="AE39" s="108"/>
      <c r="AF39" s="219"/>
      <c r="AG39" s="219"/>
      <c r="AH39" s="219"/>
      <c r="AI39" s="219"/>
      <c r="AJ39" s="219"/>
      <c r="AK39" s="219"/>
      <c r="AL39" s="219"/>
      <c r="AM39" s="219"/>
      <c r="AN39" s="219"/>
      <c r="AO39" s="219"/>
      <c r="AP39" s="219"/>
      <c r="AQ39" s="219"/>
      <c r="AR39" s="219"/>
      <c r="AS39" s="219"/>
      <c r="AT39" s="219"/>
      <c r="AV39" s="219"/>
      <c r="AW39" s="2"/>
      <c r="AX39" s="224">
        <f ca="1">IF($CX$97="",2*COUNTIF(Ergebnisse!$D$63:'Ergebnisse'!$F$78,M39),2*INT(RAND()*2))</f>
        <v>2</v>
      </c>
      <c r="AY39" s="17" t="str">
        <f ca="1">IF(COUNTIF(Ergebnisse!K33:'Ergebnisse'!K38,Ergebnisse!$B$98)=6,"ok","")</f>
        <v>ok</v>
      </c>
      <c r="AZ39" s="2"/>
      <c r="BE39" s="55"/>
      <c r="BF39" s="55"/>
      <c r="BG39" s="55"/>
      <c r="BM39" s="227" t="str">
        <f ca="1">IF(BN34&gt;0,BM34,"")</f>
        <v>Österreich</v>
      </c>
      <c r="BN39" s="2" t="s">
        <v>232</v>
      </c>
      <c r="BS39" s="61">
        <f ca="1">IF(BK38=$B$98,BH37,0)</f>
        <v>0</v>
      </c>
      <c r="BT39" s="61">
        <f ca="1">IF(BK36=$B$98,BH36,0)</f>
        <v>1</v>
      </c>
      <c r="BU39" s="61">
        <f ca="1">IF(BK34=$B$98,BJ34,0)</f>
        <v>1</v>
      </c>
      <c r="BV39" s="60"/>
      <c r="CD39" s="2" t="s">
        <v>143</v>
      </c>
      <c r="CE39" s="8"/>
      <c r="CF39" s="220"/>
      <c r="CG39" s="220"/>
      <c r="CH39" s="220"/>
      <c r="CI39" s="220"/>
      <c r="CJ39" s="220"/>
      <c r="CK39" s="220"/>
      <c r="CL39" s="220"/>
      <c r="CM39" s="220"/>
      <c r="CN39" s="220"/>
      <c r="CO39" s="220"/>
      <c r="CP39" s="220"/>
      <c r="CQ39" s="220"/>
      <c r="CR39" s="220"/>
      <c r="CS39" s="220"/>
      <c r="CT39" s="220"/>
      <c r="CV39" s="220"/>
      <c r="CX39" s="226">
        <f ca="1">IF($CX$97="",2*COUNTIF(Ergebnisse!$D$63:'Ergebnisse'!$F$78,BM39),2*INT(RAND()*2))</f>
        <v>0</v>
      </c>
      <c r="CY39" s="17" t="str">
        <f ca="1">IF(COUNTIF(Ergebnisse!BK33:'Ergebnisse'!BK38,Ergebnisse!$B$98)=6,"ok","")</f>
        <v>ok</v>
      </c>
      <c r="DA39" s="167" t="s">
        <v>128</v>
      </c>
      <c r="DB39" s="164">
        <v>4</v>
      </c>
    </row>
    <row r="40" spans="1:106">
      <c r="D40" s="55"/>
      <c r="E40" s="58"/>
      <c r="F40" s="59"/>
      <c r="G40" s="59"/>
      <c r="H40" s="55"/>
      <c r="I40" s="55"/>
      <c r="J40" s="55"/>
      <c r="AE40" s="108"/>
      <c r="AF40" s="219"/>
      <c r="AG40" s="219"/>
      <c r="AH40" s="219"/>
      <c r="AI40" s="219"/>
      <c r="AJ40" s="219"/>
      <c r="AK40" s="219"/>
      <c r="AL40" s="219"/>
      <c r="AM40" s="219"/>
      <c r="AN40" s="219"/>
      <c r="AO40" s="219"/>
      <c r="AP40" s="219"/>
      <c r="AQ40" s="219"/>
      <c r="AR40" s="219"/>
      <c r="AS40" s="219"/>
      <c r="AT40" s="219"/>
      <c r="AV40" s="219"/>
      <c r="AW40" s="2"/>
      <c r="AX40" s="17"/>
      <c r="AZ40" s="2"/>
      <c r="BD40" s="55"/>
      <c r="BE40" s="58"/>
      <c r="BF40" s="59"/>
      <c r="BG40" s="59"/>
      <c r="BH40" s="55"/>
      <c r="BI40" s="55"/>
      <c r="BJ40" s="55"/>
      <c r="BS40" s="55"/>
      <c r="BT40" s="55"/>
      <c r="BU40" s="55"/>
      <c r="BV40" s="55"/>
      <c r="CE40" s="8"/>
      <c r="CF40" s="220"/>
      <c r="CG40" s="220"/>
      <c r="CH40" s="220"/>
      <c r="CI40" s="220"/>
      <c r="CJ40" s="220"/>
      <c r="CK40" s="220"/>
      <c r="CL40" s="220"/>
      <c r="CM40" s="220"/>
      <c r="CN40" s="220"/>
      <c r="CO40" s="220"/>
      <c r="CP40" s="220"/>
      <c r="CQ40" s="220"/>
      <c r="CR40" s="220"/>
      <c r="CS40" s="220"/>
      <c r="CT40" s="220"/>
      <c r="CV40" s="220"/>
      <c r="DA40" s="171" t="s">
        <v>83</v>
      </c>
      <c r="DB40" s="271">
        <v>7</v>
      </c>
    </row>
    <row r="41" spans="1:106">
      <c r="A41" s="10"/>
      <c r="B41" s="229" t="s">
        <v>0</v>
      </c>
      <c r="C41" s="230" t="s">
        <v>233</v>
      </c>
      <c r="D41" s="53" t="s">
        <v>2</v>
      </c>
      <c r="E41" s="54"/>
      <c r="F41" s="53"/>
      <c r="G41" s="53"/>
      <c r="H41" s="20"/>
      <c r="I41" s="19"/>
      <c r="J41" s="20"/>
      <c r="K41" s="180"/>
      <c r="L41" s="17"/>
      <c r="M41" s="35" t="s">
        <v>3</v>
      </c>
      <c r="N41" s="17" t="s">
        <v>4</v>
      </c>
      <c r="O41" s="17" t="s">
        <v>5</v>
      </c>
      <c r="P41" s="17" t="s">
        <v>6</v>
      </c>
      <c r="Q41" s="17" t="s">
        <v>7</v>
      </c>
      <c r="R41" s="17"/>
      <c r="W41" s="53"/>
      <c r="X41" s="53" t="s">
        <v>8</v>
      </c>
      <c r="Y41" s="56" t="s">
        <v>9</v>
      </c>
      <c r="Z41" s="53" t="s">
        <v>4</v>
      </c>
      <c r="AA41" s="53" t="s">
        <v>5</v>
      </c>
      <c r="AB41" s="53" t="s">
        <v>6</v>
      </c>
      <c r="AC41" s="53" t="s">
        <v>7</v>
      </c>
      <c r="AD41" s="53"/>
      <c r="AE41" s="19" t="s">
        <v>10</v>
      </c>
      <c r="AF41" s="40" t="s">
        <v>11</v>
      </c>
      <c r="AG41" s="40"/>
      <c r="AH41" s="40"/>
      <c r="AI41" s="40"/>
      <c r="AJ41" s="40" t="s">
        <v>12</v>
      </c>
      <c r="AK41" s="56" t="s">
        <v>13</v>
      </c>
      <c r="AL41" s="40" t="s">
        <v>14</v>
      </c>
      <c r="AM41" s="40"/>
      <c r="AN41" s="40"/>
      <c r="AO41" s="40"/>
      <c r="AP41" s="40" t="s">
        <v>15</v>
      </c>
      <c r="AQ41" s="40" t="s">
        <v>16</v>
      </c>
      <c r="AR41" s="40"/>
      <c r="AS41" s="40"/>
      <c r="AT41" s="40"/>
      <c r="AU41" s="58" t="s">
        <v>17</v>
      </c>
      <c r="AV41" s="56" t="s">
        <v>18</v>
      </c>
      <c r="AW41" s="10"/>
      <c r="AX41" s="229">
        <f ca="1">IF($CX$97="",2*COUNTIF(Ergebnisse!$D$63:'Ergebnisse'!$F$78,M47),2*INT(RAND()*2))</f>
        <v>0</v>
      </c>
      <c r="AY41" s="17" t="str">
        <f ca="1">IF(COUNTIF(Ergebnisse!K43:'Ergebnisse'!K48,Ergebnisse!$B$98)=6,"ok","")</f>
        <v>ok</v>
      </c>
      <c r="AZ41" s="10"/>
      <c r="BA41" s="10"/>
      <c r="BB41" s="231" t="s">
        <v>0</v>
      </c>
      <c r="BC41" s="232" t="s">
        <v>234</v>
      </c>
      <c r="BD41" s="53" t="s">
        <v>2</v>
      </c>
      <c r="BE41" s="54"/>
      <c r="BF41" s="53"/>
      <c r="BG41" s="53"/>
      <c r="BH41" s="20"/>
      <c r="BI41" s="19"/>
      <c r="BJ41" s="20"/>
      <c r="BK41" s="180"/>
      <c r="BL41" s="17"/>
      <c r="BM41" s="35" t="s">
        <v>3</v>
      </c>
      <c r="BN41" s="17" t="s">
        <v>4</v>
      </c>
      <c r="BO41" s="17" t="s">
        <v>5</v>
      </c>
      <c r="BP41" s="17" t="s">
        <v>6</v>
      </c>
      <c r="BQ41" s="17" t="s">
        <v>7</v>
      </c>
      <c r="BR41" s="17"/>
      <c r="BS41" s="55"/>
      <c r="BT41" s="55"/>
      <c r="BU41" s="55"/>
      <c r="BV41" s="55"/>
      <c r="BW41" s="17"/>
      <c r="BX41" s="17" t="s">
        <v>8</v>
      </c>
      <c r="BY41" s="56" t="s">
        <v>9</v>
      </c>
      <c r="BZ41" s="17" t="s">
        <v>4</v>
      </c>
      <c r="CA41" s="17" t="s">
        <v>5</v>
      </c>
      <c r="CB41" s="17" t="s">
        <v>6</v>
      </c>
      <c r="CC41" s="17" t="s">
        <v>7</v>
      </c>
      <c r="CD41" s="17"/>
      <c r="CE41" s="180" t="s">
        <v>10</v>
      </c>
      <c r="CF41" s="15" t="s">
        <v>11</v>
      </c>
      <c r="CG41" s="15"/>
      <c r="CH41" s="15"/>
      <c r="CI41" s="15"/>
      <c r="CJ41" s="15" t="s">
        <v>12</v>
      </c>
      <c r="CK41" s="21" t="s">
        <v>13</v>
      </c>
      <c r="CL41" s="15" t="s">
        <v>14</v>
      </c>
      <c r="CM41" s="15"/>
      <c r="CN41" s="15"/>
      <c r="CO41" s="15"/>
      <c r="CP41" s="15" t="s">
        <v>15</v>
      </c>
      <c r="CQ41" s="15" t="s">
        <v>16</v>
      </c>
      <c r="CR41" s="15"/>
      <c r="CS41" s="15"/>
      <c r="CT41" s="15"/>
      <c r="CU41" s="16" t="s">
        <v>17</v>
      </c>
      <c r="CV41" s="21" t="s">
        <v>18</v>
      </c>
      <c r="CW41" s="10"/>
      <c r="CX41" s="231">
        <f ca="1">IF($CX$97="",2*COUNTIF(Ergebnisse!$D$63:'Ergebnisse'!$F$78,BM47),2*INT(RAND()*2))</f>
        <v>0</v>
      </c>
      <c r="CY41" s="17" t="str">
        <f ca="1">IF(COUNTIF(Ergebnisse!BK43:'Ergebnisse'!BK48,Ergebnisse!$B$98)=6,"ok","")</f>
        <v>ok</v>
      </c>
      <c r="CZ41" s="10"/>
      <c r="DA41" s="168" t="s">
        <v>76</v>
      </c>
      <c r="DB41" s="169">
        <v>2</v>
      </c>
    </row>
    <row r="42" spans="1:106">
      <c r="B42" s="3" t="s">
        <v>22</v>
      </c>
      <c r="C42" s="3" t="s">
        <v>23</v>
      </c>
      <c r="D42" s="55"/>
      <c r="E42" s="55"/>
      <c r="F42" s="55"/>
      <c r="G42" s="55"/>
      <c r="L42" s="1"/>
      <c r="M42" s="9" t="str">
        <f ca="1">VLOOKUP(1,$X$42:$AC$45,2,FALSE)</f>
        <v>Saudiarabien</v>
      </c>
      <c r="N42" s="2">
        <f ca="1">VLOOKUP(1,$X$42:$AC$45,3,FALSE)</f>
        <v>9</v>
      </c>
      <c r="O42" s="2">
        <f ca="1">VLOOKUP(1,$X$42:$AC$45,4,FALSE)</f>
        <v>12</v>
      </c>
      <c r="P42" s="2">
        <f ca="1">VLOOKUP(1,$X$42:$AC$45,5,FALSE)</f>
        <v>3</v>
      </c>
      <c r="Q42" s="2">
        <f ca="1">VLOOKUP(1,$X$42:$AC$45,6,FALSE)</f>
        <v>9</v>
      </c>
      <c r="S42" s="60"/>
      <c r="T42" s="61">
        <f ca="1">IF(H43="",0,IF(K43=$B$98,IF(H43&gt;J43,3,IF(H43=J43,1,0)),0))</f>
        <v>1</v>
      </c>
      <c r="U42" s="61">
        <f ca="1">IF(H45="",0,IF(K45=$B$98,IF(H45&gt;J45,3,IF(H45=J45,1,0)),0))</f>
        <v>0</v>
      </c>
      <c r="V42" s="61">
        <f ca="1">IF(J47="",0,IF(K48=$B$98,IF(H47&lt;J47,3,IF(H47=J47,1,0)),0))</f>
        <v>0</v>
      </c>
      <c r="W42" s="62"/>
      <c r="X42" s="62">
        <f ca="1">RANK(AD42,$AD$42:$AD$45)</f>
        <v>4</v>
      </c>
      <c r="Y42" s="40" t="s">
        <v>66</v>
      </c>
      <c r="Z42" s="62">
        <f ca="1">SUM(S42:V42)</f>
        <v>1</v>
      </c>
      <c r="AA42" s="62">
        <f ca="1">SUM(S46:V46)</f>
        <v>5</v>
      </c>
      <c r="AB42" s="62">
        <f ca="1">SUM(S46:S49)</f>
        <v>11</v>
      </c>
      <c r="AC42" s="62">
        <f ca="1">AA42-AB42</f>
        <v>-6</v>
      </c>
      <c r="AD42" s="24">
        <f ca="1">IF(P$18="",(((((((AE42*10+Z42)*100+AC42)*100+AA42)*10+AK42)*10+AJ42)*100+AP42)*100+AU42)*10+AV42,(((((((AE42*10+Z42)*10+AK42)*10+AJ42)*100+AP42)*100+AU42)*100+AC42)*100+AA42)*10+AV42)</f>
        <v>99999994054</v>
      </c>
      <c r="AE42" s="203"/>
      <c r="AF42" s="217"/>
      <c r="AG42" s="217">
        <f ca="1">IF($Z42=$Z43,$T42-$S43,0)</f>
        <v>0</v>
      </c>
      <c r="AH42" s="217">
        <f ca="1">IF($Z42=$Z44,$U42-$S44,0)</f>
        <v>0</v>
      </c>
      <c r="AI42" s="217">
        <f ca="1">IF($Z42=$Z45,$V42-$S45,0)</f>
        <v>0</v>
      </c>
      <c r="AJ42" s="217">
        <f ca="1">SUM(AF42:AI42)</f>
        <v>0</v>
      </c>
      <c r="AK42" s="203"/>
      <c r="AL42" s="217"/>
      <c r="AM42" s="217">
        <f ca="1">IF($Z42=$Z43,$T46-$S47,0)</f>
        <v>0</v>
      </c>
      <c r="AN42" s="217">
        <f ca="1">IF($Z42=$Z44,$U46-$S48,0)</f>
        <v>0</v>
      </c>
      <c r="AO42" s="217">
        <f ca="1">IF($Z42=$Z45,$V46-$S49,0)</f>
        <v>0</v>
      </c>
      <c r="AP42" s="217">
        <f ca="1">SUM(AL42:AO42)</f>
        <v>0</v>
      </c>
      <c r="AQ42" s="217"/>
      <c r="AR42" s="217">
        <f ca="1">IF($Z42=$Z43,$T46,0)</f>
        <v>0</v>
      </c>
      <c r="AS42" s="217">
        <f ca="1">IF($Z42=$Z44,$U46,0)</f>
        <v>0</v>
      </c>
      <c r="AT42" s="217">
        <f ca="1">IF($Z42=$Z45,$V46,0)</f>
        <v>0</v>
      </c>
      <c r="AU42" s="217">
        <f ca="1">SUM(AQ42:AT42)</f>
        <v>0</v>
      </c>
      <c r="AV42" s="203">
        <v>4</v>
      </c>
      <c r="AW42" s="2"/>
      <c r="AX42" s="229">
        <f ca="1">IF($CX$97="",2*COUNTIF(Ergebnisse!$D$63:'Ergebnisse'!$F$78,M48),2*INT(RAND()*2))</f>
        <v>2</v>
      </c>
      <c r="AY42" s="17" t="str">
        <f ca="1">IF(COUNTIF(Ergebnisse!K43:'Ergebnisse'!K48,Ergebnisse!$B$98)=6,"ok","")</f>
        <v>ok</v>
      </c>
      <c r="AZ42" s="2"/>
      <c r="BB42" s="3" t="s">
        <v>22</v>
      </c>
      <c r="BC42" s="3" t="s">
        <v>23</v>
      </c>
      <c r="BD42" s="55"/>
      <c r="BE42" s="55"/>
      <c r="BF42" s="55"/>
      <c r="BG42" s="55"/>
      <c r="BL42" s="1"/>
      <c r="BM42" s="9" t="str">
        <f ca="1">VLOOKUP(1,$BX$42:$CC$45,2,FALSE)</f>
        <v>Kolumbien</v>
      </c>
      <c r="BN42" s="2">
        <f ca="1">VLOOKUP(1,$BX$42:$CC$45,3,FALSE)</f>
        <v>6</v>
      </c>
      <c r="BO42" s="2">
        <f ca="1">VLOOKUP(1,$BX$42:$CC$45,4,FALSE)</f>
        <v>11</v>
      </c>
      <c r="BP42" s="2">
        <f ca="1">VLOOKUP(1,$BX$42:$CC$45,5,FALSE)</f>
        <v>6</v>
      </c>
      <c r="BQ42" s="2">
        <f ca="1">VLOOKUP(1,$BX$42:$CC$45,6,FALSE)</f>
        <v>5</v>
      </c>
      <c r="BS42" s="60"/>
      <c r="BT42" s="61">
        <f ca="1">IF(BH43="",0,IF(BK43=$B$98,IF(BH43&gt;BJ43,3,IF(BH43=BJ43,1,0)),0))</f>
        <v>0</v>
      </c>
      <c r="BU42" s="61">
        <f ca="1">IF(BH45="",0,IF(BK45=$B$98,IF(BH45&gt;BJ45,3,IF(BH45=BJ45,1,0)),0))</f>
        <v>0</v>
      </c>
      <c r="BV42" s="61">
        <f ca="1">IF(BJ47="",0,IF(BK48=$B$98,IF(BH47&lt;BJ47,3,IF(BH47=BJ47,1,0)),0))</f>
        <v>3</v>
      </c>
      <c r="BW42" s="1"/>
      <c r="BX42" s="1">
        <f ca="1">RANK(CD42,$CD$42:$CD$45)</f>
        <v>4</v>
      </c>
      <c r="BY42" s="40" t="s">
        <v>190</v>
      </c>
      <c r="BZ42" s="1">
        <f ca="1">SUM(BS42:BV42)</f>
        <v>3</v>
      </c>
      <c r="CA42" s="1">
        <f ca="1">SUM(BS46:BV46)</f>
        <v>3</v>
      </c>
      <c r="CB42" s="1">
        <f ca="1">SUM(BS46:BS49)</f>
        <v>6</v>
      </c>
      <c r="CC42" s="1">
        <f ca="1">CA42-CB42</f>
        <v>-3</v>
      </c>
      <c r="CD42" s="24">
        <f ca="1">IF(BP$8="",(((((((CE42*10+BZ42)*100+CC42)*100+CA42)*10+CK42)*10+CJ42)*100+CP42)*100+CU42)*10+CV42,(((((((CE42*10+BZ42)*10+CK42)*10+CJ42)*100+CP42)*100+CU42)*100+CC42)*100+CA42)*10+CV42)</f>
        <v>296969997034</v>
      </c>
      <c r="CE42" s="207"/>
      <c r="CF42" s="218"/>
      <c r="CG42" s="218">
        <f ca="1">IF($BZ42=$BZ43,$BT42-$BS43,0)</f>
        <v>-3</v>
      </c>
      <c r="CH42" s="218">
        <f ca="1">IF($BZ42=$BZ44,$BU42-$BS44,0)</f>
        <v>0</v>
      </c>
      <c r="CI42" s="218">
        <f ca="1">IF($BZ42=$BZ45,$BV42-$BS45,0)</f>
        <v>0</v>
      </c>
      <c r="CJ42" s="218">
        <f ca="1">SUM(CF42:CI42)</f>
        <v>-3</v>
      </c>
      <c r="CK42" s="207"/>
      <c r="CL42" s="218"/>
      <c r="CM42" s="218">
        <f ca="1">IF($BZ42=$BZ43,$BT46-$BS47,0)</f>
        <v>-3</v>
      </c>
      <c r="CN42" s="218">
        <f ca="1">IF($BZ42=$BZ44,$BU46-$BS48,0)</f>
        <v>0</v>
      </c>
      <c r="CO42" s="218">
        <f ca="1">IF($BZ42=$BZ45,$BV46-$BS49,0)</f>
        <v>0</v>
      </c>
      <c r="CP42" s="218">
        <f ca="1">SUM(CL42:CO42)</f>
        <v>-3</v>
      </c>
      <c r="CQ42" s="218"/>
      <c r="CR42" s="218">
        <f ca="1">IF($BZ42=$BZ43,$BT46,0)</f>
        <v>0</v>
      </c>
      <c r="CS42" s="218">
        <f ca="1">IF($BZ42=$BZ44,$BU46,0)</f>
        <v>0</v>
      </c>
      <c r="CT42" s="218">
        <f ca="1">IF($BZ42=$BZ45,$BV46,0)</f>
        <v>0</v>
      </c>
      <c r="CU42" s="218">
        <f ca="1">SUM(CQ42:CT42)</f>
        <v>0</v>
      </c>
      <c r="CV42" s="207">
        <v>4</v>
      </c>
      <c r="CX42" s="231">
        <f ca="1">IF($CX$97="",2*COUNTIF(Ergebnisse!$D$63:'Ergebnisse'!$F$78,BM48),2*INT(RAND()*2))</f>
        <v>2</v>
      </c>
      <c r="CY42" s="17" t="str">
        <f ca="1">IF(COUNTIF(Ergebnisse!BK43:'Ergebnisse'!BK48,Ergebnisse!$B$98)=6,"ok","")</f>
        <v>ok</v>
      </c>
    </row>
    <row r="43" spans="1:106">
      <c r="A43" s="2">
        <v>14</v>
      </c>
      <c r="B43" s="6">
        <f>VLOOKUP(A43,Spiele!$A$1:$L$116,2,FALSE)</f>
        <v>46188.5</v>
      </c>
      <c r="C43" s="6" t="str">
        <f>VLOOKUP(A43,Spiele!$A$1:$L$116,9,FALSE)</f>
        <v>Atlanta</v>
      </c>
      <c r="D43" s="56" t="str">
        <f>Y42</f>
        <v>Spanien</v>
      </c>
      <c r="E43" s="40" t="s">
        <v>24</v>
      </c>
      <c r="F43" s="56" t="str">
        <f>Y43</f>
        <v>Kap Verde</v>
      </c>
      <c r="G43" s="53"/>
      <c r="H43" s="107">
        <f t="shared" ref="H43:H48" ca="1" si="16">IF($B$99="",2,INT(RAND()*5)+INT(RAND()*3)*INT(RAND()*2))</f>
        <v>3</v>
      </c>
      <c r="I43" s="11" t="s">
        <v>25</v>
      </c>
      <c r="J43" s="107">
        <f t="shared" ref="J43:J48" ca="1" si="17">IF($B$99="",1,INT(RAND()*5)+INT(RAND()*3)*INT(RAND()*2))</f>
        <v>3</v>
      </c>
      <c r="K43" s="7" t="s">
        <v>26</v>
      </c>
      <c r="L43" s="1"/>
      <c r="M43" s="9" t="str">
        <f ca="1">VLOOKUP(2,$X$42:$AC$45,2,FALSE)</f>
        <v>Uruguay</v>
      </c>
      <c r="N43" s="2">
        <f ca="1">VLOOKUP(2,$X$42:$AC$45,3,FALSE)</f>
        <v>4</v>
      </c>
      <c r="O43" s="2">
        <f ca="1">VLOOKUP(2,$X$42:$AC$45,4,FALSE)</f>
        <v>9</v>
      </c>
      <c r="P43" s="2">
        <f ca="1">VLOOKUP(2,$X$42:$AC$45,5,FALSE)</f>
        <v>9</v>
      </c>
      <c r="Q43" s="2">
        <f ca="1">VLOOKUP(2,$X$42:$AC$45,6,FALSE)</f>
        <v>0</v>
      </c>
      <c r="S43" s="61">
        <f ca="1">IF(J43="",0,IF(K43=$B$98,IF(H43&lt;J43,3,IF(H43=J43,1,0)),0))</f>
        <v>1</v>
      </c>
      <c r="T43" s="61"/>
      <c r="U43" s="60">
        <f ca="1">IF(H48="",0,IF(K47=$B$98,IF(H48&gt;J48,3,IF(H48=J48,1,0)),0))</f>
        <v>0</v>
      </c>
      <c r="V43" s="61">
        <f ca="1">IF(J46="",0,IF(K46=$B$98,IF(J46&gt;H46,3,IF(J46=H46,1,0)),0))</f>
        <v>1</v>
      </c>
      <c r="W43" s="62"/>
      <c r="X43" s="62">
        <f ca="1">RANK(AD43,$AD$42:$AD$45)</f>
        <v>3</v>
      </c>
      <c r="Y43" s="40" t="s">
        <v>235</v>
      </c>
      <c r="Z43" s="62">
        <f ca="1">SUM(S43:V43)</f>
        <v>2</v>
      </c>
      <c r="AA43" s="62">
        <f ca="1">SUM(S47:V47)</f>
        <v>10</v>
      </c>
      <c r="AB43" s="62">
        <f ca="1">SUM(T46:T49)</f>
        <v>13</v>
      </c>
      <c r="AC43" s="62">
        <f ca="1">AA43-AB43</f>
        <v>-3</v>
      </c>
      <c r="AD43" s="24">
        <f ca="1">IF(P$18="",(((((((AE43*10+Z43)*100+AC43)*100+AA43)*10+AK43)*10+AJ43)*100+AP43)*100+AU43)*10+AV43,(((((((AE43*10+Z43)*10+AK43)*10+AJ43)*100+AP43)*100+AU43)*100+AC43)*100+AA43)*10+AV43)</f>
        <v>199999997103</v>
      </c>
      <c r="AE43" s="203"/>
      <c r="AF43" s="217">
        <f ca="1">IF($Z43=$Z42,$S43-$T42,0)</f>
        <v>0</v>
      </c>
      <c r="AG43" s="217"/>
      <c r="AH43" s="217">
        <f ca="1">IF($Z43=$Z44,$U43-$T44,0)</f>
        <v>0</v>
      </c>
      <c r="AI43" s="217">
        <f ca="1">IF($Z43=$Z45,$V43-$T45,0)</f>
        <v>0</v>
      </c>
      <c r="AJ43" s="217">
        <f ca="1">SUM(AF43:AI43)</f>
        <v>0</v>
      </c>
      <c r="AK43" s="203"/>
      <c r="AL43" s="217">
        <f ca="1">IF($Z43=$Z42,$S47-$T46,0)</f>
        <v>0</v>
      </c>
      <c r="AM43" s="217"/>
      <c r="AN43" s="217">
        <f ca="1">IF($Z43=$Z44,$U47-$T48,0)</f>
        <v>0</v>
      </c>
      <c r="AO43" s="217">
        <f ca="1">IF($Z43=$Z45,$V47-$T49,0)</f>
        <v>0</v>
      </c>
      <c r="AP43" s="217">
        <f ca="1">SUM(AL43:AO43)</f>
        <v>0</v>
      </c>
      <c r="AQ43" s="217">
        <f ca="1">IF($Z43=$Z42,$S47,0)</f>
        <v>0</v>
      </c>
      <c r="AR43" s="217"/>
      <c r="AS43" s="217">
        <f ca="1">IF($Z43=$Z44,$U47,0)</f>
        <v>0</v>
      </c>
      <c r="AT43" s="217">
        <f ca="1">IF($Z43=$Z45,$V47,0)</f>
        <v>0</v>
      </c>
      <c r="AU43" s="217">
        <f ca="1">SUM(AQ43:AT43)</f>
        <v>0</v>
      </c>
      <c r="AV43" s="203">
        <v>3</v>
      </c>
      <c r="AW43" s="2"/>
      <c r="AX43" s="17">
        <f ca="1">IF($CX$97="",IF(OR(Ergebnisse!H43="",Ergebnisse!J43=""),0,IF(AND(H43=Ergebnisse!H43,J43=Ergebnisse!J43),7,MIN(7,(H43-J43=Ergebnisse!H43-Ergebnisse!J43)*4+(AND(H43-J43&lt;&gt;Ergebnisse!H43-Ergebnisse!J43,SIGN(H43-J43)=SIGN(Ergebnisse!H43-Ergebnisse!J43)))*2+(H43=Ergebnisse!H43)+(J43=Ergebnisse!J43)))),INT(RAND()*8))</f>
        <v>0</v>
      </c>
      <c r="AY43" s="17" t="str">
        <f ca="1">IF(Ergebnisse!K43=Ergebnisse!$B$98,Ergebnisse!K43,"")</f>
        <v>ok</v>
      </c>
      <c r="AZ43" s="2"/>
      <c r="BA43" s="2">
        <v>23</v>
      </c>
      <c r="BB43" s="6">
        <f>VLOOKUP(BA43,Spiele!$A$1:$L$116,2,FALSE)</f>
        <v>46190.5</v>
      </c>
      <c r="BC43" s="6" t="str">
        <f>VLOOKUP(BA43,Spiele!$A$1:$L$116,9,FALSE)</f>
        <v>Houston</v>
      </c>
      <c r="BD43" s="56" t="str">
        <f>BY42</f>
        <v>Portugal</v>
      </c>
      <c r="BE43" s="40" t="s">
        <v>24</v>
      </c>
      <c r="BF43" s="56" t="str">
        <f>BY43</f>
        <v>DR Kongo</v>
      </c>
      <c r="BG43" s="53"/>
      <c r="BH43" s="107">
        <f t="shared" ref="BH43:BH48" ca="1" si="18">IF($B$99="",2,INT(RAND()*5)+INT(RAND()*3)*INT(RAND()*2))</f>
        <v>0</v>
      </c>
      <c r="BI43" s="11" t="s">
        <v>25</v>
      </c>
      <c r="BJ43" s="107">
        <f t="shared" ref="BJ43:BJ48" ca="1" si="19">IF($B$99="",1,INT(RAND()*5)+INT(RAND()*3)*INT(RAND()*2))</f>
        <v>3</v>
      </c>
      <c r="BK43" s="7" t="s">
        <v>26</v>
      </c>
      <c r="BL43" s="1"/>
      <c r="BM43" s="9" t="str">
        <f ca="1">VLOOKUP(2,$BX$42:$CC$45,2,FALSE)</f>
        <v>Usbekistan</v>
      </c>
      <c r="BN43" s="2">
        <f ca="1">VLOOKUP(2,$BX$42:$CC$45,3,FALSE)</f>
        <v>6</v>
      </c>
      <c r="BO43" s="2">
        <f ca="1">VLOOKUP(2,$BX$42:$CC$45,4,FALSE)</f>
        <v>7</v>
      </c>
      <c r="BP43" s="2">
        <f ca="1">VLOOKUP(2,$BX$42:$CC$45,5,FALSE)</f>
        <v>6</v>
      </c>
      <c r="BQ43" s="2">
        <f ca="1">VLOOKUP(2,$BX$42:$CC$45,6,FALSE)</f>
        <v>1</v>
      </c>
      <c r="BS43" s="61">
        <f ca="1">IF(BJ43="",0,IF(BK43=$B$98,IF(BH43&lt;BJ43,3,IF(BH43=BJ43,1,0)),0))</f>
        <v>3</v>
      </c>
      <c r="BT43" s="61"/>
      <c r="BU43" s="60">
        <f ca="1">IF(BH48="",0,IF(BK47=$B$98,IF(BH48&gt;BJ48,3,IF(BH48=BJ48,1,0)),0))</f>
        <v>0</v>
      </c>
      <c r="BV43" s="61">
        <f ca="1">IF(BJ46="",0,IF(BK46=$B$98,IF(BJ46&gt;BH46,3,IF(BJ46=BH46,1,0)),0))</f>
        <v>0</v>
      </c>
      <c r="BW43" s="1"/>
      <c r="BX43" s="1">
        <f ca="1">RANK(CD43,$CD$42:$CD$45)</f>
        <v>3</v>
      </c>
      <c r="BY43" s="40" t="s">
        <v>236</v>
      </c>
      <c r="BZ43" s="1">
        <f ca="1">SUM(BS43:BV43)</f>
        <v>3</v>
      </c>
      <c r="CA43" s="1">
        <f ca="1">SUM(BS47:BV47)</f>
        <v>4</v>
      </c>
      <c r="CB43" s="1">
        <f ca="1">SUM(BT46:BT49)</f>
        <v>7</v>
      </c>
      <c r="CC43" s="1">
        <f ca="1">CA43-CB43</f>
        <v>-3</v>
      </c>
      <c r="CD43" s="24">
        <f ca="1">IF(BP$8="",(((((((CE43*10+BZ43)*100+CC43)*100+CA43)*10+CK43)*10+CJ43)*100+CP43)*100+CU43)*10+CV43,(((((((CE43*10+BZ43)*10+CK43)*10+CJ43)*100+CP43)*100+CU43)*100+CC43)*100+CA43)*10+CV43)</f>
        <v>303030297043</v>
      </c>
      <c r="CE43" s="207"/>
      <c r="CF43" s="218">
        <f ca="1">IF($BZ43=$BZ42,$BS43-$BT42,0)</f>
        <v>3</v>
      </c>
      <c r="CG43" s="218"/>
      <c r="CH43" s="218">
        <f ca="1">IF($BZ43=$BZ44,$BU43-$BT44,0)</f>
        <v>0</v>
      </c>
      <c r="CI43" s="218">
        <f ca="1">IF($BZ43=$BZ45,$BV43-$BT45,0)</f>
        <v>0</v>
      </c>
      <c r="CJ43" s="218">
        <f ca="1">SUM(CF43:CI43)</f>
        <v>3</v>
      </c>
      <c r="CK43" s="207"/>
      <c r="CL43" s="218">
        <f ca="1">IF($BZ43=$BZ42,$BS47-$BT46,0)</f>
        <v>3</v>
      </c>
      <c r="CM43" s="218"/>
      <c r="CN43" s="218">
        <f ca="1">IF($BZ43=$BZ44,$BU47-$BT48,0)</f>
        <v>0</v>
      </c>
      <c r="CO43" s="218">
        <f ca="1">IF($BZ43=$BZ45,$BV47-$BT49,0)</f>
        <v>0</v>
      </c>
      <c r="CP43" s="218">
        <f ca="1">SUM(CL43:CO43)</f>
        <v>3</v>
      </c>
      <c r="CQ43" s="218">
        <f ca="1">IF($BZ43=$BZ42,$BS47,0)</f>
        <v>3</v>
      </c>
      <c r="CR43" s="218"/>
      <c r="CS43" s="218">
        <f ca="1">IF($BZ43=$BZ44,$BU47,0)</f>
        <v>0</v>
      </c>
      <c r="CT43" s="218">
        <f ca="1">IF($BZ43=$BZ45,$BV47,0)</f>
        <v>0</v>
      </c>
      <c r="CU43" s="218">
        <f ca="1">SUM(CQ43:CT43)</f>
        <v>3</v>
      </c>
      <c r="CV43" s="207">
        <v>3</v>
      </c>
      <c r="CX43" s="17">
        <f ca="1">IF($CX$97="",IF(OR(Ergebnisse!BH43="",Ergebnisse!BJ43=""),0,IF(AND(BH43=Ergebnisse!BH43,BJ43=Ergebnisse!BJ43),7,MIN(7,(BH43-BJ43=Ergebnisse!BH43-Ergebnisse!BJ43)*4+(AND(BH43-BJ43&lt;&gt;Ergebnisse!BH43-Ergebnisse!BJ43,SIGN(BH43-BJ43)=SIGN(Ergebnisse!BH43-Ergebnisse!BJ43)))*2+(BH43=Ergebnisse!BH43)+(BJ43=Ergebnisse!BJ43)))),INT(RAND()*8))</f>
        <v>0</v>
      </c>
      <c r="CY43" s="17" t="str">
        <f ca="1">IF(Ergebnisse!BK43=Ergebnisse!$B$98,Ergebnisse!BK43,"")</f>
        <v>ok</v>
      </c>
      <c r="DA43" s="165" t="s">
        <v>63</v>
      </c>
      <c r="DB43" s="272">
        <v>24</v>
      </c>
    </row>
    <row r="44" spans="1:106">
      <c r="A44" s="2">
        <v>13</v>
      </c>
      <c r="B44" s="6">
        <f>VLOOKUP(A44,Spiele!$A$1:$L$116,2,FALSE)</f>
        <v>46188.75</v>
      </c>
      <c r="C44" s="6" t="str">
        <f>VLOOKUP(A44,Spiele!$A$1:$L$116,9,FALSE)</f>
        <v>Miami</v>
      </c>
      <c r="D44" s="56" t="str">
        <f>Y44</f>
        <v>Saudiarabien</v>
      </c>
      <c r="E44" s="40" t="s">
        <v>24</v>
      </c>
      <c r="F44" s="56" t="str">
        <f>Y45</f>
        <v>Uruguay</v>
      </c>
      <c r="G44" s="53"/>
      <c r="H44" s="107">
        <f t="shared" ca="1" si="16"/>
        <v>3</v>
      </c>
      <c r="I44" s="11" t="s">
        <v>25</v>
      </c>
      <c r="J44" s="107">
        <f t="shared" ca="1" si="17"/>
        <v>0</v>
      </c>
      <c r="K44" s="7" t="s">
        <v>26</v>
      </c>
      <c r="L44" s="1"/>
      <c r="M44" s="9" t="str">
        <f ca="1">VLOOKUP(3,$X$42:$AC$45,2,FALSE)</f>
        <v>Kap Verde</v>
      </c>
      <c r="N44" s="2">
        <f ca="1">VLOOKUP(3,$X$42:$AC$45,3,FALSE)</f>
        <v>2</v>
      </c>
      <c r="O44" s="2">
        <f ca="1">VLOOKUP(3,$X$42:$AC$45,4,FALSE)</f>
        <v>10</v>
      </c>
      <c r="P44" s="2">
        <f ca="1">VLOOKUP(3,$X$42:$AC$45,5,FALSE)</f>
        <v>13</v>
      </c>
      <c r="Q44" s="2">
        <f ca="1">VLOOKUP(3,$X$42:$AC$45,6,FALSE)</f>
        <v>-3</v>
      </c>
      <c r="S44" s="61">
        <f ca="1">IF(J45="",0,IF(K45=$B$98,IF(H45&lt;J45,3,IF(H45=J45,1,0)),0))</f>
        <v>3</v>
      </c>
      <c r="T44" s="61">
        <f ca="1">IF(J48="",0,IF(K47=$B$98,IF(H48&lt;J48,3,IF(H48=J48,1,0)),0))</f>
        <v>3</v>
      </c>
      <c r="U44" s="60"/>
      <c r="V44" s="61">
        <f ca="1">IF(H44="",0,IF(K44=$B$98,IF(H44&gt;J44,3,IF(H44=J44,1,0)),0))</f>
        <v>3</v>
      </c>
      <c r="W44" s="62"/>
      <c r="X44" s="62">
        <f ca="1">RANK(AD44,$AD$42:$AD$45)</f>
        <v>1</v>
      </c>
      <c r="Y44" s="40" t="s">
        <v>237</v>
      </c>
      <c r="Z44" s="62">
        <f ca="1">SUM(S44:V44)</f>
        <v>9</v>
      </c>
      <c r="AA44" s="62">
        <f ca="1">SUM(S48:V48)</f>
        <v>12</v>
      </c>
      <c r="AB44" s="62">
        <f ca="1">SUM(U46:U49)</f>
        <v>3</v>
      </c>
      <c r="AC44" s="62">
        <f ca="1">AA44-AB44</f>
        <v>9</v>
      </c>
      <c r="AD44" s="24">
        <f ca="1">IF(P$18="",(((((((AE44*10+Z44)*100+AC44)*100+AA44)*10+AK44)*10+AJ44)*100+AP44)*100+AU44)*10+AV44,(((((((AE44*10+Z44)*10+AK44)*10+AJ44)*100+AP44)*100+AU44)*100+AC44)*100+AA44)*10+AV44)</f>
        <v>900000009122</v>
      </c>
      <c r="AE44" s="203"/>
      <c r="AF44" s="217">
        <f ca="1">IF($Z44=$Z42,$S44-$U42,0)</f>
        <v>0</v>
      </c>
      <c r="AG44" s="217">
        <f ca="1">IF($Z44=$Z43,$T44-$U43,0)</f>
        <v>0</v>
      </c>
      <c r="AH44" s="217"/>
      <c r="AI44" s="217">
        <f ca="1">IF($Z44=$Z45,$V44-$U45,0)</f>
        <v>0</v>
      </c>
      <c r="AJ44" s="217">
        <f ca="1">SUM(AF44:AI44)</f>
        <v>0</v>
      </c>
      <c r="AK44" s="203"/>
      <c r="AL44" s="217">
        <f ca="1">IF($Z44=$Z42,$S48-$U46,0)</f>
        <v>0</v>
      </c>
      <c r="AM44" s="217">
        <f ca="1">IF($Z44=$Z43,$T48-$U47,0)</f>
        <v>0</v>
      </c>
      <c r="AN44" s="217"/>
      <c r="AO44" s="217">
        <f ca="1">IF($Z44=$Z45,$V48-$U49,0)</f>
        <v>0</v>
      </c>
      <c r="AP44" s="217">
        <f ca="1">SUM(AL44:AO44)</f>
        <v>0</v>
      </c>
      <c r="AQ44" s="217">
        <f ca="1">IF($Z44=$Z42,$S48,0)</f>
        <v>0</v>
      </c>
      <c r="AR44" s="217">
        <f ca="1">IF($Z44=$Z43,$T48,0)</f>
        <v>0</v>
      </c>
      <c r="AS44" s="217"/>
      <c r="AT44" s="217">
        <f ca="1">IF($Z44=$Z45,$V48,0)</f>
        <v>0</v>
      </c>
      <c r="AU44" s="217">
        <f ca="1">SUM(AQ44:AT44)</f>
        <v>0</v>
      </c>
      <c r="AV44" s="203">
        <v>2</v>
      </c>
      <c r="AW44" s="2"/>
      <c r="AX44" s="17">
        <f ca="1">IF($CX$97="",IF(OR(Ergebnisse!H44="",Ergebnisse!J44=""),0,IF(AND(H44=Ergebnisse!H44,J44=Ergebnisse!J44),7,MIN(7,(H44-J44=Ergebnisse!H44-Ergebnisse!J44)*4+(AND(H44-J44&lt;&gt;Ergebnisse!H44-Ergebnisse!J44,SIGN(H44-J44)=SIGN(Ergebnisse!H44-Ergebnisse!J44)))*2+(H44=Ergebnisse!H44)+(J44=Ergebnisse!J44)))),INT(RAND()*8))</f>
        <v>0</v>
      </c>
      <c r="AY44" s="17" t="str">
        <f ca="1">IF(Ergebnisse!K44=Ergebnisse!$B$98,Ergebnisse!K44,"")</f>
        <v>ok</v>
      </c>
      <c r="AZ44" s="2"/>
      <c r="BA44" s="2">
        <v>24</v>
      </c>
      <c r="BB44" s="6">
        <f>VLOOKUP(BA44,Spiele!$A$1:$L$116,2,FALSE)</f>
        <v>46190.875</v>
      </c>
      <c r="BC44" s="6" t="str">
        <f>VLOOKUP(BA44,Spiele!$A$1:$L$116,9,FALSE)</f>
        <v>Mexico City</v>
      </c>
      <c r="BD44" s="56" t="str">
        <f>BY44</f>
        <v>Usbekistan</v>
      </c>
      <c r="BE44" s="40" t="s">
        <v>24</v>
      </c>
      <c r="BF44" s="56" t="str">
        <f>BY45</f>
        <v>Kolumbien</v>
      </c>
      <c r="BG44" s="53"/>
      <c r="BH44" s="107">
        <f t="shared" ca="1" si="18"/>
        <v>3</v>
      </c>
      <c r="BI44" s="11" t="s">
        <v>25</v>
      </c>
      <c r="BJ44" s="107">
        <f t="shared" ca="1" si="19"/>
        <v>5</v>
      </c>
      <c r="BK44" s="7" t="s">
        <v>26</v>
      </c>
      <c r="BL44" s="1"/>
      <c r="BM44" s="9" t="str">
        <f ca="1">VLOOKUP(3,$BX$42:$CC$45,2,FALSE)</f>
        <v>DR Kongo</v>
      </c>
      <c r="BN44" s="2">
        <f ca="1">VLOOKUP(3,$BX$42:$CC$45,3,FALSE)</f>
        <v>3</v>
      </c>
      <c r="BO44" s="2">
        <f ca="1">VLOOKUP(3,$BX$42:$CC$45,4,FALSE)</f>
        <v>4</v>
      </c>
      <c r="BP44" s="2">
        <f ca="1">VLOOKUP(3,$BX$42:$CC$45,5,FALSE)</f>
        <v>7</v>
      </c>
      <c r="BQ44" s="2">
        <f ca="1">VLOOKUP(3,$BX$42:$CC$45,6,FALSE)</f>
        <v>-3</v>
      </c>
      <c r="BS44" s="61">
        <f ca="1">IF(BJ45="",0,IF(BK45=$B$98,IF(BH45&lt;BJ45,3,IF(BH45=BJ45,1,0)),0))</f>
        <v>3</v>
      </c>
      <c r="BT44" s="61">
        <f ca="1">IF(BJ48="",0,IF(BK47=$B$98,IF(BH48&lt;BJ48,3,IF(BH48=BJ48,1,0)),0))</f>
        <v>3</v>
      </c>
      <c r="BU44" s="60"/>
      <c r="BV44" s="61">
        <f ca="1">IF(BH44="",0,IF(BK44=$B$98,IF(BH44&gt;BJ44,3,IF(BH44=BJ44,1,0)),0))</f>
        <v>0</v>
      </c>
      <c r="BW44" s="1"/>
      <c r="BX44" s="1">
        <f ca="1">RANK(CD44,$CD$42:$CD$45)</f>
        <v>2</v>
      </c>
      <c r="BY44" s="40" t="s">
        <v>238</v>
      </c>
      <c r="BZ44" s="1">
        <f ca="1">SUM(BS44:BV44)</f>
        <v>6</v>
      </c>
      <c r="CA44" s="1">
        <f ca="1">SUM(BS48:BV48)</f>
        <v>7</v>
      </c>
      <c r="CB44" s="1">
        <f ca="1">SUM(BU46:BU49)</f>
        <v>6</v>
      </c>
      <c r="CC44" s="1">
        <f ca="1">CA44-CB44</f>
        <v>1</v>
      </c>
      <c r="CD44" s="24">
        <f ca="1">IF(BP$8="",(((((((CE44*10+BZ44)*100+CC44)*100+CA44)*10+CK44)*10+CJ44)*100+CP44)*100+CU44)*10+CV44,(((((((CE44*10+BZ44)*10+CK44)*10+CJ44)*100+CP44)*100+CU44)*100+CC44)*100+CA44)*10+CV44)</f>
        <v>596980301072</v>
      </c>
      <c r="CE44" s="207"/>
      <c r="CF44" s="218">
        <f ca="1">IF($BZ44=$BZ42,$BS44-$BU42,0)</f>
        <v>0</v>
      </c>
      <c r="CG44" s="218">
        <f ca="1">IF($BZ44=$BZ43,$BT44-$BU43,0)</f>
        <v>0</v>
      </c>
      <c r="CH44" s="218"/>
      <c r="CI44" s="218">
        <f ca="1">IF($BZ44=$BZ45,$BV44-$BU45,0)</f>
        <v>-3</v>
      </c>
      <c r="CJ44" s="218">
        <f ca="1">SUM(CF44:CI44)</f>
        <v>-3</v>
      </c>
      <c r="CK44" s="207"/>
      <c r="CL44" s="218">
        <f ca="1">IF($BZ44=$BZ42,$BS48-$BU46,0)</f>
        <v>0</v>
      </c>
      <c r="CM44" s="218">
        <f ca="1">IF($BZ44=$BZ43,$BT48-$BU47,0)</f>
        <v>0</v>
      </c>
      <c r="CN44" s="218"/>
      <c r="CO44" s="218">
        <f ca="1">IF($BZ44=$BZ45,$BV48-$BU49,0)</f>
        <v>-2</v>
      </c>
      <c r="CP44" s="218">
        <f ca="1">SUM(CL44:CO44)</f>
        <v>-2</v>
      </c>
      <c r="CQ44" s="218">
        <f ca="1">IF($BZ44=$BZ42,$BS48,0)</f>
        <v>0</v>
      </c>
      <c r="CR44" s="218">
        <f ca="1">IF($BZ44=$BZ43,$BT48,0)</f>
        <v>0</v>
      </c>
      <c r="CS44" s="218"/>
      <c r="CT44" s="218">
        <f ca="1">IF($BZ44=$BZ45,$BV48,0)</f>
        <v>3</v>
      </c>
      <c r="CU44" s="218">
        <f ca="1">SUM(CQ44:CT44)</f>
        <v>3</v>
      </c>
      <c r="CV44" s="207">
        <v>2</v>
      </c>
      <c r="CX44" s="17">
        <f ca="1">IF($CX$97="",IF(OR(Ergebnisse!BH44="",Ergebnisse!BJ44=""),0,IF(AND(BH44=Ergebnisse!BH44,BJ44=Ergebnisse!BJ44),7,MIN(7,(BH44-BJ44=Ergebnisse!BH44-Ergebnisse!BJ44)*4+(AND(BH44-BJ44&lt;&gt;Ergebnisse!BH44-Ergebnisse!BJ44,SIGN(BH44-BJ44)=SIGN(Ergebnisse!BH44-Ergebnisse!BJ44)))*2+(BH44=Ergebnisse!BH44)+(BJ44=Ergebnisse!BJ44)))),INT(RAND()*8))</f>
        <v>0</v>
      </c>
      <c r="CY44" s="17" t="str">
        <f ca="1">IF(Ergebnisse!BK44=Ergebnisse!$B$98,Ergebnisse!BK44,"")</f>
        <v>ok</v>
      </c>
    </row>
    <row r="45" spans="1:106">
      <c r="A45" s="2">
        <v>38</v>
      </c>
      <c r="B45" s="6">
        <f>VLOOKUP(A45,Spiele!$A$1:$L$116,2,FALSE)</f>
        <v>46194.5</v>
      </c>
      <c r="C45" s="6" t="str">
        <f>VLOOKUP(A45,Spiele!$A$1:$L$116,9,FALSE)</f>
        <v>Atlanta</v>
      </c>
      <c r="D45" s="56" t="str">
        <f>Y42</f>
        <v>Spanien</v>
      </c>
      <c r="E45" s="40" t="s">
        <v>24</v>
      </c>
      <c r="F45" s="56" t="str">
        <f>Y44</f>
        <v>Saudiarabien</v>
      </c>
      <c r="G45" s="53"/>
      <c r="H45" s="107">
        <f t="shared" ca="1" si="16"/>
        <v>0</v>
      </c>
      <c r="I45" s="11" t="s">
        <v>25</v>
      </c>
      <c r="J45" s="107">
        <f t="shared" ca="1" si="17"/>
        <v>3</v>
      </c>
      <c r="K45" s="7" t="s">
        <v>26</v>
      </c>
      <c r="L45" s="1"/>
      <c r="M45" s="9" t="str">
        <f ca="1">VLOOKUP(4,$X$42:$AC$45,2,FALSE)</f>
        <v>Spanien</v>
      </c>
      <c r="N45" s="2">
        <f ca="1">VLOOKUP(4,$X$42:$AC$45,3,FALSE)</f>
        <v>1</v>
      </c>
      <c r="O45" s="2">
        <f ca="1">VLOOKUP(4,$X$42:$AC$45,4,FALSE)</f>
        <v>5</v>
      </c>
      <c r="P45" s="2">
        <f ca="1">VLOOKUP(4,$X$42:$AC$45,5,FALSE)</f>
        <v>11</v>
      </c>
      <c r="Q45" s="2">
        <f ca="1">VLOOKUP(4,$X$42:$AC$45,6,FALSE)</f>
        <v>-6</v>
      </c>
      <c r="S45" s="61">
        <f ca="1">IF(H47="",0,IF(K48=$B$98,IF(H47&gt;J47,3,IF(H47=J47,1,0)),0))</f>
        <v>3</v>
      </c>
      <c r="T45" s="61">
        <f ca="1">IF(H46="",0,IF(K46=$B$98,IF(J46&lt;H46,3,IF(J46=H46,1,0)),0))</f>
        <v>1</v>
      </c>
      <c r="U45" s="60">
        <f ca="1">IF(J44="",0,IF(K44=$B$98,IF(H44&lt;J44,3,IF(H44=J44,1,0)),0))</f>
        <v>0</v>
      </c>
      <c r="V45" s="61"/>
      <c r="W45" s="62"/>
      <c r="X45" s="62">
        <f ca="1">RANK(AD45,$AD$42:$AD$45)</f>
        <v>2</v>
      </c>
      <c r="Y45" s="40" t="s">
        <v>239</v>
      </c>
      <c r="Z45" s="62">
        <f ca="1">SUM(S45:V45)</f>
        <v>4</v>
      </c>
      <c r="AA45" s="62">
        <f ca="1">SUM(S49:V49)</f>
        <v>9</v>
      </c>
      <c r="AB45" s="62">
        <f ca="1">SUM(V46:V49)</f>
        <v>9</v>
      </c>
      <c r="AC45" s="62">
        <f ca="1">AA45-AB45</f>
        <v>0</v>
      </c>
      <c r="AD45" s="24">
        <f ca="1">IF(P$18="",(((((((AE45*10+Z45)*100+AC45)*100+AA45)*10+AK45)*10+AJ45)*100+AP45)*100+AU45)*10+AV45,(((((((AE45*10+Z45)*10+AK45)*10+AJ45)*100+AP45)*100+AU45)*100+AC45)*100+AA45)*10+AV45)</f>
        <v>400000000091</v>
      </c>
      <c r="AE45" s="203"/>
      <c r="AF45" s="217">
        <f ca="1">IF($Z45=$Z42,$S45-$V42,0)</f>
        <v>0</v>
      </c>
      <c r="AG45" s="217">
        <f ca="1">IF($Z45=$Z43,$T45-$V43,0)</f>
        <v>0</v>
      </c>
      <c r="AH45" s="217">
        <f ca="1">IF($Z45=$Z44,$U45-$V44,0)</f>
        <v>0</v>
      </c>
      <c r="AI45" s="217"/>
      <c r="AJ45" s="217">
        <f ca="1">SUM(AF45:AI45)</f>
        <v>0</v>
      </c>
      <c r="AK45" s="203"/>
      <c r="AL45" s="217">
        <f ca="1">IF($Z45=$Z42,$S49-$V46,0)</f>
        <v>0</v>
      </c>
      <c r="AM45" s="217">
        <f ca="1">IF($Z45=$Z43,$T49-$V47,0)</f>
        <v>0</v>
      </c>
      <c r="AN45" s="217">
        <f ca="1">IF($Z45=$Z44,$U49-$V48,0)</f>
        <v>0</v>
      </c>
      <c r="AO45" s="217"/>
      <c r="AP45" s="217">
        <f ca="1">SUM(AL45:AO45)</f>
        <v>0</v>
      </c>
      <c r="AQ45" s="217">
        <f ca="1">IF($Z45=$Z42,$S49,0)</f>
        <v>0</v>
      </c>
      <c r="AR45" s="217">
        <f ca="1">IF($Z45=$Z43,$T49,0)</f>
        <v>0</v>
      </c>
      <c r="AS45" s="217">
        <f ca="1">IF($Z45=$Z44,$U49,0)</f>
        <v>0</v>
      </c>
      <c r="AT45" s="217"/>
      <c r="AU45" s="217">
        <f ca="1">SUM(AQ45:AT45)</f>
        <v>0</v>
      </c>
      <c r="AV45" s="203">
        <v>1</v>
      </c>
      <c r="AW45" s="2"/>
      <c r="AX45" s="17">
        <f ca="1">IF($CX$97="",IF(OR(Ergebnisse!H45="",Ergebnisse!J45=""),0,IF(AND(H45=Ergebnisse!H45,J45=Ergebnisse!J45),7,MIN(7,(H45-J45=Ergebnisse!H45-Ergebnisse!J45)*4+(AND(H45-J45&lt;&gt;Ergebnisse!H45-Ergebnisse!J45,SIGN(H45-J45)=SIGN(Ergebnisse!H45-Ergebnisse!J45)))*2+(H45=Ergebnisse!H45)+(J45=Ergebnisse!J45)))),INT(RAND()*8))</f>
        <v>3</v>
      </c>
      <c r="AY45" s="17" t="str">
        <f ca="1">IF(Ergebnisse!K45=Ergebnisse!$B$98,Ergebnisse!K45,"")</f>
        <v>ok</v>
      </c>
      <c r="AZ45" s="2"/>
      <c r="BA45" s="2">
        <v>47</v>
      </c>
      <c r="BB45" s="6">
        <f>VLOOKUP(BA45,Spiele!$A$1:$L$116,2,FALSE)</f>
        <v>46196.5</v>
      </c>
      <c r="BC45" s="6" t="str">
        <f>VLOOKUP(BA45,Spiele!$A$1:$L$116,9,FALSE)</f>
        <v>Houston</v>
      </c>
      <c r="BD45" s="56" t="str">
        <f>BY42</f>
        <v>Portugal</v>
      </c>
      <c r="BE45" s="40" t="s">
        <v>24</v>
      </c>
      <c r="BF45" s="56" t="str">
        <f>BY44</f>
        <v>Usbekistan</v>
      </c>
      <c r="BG45" s="53"/>
      <c r="BH45" s="107">
        <f t="shared" ca="1" si="18"/>
        <v>0</v>
      </c>
      <c r="BI45" s="11" t="s">
        <v>25</v>
      </c>
      <c r="BJ45" s="107">
        <f t="shared" ca="1" si="19"/>
        <v>1</v>
      </c>
      <c r="BK45" s="7" t="s">
        <v>26</v>
      </c>
      <c r="BL45" s="1"/>
      <c r="BM45" s="9" t="str">
        <f ca="1">VLOOKUP(4,$BX$42:CC$45,2,FALSE)</f>
        <v>Portugal</v>
      </c>
      <c r="BN45" s="2">
        <f ca="1">VLOOKUP(4,$BX$42:$CC$45,3,FALSE)</f>
        <v>3</v>
      </c>
      <c r="BO45" s="2">
        <f ca="1">VLOOKUP(4,$BX$42:$CC$45,4,FALSE)</f>
        <v>3</v>
      </c>
      <c r="BP45" s="2">
        <f ca="1">VLOOKUP(4,$BX$42:$CC$45,5,FALSE)</f>
        <v>6</v>
      </c>
      <c r="BQ45" s="2">
        <f ca="1">VLOOKUP(4,$BX$42:$CC$45,6,FALSE)</f>
        <v>-3</v>
      </c>
      <c r="BS45" s="61">
        <f ca="1">IF(BH47="",0,IF(BK48=$B$98,IF(BH47&gt;BJ47,3,IF(BH47=BJ47,1,0)),0))</f>
        <v>0</v>
      </c>
      <c r="BT45" s="61">
        <f ca="1">IF(BH46="",0,IF(BK46=$B$98,IF(BJ46&lt;BH46,3,IF(BJ46=BH46,1,0)),0))</f>
        <v>3</v>
      </c>
      <c r="BU45" s="60">
        <f ca="1">IF(BJ44="",0,IF(BK44=$B$98,IF(BH44&lt;BJ44,3,IF(BH44=BJ44,1,0)),0))</f>
        <v>3</v>
      </c>
      <c r="BV45" s="61"/>
      <c r="BW45" s="1"/>
      <c r="BX45" s="1">
        <f ca="1">RANK(CD45,$CD$42:$CD$45)</f>
        <v>1</v>
      </c>
      <c r="BY45" s="40" t="s">
        <v>240</v>
      </c>
      <c r="BZ45" s="1">
        <f ca="1">SUM(BS45:BV45)</f>
        <v>6</v>
      </c>
      <c r="CA45" s="1">
        <f ca="1">SUM(BS49:BV49)</f>
        <v>11</v>
      </c>
      <c r="CB45" s="1">
        <f ca="1">SUM(BV46:BV49)</f>
        <v>6</v>
      </c>
      <c r="CC45" s="1">
        <f ca="1">CA45-CB45</f>
        <v>5</v>
      </c>
      <c r="CD45" s="24">
        <f ca="1">IF(BP$8="",(((((((CE45*10+BZ45)*100+CC45)*100+CA45)*10+CK45)*10+CJ45)*100+CP45)*100+CU45)*10+CV45,(((((((CE45*10+BZ45)*10+CK45)*10+CJ45)*100+CP45)*100+CU45)*100+CC45)*100+CA45)*10+CV45)</f>
        <v>603020505111</v>
      </c>
      <c r="CE45" s="207"/>
      <c r="CF45" s="218">
        <f ca="1">IF($BZ45=$BZ42,$BS45-$BV42,0)</f>
        <v>0</v>
      </c>
      <c r="CG45" s="218">
        <f ca="1">IF($BZ45=$BZ43,$BT45-$BV43,0)</f>
        <v>0</v>
      </c>
      <c r="CH45" s="218">
        <f ca="1">IF($BZ45=$BZ44,$BU45-$BV44,0)</f>
        <v>3</v>
      </c>
      <c r="CI45" s="218"/>
      <c r="CJ45" s="218">
        <f ca="1">SUM(CF45:CI45)</f>
        <v>3</v>
      </c>
      <c r="CK45" s="207"/>
      <c r="CL45" s="218">
        <f ca="1">IF($BZ45=$BZ42,$BS49-$BV46,0)</f>
        <v>0</v>
      </c>
      <c r="CM45" s="218">
        <f ca="1">IF($BZ45=$BZ43,$BT49-$BV47,0)</f>
        <v>0</v>
      </c>
      <c r="CN45" s="218">
        <f ca="1">IF($BZ45=$BZ44,$BU49-$BV48,0)</f>
        <v>2</v>
      </c>
      <c r="CO45" s="218"/>
      <c r="CP45" s="218">
        <f ca="1">SUM(CL45:CO45)</f>
        <v>2</v>
      </c>
      <c r="CQ45" s="218">
        <f ca="1">IF($BZ45=$BZ42,$BS49,0)</f>
        <v>0</v>
      </c>
      <c r="CR45" s="218">
        <f ca="1">IF($BZ45=$BZ43,$BT49,0)</f>
        <v>0</v>
      </c>
      <c r="CS45" s="218">
        <f ca="1">IF($BZ45=$BZ44,$BU49,0)</f>
        <v>5</v>
      </c>
      <c r="CT45" s="218"/>
      <c r="CU45" s="218">
        <f ca="1">SUM(CQ45:CT45)</f>
        <v>5</v>
      </c>
      <c r="CV45" s="207">
        <v>1</v>
      </c>
      <c r="CX45" s="17">
        <f ca="1">IF($CX$97="",IF(OR(Ergebnisse!BH45="",Ergebnisse!BJ45=""),0,IF(AND(BH45=Ergebnisse!BH45,BJ45=Ergebnisse!BJ45),7,MIN(7,(BH45-BJ45=Ergebnisse!BH45-Ergebnisse!BJ45)*4+(AND(BH45-BJ45&lt;&gt;Ergebnisse!BH45-Ergebnisse!BJ45,SIGN(BH45-BJ45)=SIGN(Ergebnisse!BH45-Ergebnisse!BJ45)))*2+(BH45=Ergebnisse!BH45)+(BJ45=Ergebnisse!BJ45)))),INT(RAND()*8))</f>
        <v>3</v>
      </c>
      <c r="CY45" s="17" t="str">
        <f ca="1">IF(Ergebnisse!BK45=Ergebnisse!$B$98,Ergebnisse!BK45,"")</f>
        <v>ok</v>
      </c>
      <c r="DA45" s="165" t="s">
        <v>180</v>
      </c>
      <c r="DB45" s="186">
        <f>DB47*(2*DB46)</f>
        <v>64</v>
      </c>
    </row>
    <row r="46" spans="1:106">
      <c r="A46" s="2">
        <v>37</v>
      </c>
      <c r="B46" s="6">
        <f>VLOOKUP(A46,Spiele!$A$1:$L$116,2,FALSE)</f>
        <v>46194.75</v>
      </c>
      <c r="C46" s="6" t="str">
        <f>VLOOKUP(A46,Spiele!$A$1:$L$116,9,FALSE)</f>
        <v>Miami</v>
      </c>
      <c r="D46" s="56" t="str">
        <f>Y45</f>
        <v>Uruguay</v>
      </c>
      <c r="E46" s="40" t="s">
        <v>24</v>
      </c>
      <c r="F46" s="56" t="str">
        <f>Y43</f>
        <v>Kap Verde</v>
      </c>
      <c r="G46" s="53"/>
      <c r="H46" s="107">
        <f t="shared" ca="1" si="16"/>
        <v>4</v>
      </c>
      <c r="I46" s="11" t="s">
        <v>25</v>
      </c>
      <c r="J46" s="107">
        <f t="shared" ca="1" si="17"/>
        <v>4</v>
      </c>
      <c r="K46" s="7" t="s">
        <v>26</v>
      </c>
      <c r="L46" s="1"/>
      <c r="S46" s="61"/>
      <c r="T46" s="61">
        <f ca="1">IF(K43=$B$98,H43,0)</f>
        <v>3</v>
      </c>
      <c r="U46" s="60">
        <f ca="1">IF(K45=$B$98,H45,0)</f>
        <v>0</v>
      </c>
      <c r="V46" s="61">
        <f ca="1">IF(K48=$B$98,J47,0)</f>
        <v>2</v>
      </c>
      <c r="W46" s="62"/>
      <c r="X46" s="62"/>
      <c r="Y46" s="40"/>
      <c r="Z46" s="62"/>
      <c r="AA46" s="62"/>
      <c r="AB46" s="62"/>
      <c r="AC46" s="62"/>
      <c r="AD46" s="24"/>
      <c r="AE46" s="203"/>
      <c r="AF46" s="217"/>
      <c r="AG46" s="217"/>
      <c r="AH46" s="217"/>
      <c r="AI46" s="217"/>
      <c r="AJ46" s="217"/>
      <c r="AK46" s="203"/>
      <c r="AL46" s="217"/>
      <c r="AM46" s="217"/>
      <c r="AN46" s="217"/>
      <c r="AO46" s="217"/>
      <c r="AP46" s="217"/>
      <c r="AQ46" s="217"/>
      <c r="AR46" s="217"/>
      <c r="AS46" s="217"/>
      <c r="AT46" s="217"/>
      <c r="AU46" s="217"/>
      <c r="AV46" s="203"/>
      <c r="AW46" s="2"/>
      <c r="AX46" s="17">
        <f ca="1">IF($CX$97="",IF(OR(Ergebnisse!H46="",Ergebnisse!J46=""),0,IF(AND(H46=Ergebnisse!H46,J46=Ergebnisse!J46),7,MIN(7,(H46-J46=Ergebnisse!H46-Ergebnisse!J46)*4+(AND(H46-J46&lt;&gt;Ergebnisse!H46-Ergebnisse!J46,SIGN(H46-J46)=SIGN(Ergebnisse!H46-Ergebnisse!J46)))*2+(H46=Ergebnisse!H46)+(J46=Ergebnisse!J46)))),INT(RAND()*8))</f>
        <v>0</v>
      </c>
      <c r="AY46" s="17" t="str">
        <f ca="1">IF(Ergebnisse!K46=Ergebnisse!$B$98,Ergebnisse!K46,"")</f>
        <v>ok</v>
      </c>
      <c r="AZ46" s="2"/>
      <c r="BA46" s="2">
        <v>48</v>
      </c>
      <c r="BB46" s="6">
        <f>VLOOKUP(BA46,Spiele!$A$1:$L$116,2,FALSE)</f>
        <v>46196.875</v>
      </c>
      <c r="BC46" s="6" t="str">
        <f>VLOOKUP(BA46,Spiele!$A$1:$L$116,9,FALSE)</f>
        <v>Guadalajara</v>
      </c>
      <c r="BD46" s="56" t="str">
        <f>BY45</f>
        <v>Kolumbien</v>
      </c>
      <c r="BE46" s="40" t="s">
        <v>24</v>
      </c>
      <c r="BF46" s="56" t="str">
        <f>BY43</f>
        <v>DR Kongo</v>
      </c>
      <c r="BG46" s="53"/>
      <c r="BH46" s="107">
        <f t="shared" ca="1" si="18"/>
        <v>4</v>
      </c>
      <c r="BI46" s="11" t="s">
        <v>25</v>
      </c>
      <c r="BJ46" s="107">
        <f t="shared" ca="1" si="19"/>
        <v>0</v>
      </c>
      <c r="BK46" s="7" t="s">
        <v>26</v>
      </c>
      <c r="BL46" s="1"/>
      <c r="BS46" s="61"/>
      <c r="BT46" s="61">
        <f ca="1">IF(BK43=$B$98,BH43,0)</f>
        <v>0</v>
      </c>
      <c r="BU46" s="60">
        <f ca="1">IF(BK45=$B$98,BH45,0)</f>
        <v>0</v>
      </c>
      <c r="BV46" s="61">
        <f ca="1">IF(BK48=$B$98,BJ47,0)</f>
        <v>3</v>
      </c>
      <c r="BW46" s="1"/>
      <c r="BX46" s="1"/>
      <c r="BY46" s="40"/>
      <c r="BZ46" s="1"/>
      <c r="CA46" s="1"/>
      <c r="CB46" s="1"/>
      <c r="CC46" s="1"/>
      <c r="CD46" s="24"/>
      <c r="CE46" s="207"/>
      <c r="CF46" s="218"/>
      <c r="CG46" s="218"/>
      <c r="CH46" s="218"/>
      <c r="CI46" s="218"/>
      <c r="CJ46" s="218"/>
      <c r="CK46" s="207"/>
      <c r="CL46" s="218"/>
      <c r="CM46" s="218"/>
      <c r="CN46" s="218"/>
      <c r="CO46" s="218"/>
      <c r="CP46" s="218"/>
      <c r="CQ46" s="218"/>
      <c r="CR46" s="218"/>
      <c r="CS46" s="218"/>
      <c r="CT46" s="218"/>
      <c r="CU46" s="218"/>
      <c r="CV46" s="207"/>
      <c r="CX46" s="17">
        <f ca="1">IF($CX$97="",IF(OR(Ergebnisse!BH46="",Ergebnisse!BJ46=""),0,IF(AND(BH46=Ergebnisse!BH46,BJ46=Ergebnisse!BJ46),7,MIN(7,(BH46-BJ46=Ergebnisse!BH46-Ergebnisse!BJ46)*4+(AND(BH46-BJ46&lt;&gt;Ergebnisse!BH46-Ergebnisse!BJ46,SIGN(BH46-BJ46)=SIGN(Ergebnisse!BH46-Ergebnisse!BJ46)))*2+(BH46=Ergebnisse!BH46)+(BJ46=Ergebnisse!BJ46)))),INT(RAND()*8))</f>
        <v>1</v>
      </c>
      <c r="CY46" s="17" t="str">
        <f ca="1">IF(Ergebnisse!BK46=Ergebnisse!$B$98,Ergebnisse!BK46,"")</f>
        <v>ok</v>
      </c>
      <c r="DA46" s="167" t="s">
        <v>181</v>
      </c>
      <c r="DB46" s="270">
        <v>1</v>
      </c>
    </row>
    <row r="47" spans="1:106">
      <c r="A47" s="2">
        <v>66</v>
      </c>
      <c r="B47" s="6">
        <f>VLOOKUP(A47,Spiele!$A$1:$L$116,2,FALSE)</f>
        <v>46199.791666666672</v>
      </c>
      <c r="C47" s="6" t="str">
        <f>VLOOKUP(A47,Spiele!$A$1:$L$116,9,FALSE)</f>
        <v>Guadalajara</v>
      </c>
      <c r="D47" s="56" t="str">
        <f>Y45</f>
        <v>Uruguay</v>
      </c>
      <c r="E47" s="40" t="s">
        <v>24</v>
      </c>
      <c r="F47" s="56" t="str">
        <f>Y42</f>
        <v>Spanien</v>
      </c>
      <c r="G47" s="53"/>
      <c r="H47" s="107">
        <f t="shared" ca="1" si="16"/>
        <v>5</v>
      </c>
      <c r="I47" s="11" t="s">
        <v>25</v>
      </c>
      <c r="J47" s="107">
        <f t="shared" ca="1" si="17"/>
        <v>2</v>
      </c>
      <c r="K47" s="7" t="s">
        <v>26</v>
      </c>
      <c r="L47" s="1"/>
      <c r="M47" s="233" t="str">
        <f ca="1">IF(N42&gt;0,M42,"")</f>
        <v>Saudiarabien</v>
      </c>
      <c r="N47" s="2" t="s">
        <v>241</v>
      </c>
      <c r="S47" s="61">
        <f ca="1">IF(K43=$B$98,J43,0)</f>
        <v>3</v>
      </c>
      <c r="T47" s="61"/>
      <c r="U47" s="60">
        <f ca="1">IF(K47=$B$98,H48,0)</f>
        <v>3</v>
      </c>
      <c r="V47" s="61">
        <f ca="1">IF(K46=$B$98,J46,0)</f>
        <v>4</v>
      </c>
      <c r="W47" s="62"/>
      <c r="X47" s="62"/>
      <c r="Y47" s="40"/>
      <c r="Z47" s="62"/>
      <c r="AA47" s="62"/>
      <c r="AB47" s="62"/>
      <c r="AC47" s="62"/>
      <c r="AD47" s="24" t="s">
        <v>140</v>
      </c>
      <c r="AE47" s="203"/>
      <c r="AF47" s="217"/>
      <c r="AG47" s="217"/>
      <c r="AH47" s="217"/>
      <c r="AI47" s="217"/>
      <c r="AJ47" s="217"/>
      <c r="AK47" s="203"/>
      <c r="AL47" s="217"/>
      <c r="AM47" s="217"/>
      <c r="AN47" s="217"/>
      <c r="AO47" s="217"/>
      <c r="AP47" s="217"/>
      <c r="AQ47" s="217"/>
      <c r="AR47" s="217"/>
      <c r="AS47" s="217"/>
      <c r="AT47" s="217"/>
      <c r="AU47" s="217"/>
      <c r="AV47" s="203"/>
      <c r="AW47" s="2"/>
      <c r="AX47" s="17">
        <f ca="1">IF($CX$97="",IF(OR(Ergebnisse!H47="",Ergebnisse!J47=""),0,IF(AND(H47=Ergebnisse!H47,J47=Ergebnisse!J47),7,MIN(7,(H47-J47=Ergebnisse!H47-Ergebnisse!J47)*4+(AND(H47-J47&lt;&gt;Ergebnisse!H47-Ergebnisse!J47,SIGN(H47-J47)=SIGN(Ergebnisse!H47-Ergebnisse!J47)))*2+(H47=Ergebnisse!H47)+(J47=Ergebnisse!J47)))),INT(RAND()*8))</f>
        <v>0</v>
      </c>
      <c r="AY47" s="17" t="str">
        <f ca="1">IF(Ergebnisse!K47=Ergebnisse!$B$98,Ergebnisse!K47,"")</f>
        <v>ok</v>
      </c>
      <c r="AZ47" s="2"/>
      <c r="BA47" s="2">
        <v>72</v>
      </c>
      <c r="BB47" s="6">
        <f>VLOOKUP(BA47,Spiele!$A$1:$L$116,2,FALSE)</f>
        <v>46200.8125</v>
      </c>
      <c r="BC47" s="6" t="str">
        <f>VLOOKUP(BA47,Spiele!$A$1:$L$116,9,FALSE)</f>
        <v>Atlanta</v>
      </c>
      <c r="BD47" s="56" t="str">
        <f>BY45</f>
        <v>Kolumbien</v>
      </c>
      <c r="BE47" s="40" t="s">
        <v>24</v>
      </c>
      <c r="BF47" s="56" t="str">
        <f>BY42</f>
        <v>Portugal</v>
      </c>
      <c r="BG47" s="53"/>
      <c r="BH47" s="107">
        <f t="shared" ca="1" si="18"/>
        <v>2</v>
      </c>
      <c r="BI47" s="11" t="s">
        <v>25</v>
      </c>
      <c r="BJ47" s="107">
        <f t="shared" ca="1" si="19"/>
        <v>3</v>
      </c>
      <c r="BK47" s="7" t="s">
        <v>26</v>
      </c>
      <c r="BL47" s="1"/>
      <c r="BM47" s="9" t="str">
        <f ca="1">IF(BN42&gt;0,BM42,"")</f>
        <v>Kolumbien</v>
      </c>
      <c r="BN47" s="2" t="s">
        <v>242</v>
      </c>
      <c r="BS47" s="61">
        <f ca="1">IF(BK43=$B$98,BJ43,0)</f>
        <v>3</v>
      </c>
      <c r="BT47" s="61"/>
      <c r="BU47" s="60">
        <f ca="1">IF(BK47=$B$98,BH48,0)</f>
        <v>1</v>
      </c>
      <c r="BV47" s="61">
        <f ca="1">IF(BK46=$B$98,BJ46,0)</f>
        <v>0</v>
      </c>
      <c r="BW47" s="1"/>
      <c r="BX47" s="1"/>
      <c r="BY47" s="40"/>
      <c r="BZ47" s="1"/>
      <c r="CA47" s="1"/>
      <c r="CB47" s="1"/>
      <c r="CC47" s="1"/>
      <c r="CD47" s="24" t="s">
        <v>140</v>
      </c>
      <c r="CE47" s="207"/>
      <c r="CF47" s="218"/>
      <c r="CG47" s="218"/>
      <c r="CH47" s="218"/>
      <c r="CI47" s="218"/>
      <c r="CJ47" s="218"/>
      <c r="CK47" s="207"/>
      <c r="CL47" s="218"/>
      <c r="CM47" s="218"/>
      <c r="CN47" s="218"/>
      <c r="CO47" s="218"/>
      <c r="CP47" s="218"/>
      <c r="CQ47" s="218"/>
      <c r="CR47" s="218"/>
      <c r="CS47" s="218"/>
      <c r="CT47" s="218"/>
      <c r="CU47" s="218"/>
      <c r="CV47" s="207"/>
      <c r="CX47" s="17">
        <f ca="1">IF($CX$97="",IF(OR(Ergebnisse!BH47="",Ergebnisse!BJ47=""),0,IF(AND(BH47=Ergebnisse!BH47,BJ47=Ergebnisse!BJ47),7,MIN(7,(BH47-BJ47=Ergebnisse!BH47-Ergebnisse!BJ47)*4+(AND(BH47-BJ47&lt;&gt;Ergebnisse!BH47-Ergebnisse!BJ47,SIGN(BH47-BJ47)=SIGN(Ergebnisse!BH47-Ergebnisse!BJ47)))*2+(BH47=Ergebnisse!BH47)+(BJ47=Ergebnisse!BJ47)))),INT(RAND()*8))</f>
        <v>2</v>
      </c>
      <c r="CY47" s="17" t="str">
        <f ca="1">IF(Ergebnisse!BK47=Ergebnisse!$B$98,Ergebnisse!BK47,"")</f>
        <v>ok</v>
      </c>
      <c r="DA47" s="168" t="s">
        <v>182</v>
      </c>
      <c r="DB47" s="188">
        <v>32</v>
      </c>
    </row>
    <row r="48" spans="1:106">
      <c r="A48" s="2">
        <v>65</v>
      </c>
      <c r="B48" s="6">
        <f>VLOOKUP(A48,Spiele!$A$1:$L$116,2,FALSE)</f>
        <v>46199.791666666672</v>
      </c>
      <c r="C48" s="6" t="str">
        <f>VLOOKUP(A48,Spiele!$A$1:$L$116,9,FALSE)</f>
        <v>Houston</v>
      </c>
      <c r="D48" s="56" t="str">
        <f>Y43</f>
        <v>Kap Verde</v>
      </c>
      <c r="E48" s="40" t="s">
        <v>24</v>
      </c>
      <c r="F48" s="56" t="str">
        <f>Y44</f>
        <v>Saudiarabien</v>
      </c>
      <c r="G48" s="53"/>
      <c r="H48" s="107">
        <f t="shared" ca="1" si="16"/>
        <v>3</v>
      </c>
      <c r="I48" s="11" t="s">
        <v>25</v>
      </c>
      <c r="J48" s="107">
        <f t="shared" ca="1" si="17"/>
        <v>6</v>
      </c>
      <c r="K48" s="7" t="s">
        <v>26</v>
      </c>
      <c r="L48" s="1"/>
      <c r="M48" s="233" t="str">
        <f ca="1">IF(N43&gt;0,M43,"")</f>
        <v>Uruguay</v>
      </c>
      <c r="N48" s="2" t="s">
        <v>243</v>
      </c>
      <c r="P48" s="2" t="s">
        <v>11</v>
      </c>
      <c r="S48" s="61">
        <f ca="1">IF(K45=$B$98,J45,0)</f>
        <v>3</v>
      </c>
      <c r="T48" s="61">
        <f ca="1">IF(K47=$B$98,J48,0)</f>
        <v>6</v>
      </c>
      <c r="U48" s="60"/>
      <c r="V48" s="61">
        <f ca="1">IF(K44=$B$98,H44,0)</f>
        <v>3</v>
      </c>
      <c r="W48" s="62"/>
      <c r="X48" s="62"/>
      <c r="Y48" s="40"/>
      <c r="Z48" s="62"/>
      <c r="AA48" s="62"/>
      <c r="AB48" s="62"/>
      <c r="AC48" s="62"/>
      <c r="AD48" s="24" t="s">
        <v>141</v>
      </c>
      <c r="AE48" s="203"/>
      <c r="AF48" s="217"/>
      <c r="AG48" s="217"/>
      <c r="AH48" s="217"/>
      <c r="AI48" s="217"/>
      <c r="AJ48" s="217"/>
      <c r="AK48" s="203"/>
      <c r="AL48" s="217"/>
      <c r="AM48" s="217"/>
      <c r="AN48" s="217"/>
      <c r="AO48" s="217"/>
      <c r="AP48" s="217"/>
      <c r="AQ48" s="217"/>
      <c r="AR48" s="217"/>
      <c r="AS48" s="217"/>
      <c r="AT48" s="217"/>
      <c r="AU48" s="217"/>
      <c r="AV48" s="203"/>
      <c r="AW48" s="2"/>
      <c r="AX48" s="17">
        <f ca="1">IF($CX$97="",IF(OR(Ergebnisse!H48="",Ergebnisse!J48=""),0,IF(AND(H48=Ergebnisse!H48,J48=Ergebnisse!J48),7,MIN(7,(H48-J48=Ergebnisse!H48-Ergebnisse!J48)*4+(AND(H48-J48&lt;&gt;Ergebnisse!H48-Ergebnisse!J48,SIGN(H48-J48)=SIGN(Ergebnisse!H48-Ergebnisse!J48)))*2+(H48=Ergebnisse!H48)+(J48=Ergebnisse!J48)))),INT(RAND()*8))</f>
        <v>0</v>
      </c>
      <c r="AY48" s="17" t="str">
        <f ca="1">IF(Ergebnisse!K48=Ergebnisse!$B$98,Ergebnisse!K48,"")</f>
        <v>ok</v>
      </c>
      <c r="AZ48" s="2"/>
      <c r="BA48" s="2">
        <v>71</v>
      </c>
      <c r="BB48" s="6">
        <f>VLOOKUP(BA48,Spiele!$A$1:$L$116,2,FALSE)</f>
        <v>46200.8125</v>
      </c>
      <c r="BC48" s="6" t="str">
        <f>VLOOKUP(BA48,Spiele!$A$1:$L$116,9,FALSE)</f>
        <v>Miami</v>
      </c>
      <c r="BD48" s="56" t="str">
        <f>BY43</f>
        <v>DR Kongo</v>
      </c>
      <c r="BE48" s="40" t="s">
        <v>24</v>
      </c>
      <c r="BF48" s="56" t="str">
        <f>BY44</f>
        <v>Usbekistan</v>
      </c>
      <c r="BG48" s="53"/>
      <c r="BH48" s="107">
        <f t="shared" ca="1" si="18"/>
        <v>1</v>
      </c>
      <c r="BI48" s="11" t="s">
        <v>25</v>
      </c>
      <c r="BJ48" s="107">
        <f t="shared" ca="1" si="19"/>
        <v>3</v>
      </c>
      <c r="BK48" s="7" t="s">
        <v>26</v>
      </c>
      <c r="BL48" s="1"/>
      <c r="BM48" s="9" t="str">
        <f ca="1">IF(BN43&gt;0,BM43,"")</f>
        <v>Usbekistan</v>
      </c>
      <c r="BN48" s="2" t="s">
        <v>244</v>
      </c>
      <c r="BP48" s="2" t="s">
        <v>11</v>
      </c>
      <c r="BS48" s="61">
        <f ca="1">IF(BK45=$B$98,BJ45,0)</f>
        <v>1</v>
      </c>
      <c r="BT48" s="61">
        <f ca="1">IF(BK47=$B$98,BJ48,0)</f>
        <v>3</v>
      </c>
      <c r="BU48" s="60"/>
      <c r="BV48" s="61">
        <f ca="1">IF(BK44=$B$98,BH44,0)</f>
        <v>3</v>
      </c>
      <c r="BW48" s="1"/>
      <c r="BX48" s="1"/>
      <c r="BY48" s="40"/>
      <c r="BZ48" s="1"/>
      <c r="CA48" s="1"/>
      <c r="CB48" s="1"/>
      <c r="CC48" s="1"/>
      <c r="CD48" s="24" t="s">
        <v>141</v>
      </c>
      <c r="CE48" s="207"/>
      <c r="CF48" s="218"/>
      <c r="CG48" s="218"/>
      <c r="CH48" s="218"/>
      <c r="CI48" s="218"/>
      <c r="CJ48" s="218"/>
      <c r="CK48" s="207"/>
      <c r="CL48" s="218"/>
      <c r="CM48" s="218"/>
      <c r="CN48" s="218"/>
      <c r="CO48" s="218"/>
      <c r="CP48" s="218"/>
      <c r="CQ48" s="218"/>
      <c r="CR48" s="218"/>
      <c r="CS48" s="218"/>
      <c r="CT48" s="218"/>
      <c r="CU48" s="218"/>
      <c r="CV48" s="207"/>
      <c r="CX48" s="17">
        <f ca="1">IF($CX$97="",IF(OR(Ergebnisse!BH48="",Ergebnisse!BJ48=""),0,IF(AND(BH48=Ergebnisse!BH48,BJ48=Ergebnisse!BJ48),7,MIN(7,(BH48-BJ48=Ergebnisse!BH48-Ergebnisse!BJ48)*4+(AND(BH48-BJ48&lt;&gt;Ergebnisse!BH48-Ergebnisse!BJ48,SIGN(BH48-BJ48)=SIGN(Ergebnisse!BH48-Ergebnisse!BJ48)))*2+(BH48=Ergebnisse!BH48)+(BJ48=Ergebnisse!BJ48)))),INT(RAND()*8))</f>
        <v>0</v>
      </c>
      <c r="CY48" s="17" t="str">
        <f ca="1">IF(Ergebnisse!BK48=Ergebnisse!$B$98,Ergebnisse!BK48,"")</f>
        <v>ok</v>
      </c>
      <c r="DA48" s="163"/>
      <c r="DB48" s="187"/>
    </row>
    <row r="49" spans="1:106">
      <c r="E49" s="55"/>
      <c r="F49" s="55"/>
      <c r="G49" s="55"/>
      <c r="M49" s="233" t="str">
        <f ca="1">IF(N44&gt;0,M44,"")</f>
        <v>Kap Verde</v>
      </c>
      <c r="N49" s="2" t="s">
        <v>245</v>
      </c>
      <c r="S49" s="61">
        <f ca="1">IF(K48=$B$98,H47,0)</f>
        <v>5</v>
      </c>
      <c r="T49" s="61">
        <f ca="1">IF(K46=$B$98,H46,0)</f>
        <v>4</v>
      </c>
      <c r="U49" s="61">
        <f ca="1">IF(K44=$B$98,J44,0)</f>
        <v>0</v>
      </c>
      <c r="V49" s="60"/>
      <c r="AD49" s="55" t="s">
        <v>143</v>
      </c>
      <c r="AE49" s="108"/>
      <c r="AF49" s="219"/>
      <c r="AG49" s="219"/>
      <c r="AH49" s="219"/>
      <c r="AI49" s="219"/>
      <c r="AJ49" s="219"/>
      <c r="AK49" s="219"/>
      <c r="AL49" s="219"/>
      <c r="AM49" s="219"/>
      <c r="AN49" s="219"/>
      <c r="AO49" s="219"/>
      <c r="AP49" s="219"/>
      <c r="AQ49" s="219"/>
      <c r="AR49" s="219"/>
      <c r="AS49" s="219"/>
      <c r="AT49" s="219"/>
      <c r="AV49" s="219"/>
      <c r="AW49" s="2"/>
      <c r="AX49" s="229">
        <f ca="1">IF($CX$97="",2*COUNTIF(Ergebnisse!$D$63:'Ergebnisse'!$F$78,M49),2*INT(RAND()*2))</f>
        <v>0</v>
      </c>
      <c r="AY49" s="17" t="str">
        <f ca="1">IF(COUNTIF(Ergebnisse!K43:'Ergebnisse'!K48,Ergebnisse!$B$98)=6,"ok","")</f>
        <v>ok</v>
      </c>
      <c r="AZ49" s="2"/>
      <c r="BB49" s="2" t="s">
        <v>2</v>
      </c>
      <c r="BE49" s="55"/>
      <c r="BF49" s="55"/>
      <c r="BG49" s="55"/>
      <c r="BM49" s="232" t="str">
        <f ca="1">IF(BN44&gt;0,BM44,"")</f>
        <v>DR Kongo</v>
      </c>
      <c r="BN49" s="2" t="s">
        <v>246</v>
      </c>
      <c r="BS49" s="61">
        <f ca="1">IF(BK48=$B$98,BH47,0)</f>
        <v>2</v>
      </c>
      <c r="BT49" s="61">
        <f ca="1">IF(BK46=$B$98,BH46,0)</f>
        <v>4</v>
      </c>
      <c r="BU49" s="61">
        <f ca="1">IF(BK44=$B$98,BJ44,0)</f>
        <v>5</v>
      </c>
      <c r="BV49" s="60"/>
      <c r="CD49" s="2" t="s">
        <v>143</v>
      </c>
      <c r="CE49" s="8"/>
      <c r="CF49" s="220"/>
      <c r="CG49" s="220"/>
      <c r="CH49" s="220"/>
      <c r="CI49" s="220"/>
      <c r="CJ49" s="220"/>
      <c r="CK49" s="220"/>
      <c r="CL49" s="220"/>
      <c r="CM49" s="220"/>
      <c r="CN49" s="220"/>
      <c r="CO49" s="220"/>
      <c r="CP49" s="220"/>
      <c r="CQ49" s="220"/>
      <c r="CR49" s="220"/>
      <c r="CS49" s="220"/>
      <c r="CT49" s="220"/>
      <c r="CV49" s="220"/>
      <c r="CX49" s="231">
        <f ca="1">IF($CX$97="",2*COUNTIF(Ergebnisse!$D$63:'Ergebnisse'!$F$78,BM49),2*INT(RAND()*2))</f>
        <v>2</v>
      </c>
      <c r="CY49" s="17" t="str">
        <f ca="1">IF(COUNTIF(Ergebnisse!BK43:'Ergebnisse'!BK48,Ergebnisse!$B$98)=6,"ok","")</f>
        <v>ok</v>
      </c>
      <c r="DA49" s="165" t="s">
        <v>74</v>
      </c>
      <c r="DB49" s="186">
        <f>DB3+DB9+DB14+DB19+DB25+DB32+DB38+DB43+DB45</f>
        <v>1000</v>
      </c>
    </row>
    <row r="50" spans="1:106">
      <c r="D50" s="55"/>
      <c r="E50" s="58"/>
      <c r="F50" s="59"/>
      <c r="G50" s="59"/>
      <c r="H50" s="55"/>
      <c r="I50" s="55"/>
      <c r="J50" s="55"/>
      <c r="AE50" s="108"/>
      <c r="AF50" s="219"/>
      <c r="AG50" s="219"/>
      <c r="AH50" s="219"/>
      <c r="AI50" s="219"/>
      <c r="AJ50" s="219"/>
      <c r="AK50" s="219"/>
      <c r="AL50" s="219"/>
      <c r="AM50" s="219"/>
      <c r="AN50" s="219"/>
      <c r="AO50" s="219"/>
      <c r="AP50" s="219"/>
      <c r="AQ50" s="219"/>
      <c r="AR50" s="219"/>
      <c r="AS50" s="219"/>
      <c r="AT50" s="219"/>
      <c r="AV50" s="219"/>
      <c r="AW50" s="2"/>
      <c r="AZ50" s="2"/>
      <c r="BD50" s="55"/>
      <c r="BE50" s="58"/>
      <c r="BF50" s="59"/>
      <c r="BG50" s="59"/>
      <c r="BH50" s="55"/>
      <c r="BI50" s="55"/>
      <c r="BJ50" s="55"/>
      <c r="BS50" s="55"/>
      <c r="BT50" s="55"/>
      <c r="BU50" s="55"/>
      <c r="BV50" s="55"/>
      <c r="CE50" s="8"/>
      <c r="CF50" s="220"/>
      <c r="CG50" s="220"/>
      <c r="CH50" s="220"/>
      <c r="CI50" s="220"/>
      <c r="CJ50" s="220"/>
      <c r="CK50" s="220"/>
      <c r="CL50" s="220"/>
      <c r="CM50" s="220"/>
      <c r="CN50" s="220"/>
      <c r="CO50" s="220"/>
      <c r="CP50" s="220"/>
      <c r="CQ50" s="220"/>
      <c r="CR50" s="220"/>
      <c r="CS50" s="220"/>
      <c r="CT50" s="220"/>
      <c r="CV50" s="220"/>
      <c r="CX50" s="1"/>
    </row>
    <row r="51" spans="1:106">
      <c r="A51" s="10"/>
      <c r="B51" s="234" t="s">
        <v>0</v>
      </c>
      <c r="C51" s="235" t="s">
        <v>247</v>
      </c>
      <c r="D51" s="53" t="s">
        <v>2</v>
      </c>
      <c r="E51" s="54"/>
      <c r="F51" s="53"/>
      <c r="G51" s="53"/>
      <c r="H51" s="20"/>
      <c r="I51" s="19"/>
      <c r="J51" s="20"/>
      <c r="K51" s="180"/>
      <c r="L51" s="17"/>
      <c r="M51" s="35" t="s">
        <v>3</v>
      </c>
      <c r="N51" s="17" t="s">
        <v>4</v>
      </c>
      <c r="O51" s="17" t="s">
        <v>5</v>
      </c>
      <c r="P51" s="17" t="s">
        <v>6</v>
      </c>
      <c r="Q51" s="17" t="s">
        <v>7</v>
      </c>
      <c r="R51" s="17"/>
      <c r="W51" s="53"/>
      <c r="X51" s="53" t="s">
        <v>8</v>
      </c>
      <c r="Y51" s="56" t="s">
        <v>9</v>
      </c>
      <c r="Z51" s="53" t="s">
        <v>4</v>
      </c>
      <c r="AA51" s="53" t="s">
        <v>5</v>
      </c>
      <c r="AB51" s="53" t="s">
        <v>6</v>
      </c>
      <c r="AC51" s="53" t="s">
        <v>7</v>
      </c>
      <c r="AD51" s="53"/>
      <c r="AE51" s="19" t="s">
        <v>10</v>
      </c>
      <c r="AF51" s="40" t="s">
        <v>11</v>
      </c>
      <c r="AG51" s="40"/>
      <c r="AH51" s="40"/>
      <c r="AI51" s="40"/>
      <c r="AJ51" s="40" t="s">
        <v>12</v>
      </c>
      <c r="AK51" s="56" t="s">
        <v>13</v>
      </c>
      <c r="AL51" s="40" t="s">
        <v>14</v>
      </c>
      <c r="AM51" s="40"/>
      <c r="AN51" s="40"/>
      <c r="AO51" s="40"/>
      <c r="AP51" s="40" t="s">
        <v>15</v>
      </c>
      <c r="AQ51" s="40" t="s">
        <v>16</v>
      </c>
      <c r="AR51" s="40"/>
      <c r="AS51" s="40"/>
      <c r="AT51" s="40"/>
      <c r="AU51" s="58" t="s">
        <v>17</v>
      </c>
      <c r="AV51" s="56" t="s">
        <v>18</v>
      </c>
      <c r="AW51" s="10"/>
      <c r="AX51" s="234">
        <f ca="1">IF($CX$97="",2*COUNTIF(Ergebnisse!$D$63:'Ergebnisse'!$F$78,M57),2*INT(RAND()*2))</f>
        <v>0</v>
      </c>
      <c r="AY51" s="17" t="str">
        <f ca="1">IF(COUNTIF(Ergebnisse!K53:'Ergebnisse'!K58,Ergebnisse!$B$98)=6,"ok","")</f>
        <v>ok</v>
      </c>
      <c r="AZ51" s="10"/>
      <c r="BA51" s="10"/>
      <c r="BB51" s="236" t="s">
        <v>0</v>
      </c>
      <c r="BC51" s="237" t="s">
        <v>248</v>
      </c>
      <c r="BD51" s="53" t="s">
        <v>2</v>
      </c>
      <c r="BE51" s="54"/>
      <c r="BF51" s="53"/>
      <c r="BG51" s="53"/>
      <c r="BH51" s="20"/>
      <c r="BI51" s="19"/>
      <c r="BJ51" s="20"/>
      <c r="BK51" s="180"/>
      <c r="BL51" s="17"/>
      <c r="BM51" s="35" t="s">
        <v>3</v>
      </c>
      <c r="BN51" s="17" t="s">
        <v>4</v>
      </c>
      <c r="BO51" s="17" t="s">
        <v>5</v>
      </c>
      <c r="BP51" s="17" t="s">
        <v>6</v>
      </c>
      <c r="BQ51" s="17" t="s">
        <v>7</v>
      </c>
      <c r="BR51" s="17"/>
      <c r="BS51" s="55"/>
      <c r="BT51" s="55"/>
      <c r="BU51" s="55"/>
      <c r="BV51" s="55"/>
      <c r="BW51" s="17"/>
      <c r="BX51" s="17" t="s">
        <v>8</v>
      </c>
      <c r="BY51" s="56" t="s">
        <v>9</v>
      </c>
      <c r="BZ51" s="17" t="s">
        <v>4</v>
      </c>
      <c r="CA51" s="17" t="s">
        <v>5</v>
      </c>
      <c r="CB51" s="17" t="s">
        <v>6</v>
      </c>
      <c r="CC51" s="17" t="s">
        <v>7</v>
      </c>
      <c r="CD51" s="17"/>
      <c r="CE51" s="180" t="s">
        <v>10</v>
      </c>
      <c r="CF51" s="15" t="s">
        <v>11</v>
      </c>
      <c r="CG51" s="15"/>
      <c r="CH51" s="15"/>
      <c r="CI51" s="15"/>
      <c r="CJ51" s="15" t="s">
        <v>12</v>
      </c>
      <c r="CK51" s="21" t="s">
        <v>13</v>
      </c>
      <c r="CL51" s="15" t="s">
        <v>14</v>
      </c>
      <c r="CM51" s="15"/>
      <c r="CN51" s="15"/>
      <c r="CO51" s="15"/>
      <c r="CP51" s="15" t="s">
        <v>15</v>
      </c>
      <c r="CQ51" s="15" t="s">
        <v>16</v>
      </c>
      <c r="CR51" s="15"/>
      <c r="CS51" s="15"/>
      <c r="CT51" s="15"/>
      <c r="CU51" s="16" t="s">
        <v>17</v>
      </c>
      <c r="CV51" s="21" t="s">
        <v>18</v>
      </c>
      <c r="CW51" s="10"/>
      <c r="CX51" s="236">
        <f ca="1">IF($CX$97="",2*COUNTIF(Ergebnisse!$D$63:'Ergebnisse'!$F$78,BM57),2*INT(RAND()*2))</f>
        <v>2</v>
      </c>
      <c r="CY51" s="17" t="str">
        <f ca="1">IF(COUNTIF(Ergebnisse!BK53:'Ergebnisse'!BK58,Ergebnisse!$B$98)=6,"ok","")</f>
        <v>ok</v>
      </c>
      <c r="CZ51" s="10"/>
    </row>
    <row r="52" spans="1:106">
      <c r="B52" s="3" t="s">
        <v>22</v>
      </c>
      <c r="C52" s="3" t="s">
        <v>23</v>
      </c>
      <c r="D52" s="55"/>
      <c r="E52" s="55"/>
      <c r="F52" s="55"/>
      <c r="G52" s="55"/>
      <c r="L52" s="1"/>
      <c r="M52" s="9" t="str">
        <f ca="1">VLOOKUP(1,$X$52:$AC$55,2,FALSE)</f>
        <v>Norwegen</v>
      </c>
      <c r="N52" s="2">
        <f ca="1">VLOOKUP(1,$X$52:$AC$55,3,FALSE)</f>
        <v>7</v>
      </c>
      <c r="O52" s="2">
        <f ca="1">VLOOKUP(1,$X$52:$AC$55,4,FALSE)</f>
        <v>11</v>
      </c>
      <c r="P52" s="2">
        <f ca="1">VLOOKUP(1,$X$52:$AC$55,5,FALSE)</f>
        <v>8</v>
      </c>
      <c r="Q52" s="2">
        <f ca="1">VLOOKUP(1,$X$52:$AC$55,6,FALSE)</f>
        <v>3</v>
      </c>
      <c r="S52" s="60"/>
      <c r="T52" s="61">
        <f ca="1">IF(H53="",0,IF(K53=$B$98,IF(H53&gt;J53,3,IF(H53=J53,1,0)),0))</f>
        <v>3</v>
      </c>
      <c r="U52" s="61">
        <f ca="1">IF(H55="",0,IF(K55=$B$98,IF(H55&gt;J55,3,IF(H55=J55,1,0)),0))</f>
        <v>0</v>
      </c>
      <c r="V52" s="61">
        <f ca="1">IF(J57="",0,IF(K58=$B$98,IF(H57&lt;J57,3,IF(H57=J57,1,0)),0))</f>
        <v>0</v>
      </c>
      <c r="W52" s="62"/>
      <c r="X52" s="62">
        <f ca="1">RANK(AD52,$AD$52:$AD$55)</f>
        <v>3</v>
      </c>
      <c r="Y52" s="40" t="s">
        <v>69</v>
      </c>
      <c r="Z52" s="62">
        <f ca="1">SUM(S52:V52)</f>
        <v>3</v>
      </c>
      <c r="AA52" s="62">
        <f ca="1">SUM(S56:V56)</f>
        <v>8</v>
      </c>
      <c r="AB52" s="62">
        <f ca="1">SUM(S56:S59)</f>
        <v>6</v>
      </c>
      <c r="AC52" s="62">
        <f ca="1">AA52-AB52</f>
        <v>2</v>
      </c>
      <c r="AD52" s="24">
        <f ca="1">IF(P$28="",(((((((AE52*10+Z52)*100+AC52)*100+AA52)*10+AK52)*10+AJ52)*100+AP52)*100+AU52)*10+AV52,(((((((AE52*10+Z52)*10+AK52)*10+AJ52)*100+AP52)*100+AU52)*100+AC52)*100+AA52)*10+AV52)</f>
        <v>303060602084</v>
      </c>
      <c r="AE52" s="203"/>
      <c r="AF52" s="217"/>
      <c r="AG52" s="217">
        <f ca="1">IF($Z52=$Z53,$T52-$S53,0)</f>
        <v>3</v>
      </c>
      <c r="AH52" s="217">
        <f ca="1">IF($Z52=$Z54,$U52-$S54,0)</f>
        <v>0</v>
      </c>
      <c r="AI52" s="217">
        <f ca="1">IF($Z52=$Z55,$V52-$S55,0)</f>
        <v>0</v>
      </c>
      <c r="AJ52" s="217">
        <f ca="1">SUM(AF52:AI52)</f>
        <v>3</v>
      </c>
      <c r="AK52" s="203"/>
      <c r="AL52" s="217"/>
      <c r="AM52" s="217">
        <f ca="1">IF($Z52=$Z53,$T56-$S57,0)</f>
        <v>6</v>
      </c>
      <c r="AN52" s="217">
        <f ca="1">IF($Z52=$Z54,$U56-$S58,0)</f>
        <v>0</v>
      </c>
      <c r="AO52" s="217">
        <f ca="1">IF($Z52=$Z55,$V56-$S59,0)</f>
        <v>0</v>
      </c>
      <c r="AP52" s="217">
        <f ca="1">SUM(AL52:AO52)</f>
        <v>6</v>
      </c>
      <c r="AQ52" s="217"/>
      <c r="AR52" s="217">
        <f ca="1">IF($Z52=$Z53,$T56,0)</f>
        <v>6</v>
      </c>
      <c r="AS52" s="217">
        <f ca="1">IF($Z52=$Z54,$U56,0)</f>
        <v>0</v>
      </c>
      <c r="AT52" s="217">
        <f ca="1">IF($Z52=$Z55,$V56,0)</f>
        <v>0</v>
      </c>
      <c r="AU52" s="217">
        <f ca="1">SUM(AQ52:AT52)</f>
        <v>6</v>
      </c>
      <c r="AV52" s="203">
        <v>4</v>
      </c>
      <c r="AW52" s="2"/>
      <c r="AX52" s="234">
        <f ca="1">IF($CX$97="",2*COUNTIF(Ergebnisse!$D$63:'Ergebnisse'!$F$78,M58),2*INT(RAND()*2))</f>
        <v>2</v>
      </c>
      <c r="AY52" s="17" t="str">
        <f ca="1">IF(COUNTIF(Ergebnisse!K53:'Ergebnisse'!K58,Ergebnisse!$B$98)=6,"ok","")</f>
        <v>ok</v>
      </c>
      <c r="AZ52" s="2"/>
      <c r="BB52" s="3" t="s">
        <v>22</v>
      </c>
      <c r="BC52" s="3" t="s">
        <v>23</v>
      </c>
      <c r="BD52" s="55"/>
      <c r="BE52" s="55"/>
      <c r="BF52" s="55"/>
      <c r="BG52" s="55"/>
      <c r="BL52" s="1"/>
      <c r="BM52" s="9" t="str">
        <f ca="1">VLOOKUP(1,$BX$52:$CC$55,2,FALSE)</f>
        <v>Ghana</v>
      </c>
      <c r="BN52" s="2">
        <f ca="1">VLOOKUP(1,$BX$52:$CC$55,3,FALSE)</f>
        <v>6</v>
      </c>
      <c r="BO52" s="2">
        <f ca="1">VLOOKUP(1,$BX$52:$CC$55,4,FALSE)</f>
        <v>9</v>
      </c>
      <c r="BP52" s="2">
        <f ca="1">VLOOKUP(1,$BX$52:$CC$55,5,FALSE)</f>
        <v>7</v>
      </c>
      <c r="BQ52" s="2">
        <f ca="1">VLOOKUP(1,$BX$52:$CC$55,6,FALSE)</f>
        <v>2</v>
      </c>
      <c r="BS52" s="60"/>
      <c r="BT52" s="61">
        <f ca="1">IF(BH53="",0,IF(BK53=$B$98,IF(BH53&gt;BJ53,3,IF(BH53=BJ53,1,0)),0))</f>
        <v>3</v>
      </c>
      <c r="BU52" s="61">
        <f ca="1">IF(BH55="",0,IF(BK55=$B$98,IF(BH55&gt;BJ55,3,IF(BH55=BJ55,1,0)),0))</f>
        <v>0</v>
      </c>
      <c r="BV52" s="61">
        <f ca="1">IF(BJ57="",0,IF(BK58=$B$98,IF(BH57&lt;BJ57,3,IF(BH57=BJ57,1,0)),0))</f>
        <v>0</v>
      </c>
      <c r="BW52" s="1"/>
      <c r="BX52" s="1">
        <f ca="1">RANK(CD52,$CD$52:$CD$55)</f>
        <v>4</v>
      </c>
      <c r="BY52" s="40" t="s">
        <v>70</v>
      </c>
      <c r="BZ52" s="1">
        <f ca="1">SUM(BS52:BV52)</f>
        <v>3</v>
      </c>
      <c r="CA52" s="1">
        <f ca="1">SUM(BS56:BV56)</f>
        <v>6</v>
      </c>
      <c r="CB52" s="1">
        <f ca="1">SUM(BS56:BS59)</f>
        <v>9</v>
      </c>
      <c r="CC52" s="1">
        <f ca="1">CA52-CB52</f>
        <v>-3</v>
      </c>
      <c r="CD52" s="24">
        <f ca="1">IF(BP$28="",(((((((CE52*10+BZ52)*100+CC52)*100+CA52)*10+CK52)*10+CJ52)*100+CP52)*100+CU52)*10+CV52,(((((((CE52*10+BZ52)*10+CK52)*10+CJ52)*100+CP52)*100+CU52)*100+CC52)*100+CA52)*10+CV52)</f>
        <v>299999997064</v>
      </c>
      <c r="CE52" s="207"/>
      <c r="CF52" s="218"/>
      <c r="CG52" s="218">
        <f ca="1">IF($BZ52=$BZ53,$BT52-$BS53,0)</f>
        <v>0</v>
      </c>
      <c r="CH52" s="218">
        <f ca="1">IF($BZ52=$BZ54,$BU52-$BS54,0)</f>
        <v>0</v>
      </c>
      <c r="CI52" s="218">
        <f ca="1">IF($BZ52=$BZ55,$BV52-$BS55,0)</f>
        <v>0</v>
      </c>
      <c r="CJ52" s="218">
        <f ca="1">SUM(CF52:CI52)</f>
        <v>0</v>
      </c>
      <c r="CK52" s="207"/>
      <c r="CL52" s="218"/>
      <c r="CM52" s="218">
        <f ca="1">IF($BZ52=$BZ53,$BT56-$BS57,0)</f>
        <v>0</v>
      </c>
      <c r="CN52" s="218">
        <f ca="1">IF($BZ52=$BZ54,$BU56-$BS58,0)</f>
        <v>0</v>
      </c>
      <c r="CO52" s="218">
        <f ca="1">IF($BZ52=$BZ55,$BV56-$BS59,0)</f>
        <v>0</v>
      </c>
      <c r="CP52" s="218">
        <f ca="1">SUM(CL52:CO52)</f>
        <v>0</v>
      </c>
      <c r="CQ52" s="218"/>
      <c r="CR52" s="218">
        <f ca="1">IF($BZ52=$BZ53,$BT56,0)</f>
        <v>0</v>
      </c>
      <c r="CS52" s="218">
        <f ca="1">IF($BZ52=$BZ54,$BU56,0)</f>
        <v>0</v>
      </c>
      <c r="CT52" s="218">
        <f ca="1">IF($BZ52=$BZ55,$BV56,0)</f>
        <v>0</v>
      </c>
      <c r="CU52" s="218">
        <f ca="1">SUM(CQ52:CT52)</f>
        <v>0</v>
      </c>
      <c r="CV52" s="207">
        <v>4</v>
      </c>
      <c r="CX52" s="236">
        <f ca="1">IF($CX$97="",2*COUNTIF(Ergebnisse!$D$63:'Ergebnisse'!$F$78,BM58),2*INT(RAND()*2))</f>
        <v>2</v>
      </c>
      <c r="CY52" s="17" t="str">
        <f ca="1">IF(COUNTIF(Ergebnisse!BK53:'Ergebnisse'!BK58,Ergebnisse!$B$98)=6,"ok","")</f>
        <v>ok</v>
      </c>
      <c r="DA52" s="2" t="s">
        <v>456</v>
      </c>
    </row>
    <row r="53" spans="1:106">
      <c r="A53" s="2">
        <v>17</v>
      </c>
      <c r="B53" s="6">
        <f>VLOOKUP(A53,Spiele!$A$1:$L$116,2,FALSE)</f>
        <v>46189.625</v>
      </c>
      <c r="C53" s="6" t="str">
        <f>VLOOKUP(A53,Spiele!$A$1:$L$116,9,FALSE)</f>
        <v>New York</v>
      </c>
      <c r="D53" s="56" t="str">
        <f>Y52</f>
        <v>Frankreich</v>
      </c>
      <c r="E53" s="40" t="s">
        <v>24</v>
      </c>
      <c r="F53" s="56" t="str">
        <f>Y53</f>
        <v>Senegal</v>
      </c>
      <c r="G53" s="53"/>
      <c r="H53" s="107">
        <f t="shared" ref="H53:H58" ca="1" si="20">IF($B$99="",2,INT(RAND()*5)+INT(RAND()*3)*INT(RAND()*2))</f>
        <v>6</v>
      </c>
      <c r="I53" s="11" t="s">
        <v>25</v>
      </c>
      <c r="J53" s="107">
        <f t="shared" ref="J53:J58" ca="1" si="21">IF($B$99="",1,INT(RAND()*5)+INT(RAND()*3)*INT(RAND()*2))</f>
        <v>0</v>
      </c>
      <c r="K53" s="7" t="s">
        <v>26</v>
      </c>
      <c r="L53" s="1"/>
      <c r="M53" s="9" t="str">
        <f ca="1">VLOOKUP(2,$X$52:$AC$55,2,FALSE)</f>
        <v>Irak</v>
      </c>
      <c r="N53" s="2">
        <f ca="1">VLOOKUP(2,$X$52:$AC$55,3,FALSE)</f>
        <v>4</v>
      </c>
      <c r="O53" s="2">
        <f ca="1">VLOOKUP(2,$X$52:$AC$55,4,FALSE)</f>
        <v>8</v>
      </c>
      <c r="P53" s="2">
        <f ca="1">VLOOKUP(2,$X$52:$AC$55,5,FALSE)</f>
        <v>9</v>
      </c>
      <c r="Q53" s="2">
        <f ca="1">VLOOKUP(2,$X$52:$AC$55,6,FALSE)</f>
        <v>-1</v>
      </c>
      <c r="S53" s="61">
        <f ca="1">IF(J53="",0,IF(K53=$B$98,IF(H53&lt;J53,3,IF(H53=J53,1,0)),0))</f>
        <v>0</v>
      </c>
      <c r="T53" s="60"/>
      <c r="U53" s="61">
        <f ca="1">IF(H58="",0,IF(K57=$B$98,IF(H58&gt;J58,3,IF(H58=J58,1,0)),0))</f>
        <v>3</v>
      </c>
      <c r="V53" s="61">
        <f ca="1">IF(J56="",0,IF(K56=$B$98,IF(J56&gt;H56,3,IF(J56=H56,1,0)),0))</f>
        <v>0</v>
      </c>
      <c r="W53" s="62"/>
      <c r="X53" s="62">
        <f ca="1">RANK(AD53,$AD$52:$AD$55)</f>
        <v>4</v>
      </c>
      <c r="Y53" s="40" t="s">
        <v>249</v>
      </c>
      <c r="Z53" s="62">
        <f ca="1">SUM(S53:V53)</f>
        <v>3</v>
      </c>
      <c r="AA53" s="62">
        <f ca="1">SUM(S57:V57)</f>
        <v>7</v>
      </c>
      <c r="AB53" s="62">
        <f ca="1">SUM(T56:T59)</f>
        <v>11</v>
      </c>
      <c r="AC53" s="62">
        <f ca="1">AA53-AB53</f>
        <v>-4</v>
      </c>
      <c r="AD53" s="24">
        <f ca="1">IF(P$28="",(((((((AE53*10+Z53)*100+AC53)*100+AA53)*10+AK53)*10+AJ53)*100+AP53)*100+AU53)*10+AV53,(((((((AE53*10+Z53)*10+AK53)*10+AJ53)*100+AP53)*100+AU53)*100+AC53)*100+AA53)*10+AV53)</f>
        <v>296939996073</v>
      </c>
      <c r="AE53" s="203"/>
      <c r="AF53" s="217">
        <f ca="1">IF($Z53=$Z52,$S53-$T52,0)</f>
        <v>-3</v>
      </c>
      <c r="AG53" s="217"/>
      <c r="AH53" s="217">
        <f ca="1">IF($Z53=$Z54,$U53-$T54,0)</f>
        <v>0</v>
      </c>
      <c r="AI53" s="217">
        <f ca="1">IF($Z53=$Z55,$V53-$T55,0)</f>
        <v>0</v>
      </c>
      <c r="AJ53" s="217">
        <f ca="1">SUM(AF53:AI53)</f>
        <v>-3</v>
      </c>
      <c r="AK53" s="203"/>
      <c r="AL53" s="217">
        <f ca="1">IF($Z53=$Z52,$S57-$T56,0)</f>
        <v>-6</v>
      </c>
      <c r="AM53" s="217"/>
      <c r="AN53" s="217">
        <f ca="1">IF($Z53=$Z54,$U57-$T58,0)</f>
        <v>0</v>
      </c>
      <c r="AO53" s="217">
        <f ca="1">IF($Z53=$Z55,$V57-$T59,0)</f>
        <v>0</v>
      </c>
      <c r="AP53" s="217">
        <f ca="1">SUM(AL53:AO53)</f>
        <v>-6</v>
      </c>
      <c r="AQ53" s="217">
        <f ca="1">IF($Z53=$Z52,$S57,0)</f>
        <v>0</v>
      </c>
      <c r="AR53" s="217"/>
      <c r="AS53" s="217">
        <f ca="1">IF($Z53=$Z54,$U57,0)</f>
        <v>0</v>
      </c>
      <c r="AT53" s="217">
        <f ca="1">IF($Z53=$Z55,$V57,0)</f>
        <v>0</v>
      </c>
      <c r="AU53" s="217">
        <f ca="1">SUM(AQ53:AT53)</f>
        <v>0</v>
      </c>
      <c r="AV53" s="203">
        <v>3</v>
      </c>
      <c r="AW53" s="2"/>
      <c r="AX53" s="17">
        <f ca="1">IF($CX$97="",IF(OR(Ergebnisse!H53="",Ergebnisse!J53=""),0,IF(AND(H53=Ergebnisse!H53,J53=Ergebnisse!J53),7,MIN(7,(H53-J53=Ergebnisse!H53-Ergebnisse!J53)*4+(AND(H53-J53&lt;&gt;Ergebnisse!H53-Ergebnisse!J53,SIGN(H53-J53)=SIGN(Ergebnisse!H53-Ergebnisse!J53)))*2+(H53=Ergebnisse!H53)+(J53=Ergebnisse!J53)))),INT(RAND()*8))</f>
        <v>3</v>
      </c>
      <c r="AY53" s="17" t="str">
        <f ca="1">IF(Ergebnisse!K53=Ergebnisse!$B$98,Ergebnisse!K53,"")</f>
        <v>ok</v>
      </c>
      <c r="AZ53" s="2"/>
      <c r="BA53" s="2">
        <v>22</v>
      </c>
      <c r="BB53" s="6">
        <f>VLOOKUP(BA53,Spiele!$A$1:$L$116,2,FALSE)</f>
        <v>46190.625</v>
      </c>
      <c r="BC53" s="6" t="str">
        <f>VLOOKUP(BA53,Spiele!$A$1:$L$116,9,FALSE)</f>
        <v>Dallas</v>
      </c>
      <c r="BD53" s="56" t="str">
        <f>BY52</f>
        <v>England</v>
      </c>
      <c r="BE53" s="40" t="s">
        <v>24</v>
      </c>
      <c r="BF53" s="56" t="str">
        <f>BY53</f>
        <v>Kroatien</v>
      </c>
      <c r="BG53" s="53"/>
      <c r="BH53" s="107">
        <f t="shared" ref="BH53:BH58" ca="1" si="22">IF($B$99="",2,INT(RAND()*5)+INT(RAND()*3)*INT(RAND()*2))</f>
        <v>3</v>
      </c>
      <c r="BI53" s="11" t="s">
        <v>25</v>
      </c>
      <c r="BJ53" s="107">
        <f t="shared" ref="BJ53:BJ58" ca="1" si="23">IF($B$99="",1,INT(RAND()*5)+INT(RAND()*3)*INT(RAND()*2))</f>
        <v>0</v>
      </c>
      <c r="BK53" s="7" t="s">
        <v>26</v>
      </c>
      <c r="BL53" s="1"/>
      <c r="BM53" s="9" t="str">
        <f ca="1">VLOOKUP(2,$BX$52:$CC$55,2,FALSE)</f>
        <v>Panama</v>
      </c>
      <c r="BN53" s="2">
        <f ca="1">VLOOKUP(2,$BX$52:$CC$55,3,FALSE)</f>
        <v>4</v>
      </c>
      <c r="BO53" s="2">
        <f ca="1">VLOOKUP(2,$BX$52:$CC$55,4,FALSE)</f>
        <v>10</v>
      </c>
      <c r="BP53" s="2">
        <f ca="1">VLOOKUP(2,$BX$52:$CC$55,5,FALSE)</f>
        <v>8</v>
      </c>
      <c r="BQ53" s="2">
        <f ca="1">VLOOKUP(2,$BX$52:$CC$55,6,FALSE)</f>
        <v>2</v>
      </c>
      <c r="BS53" s="61">
        <f ca="1">IF(BJ53="",0,IF(BK53=$B$98,IF(BH53&lt;BJ53,3,IF(BH53=BJ53,1,0)),0))</f>
        <v>0</v>
      </c>
      <c r="BT53" s="60"/>
      <c r="BU53" s="61">
        <f ca="1">IF(BH58="",0,IF(BK57=$B$98,IF(BH58&gt;BJ58,3,IF(BH58=BJ58,1,0)),0))</f>
        <v>3</v>
      </c>
      <c r="BV53" s="61">
        <f ca="1">IF(BJ56="",0,IF(BK56=$B$98,IF(BJ56&gt;BH56,3,IF(BJ56=BH56,1,0)),0))</f>
        <v>1</v>
      </c>
      <c r="BW53" s="1"/>
      <c r="BX53" s="1">
        <f ca="1">RANK(CD53,$CD$52:$CD$55)</f>
        <v>3</v>
      </c>
      <c r="BY53" s="40" t="s">
        <v>188</v>
      </c>
      <c r="BZ53" s="1">
        <f ca="1">SUM(BS53:BV53)</f>
        <v>4</v>
      </c>
      <c r="CA53" s="1">
        <f ca="1">SUM(BS57:BV57)</f>
        <v>3</v>
      </c>
      <c r="CB53" s="1">
        <f ca="1">SUM(BT56:BT59)</f>
        <v>4</v>
      </c>
      <c r="CC53" s="1">
        <f ca="1">CA53-CB53</f>
        <v>-1</v>
      </c>
      <c r="CD53" s="24">
        <f ca="1">IF(BP$28="",(((((((CE53*10+BZ53)*100+CC53)*100+CA53)*10+CK53)*10+CJ53)*100+CP53)*100+CU53)*10+CV53,(((((((CE53*10+BZ53)*10+CK53)*10+CJ53)*100+CP53)*100+CU53)*100+CC53)*100+CA53)*10+CV53)</f>
        <v>400000099033</v>
      </c>
      <c r="CE53" s="207"/>
      <c r="CF53" s="218">
        <f ca="1">IF($BZ53=$BZ52,$BS53-$BT52,0)</f>
        <v>0</v>
      </c>
      <c r="CG53" s="218"/>
      <c r="CH53" s="218">
        <f ca="1">IF($BZ53=$BZ54,$BU53-$BT54,0)</f>
        <v>0</v>
      </c>
      <c r="CI53" s="218">
        <f ca="1">IF($BZ53=$BZ55,$BV53-$BT55,0)</f>
        <v>0</v>
      </c>
      <c r="CJ53" s="218">
        <f ca="1">SUM(CF53:CI53)</f>
        <v>0</v>
      </c>
      <c r="CK53" s="207"/>
      <c r="CL53" s="218">
        <f ca="1">IF($BZ53=$BZ52,$BS57-$BT56,0)</f>
        <v>0</v>
      </c>
      <c r="CM53" s="218"/>
      <c r="CN53" s="218">
        <f ca="1">IF($BZ53=$BZ54,$BU57-$BT58,0)</f>
        <v>0</v>
      </c>
      <c r="CO53" s="218">
        <f ca="1">IF($BZ53=$BZ55,$BV57-$BT59,0)</f>
        <v>0</v>
      </c>
      <c r="CP53" s="218">
        <f ca="1">SUM(CL53:CO53)</f>
        <v>0</v>
      </c>
      <c r="CQ53" s="218">
        <f ca="1">IF($BZ53=$BZ52,$BS57,0)</f>
        <v>0</v>
      </c>
      <c r="CR53" s="218"/>
      <c r="CS53" s="218">
        <f ca="1">IF($BZ53=$BZ54,$BU57,0)</f>
        <v>0</v>
      </c>
      <c r="CT53" s="218">
        <f ca="1">IF($BZ53=$BZ55,$BV57,0)</f>
        <v>1</v>
      </c>
      <c r="CU53" s="218">
        <f ca="1">SUM(CQ53:CT53)</f>
        <v>1</v>
      </c>
      <c r="CV53" s="207">
        <v>3</v>
      </c>
      <c r="CX53" s="17">
        <f ca="1">IF($CX$97="",IF(OR(Ergebnisse!BH53="",Ergebnisse!BJ53=""),0,IF(AND(BH53=Ergebnisse!BH53,BJ53=Ergebnisse!BJ53),7,MIN(7,(BH53-BJ53=Ergebnisse!BH53-Ergebnisse!BJ53)*4+(AND(BH53-BJ53&lt;&gt;Ergebnisse!BH53-Ergebnisse!BJ53,SIGN(BH53-BJ53)=SIGN(Ergebnisse!BH53-Ergebnisse!BJ53)))*2+(BH53=Ergebnisse!BH53)+(BJ53=Ergebnisse!BJ53)))),INT(RAND()*8))</f>
        <v>0</v>
      </c>
      <c r="CY53" s="17" t="str">
        <f ca="1">IF(Ergebnisse!BK53=Ergebnisse!$B$98,Ergebnisse!BK53,"")</f>
        <v>ok</v>
      </c>
    </row>
    <row r="54" spans="1:106">
      <c r="A54" s="2">
        <v>18</v>
      </c>
      <c r="B54" s="6">
        <f>VLOOKUP(A54,Spiele!$A$1:$L$116,2,FALSE)</f>
        <v>46189.75</v>
      </c>
      <c r="C54" s="6" t="str">
        <f>VLOOKUP(A54,Spiele!$A$1:$L$116,9,FALSE)</f>
        <v>Boston</v>
      </c>
      <c r="D54" s="56" t="str">
        <f>Y54</f>
        <v>Irak</v>
      </c>
      <c r="E54" s="40" t="s">
        <v>24</v>
      </c>
      <c r="F54" s="56" t="str">
        <f>Y55</f>
        <v>Norwegen</v>
      </c>
      <c r="G54" s="53"/>
      <c r="H54" s="107">
        <f t="shared" ca="1" si="20"/>
        <v>4</v>
      </c>
      <c r="I54" s="11" t="s">
        <v>25</v>
      </c>
      <c r="J54" s="107">
        <f t="shared" ca="1" si="21"/>
        <v>4</v>
      </c>
      <c r="K54" s="7" t="s">
        <v>26</v>
      </c>
      <c r="L54" s="1"/>
      <c r="M54" s="9" t="str">
        <f ca="1">VLOOKUP(3,$X$52:$AC$55,2,FALSE)</f>
        <v>Frankreich</v>
      </c>
      <c r="N54" s="2">
        <f ca="1">VLOOKUP(3,$X$52:$AC$55,3,FALSE)</f>
        <v>3</v>
      </c>
      <c r="O54" s="2">
        <f ca="1">VLOOKUP(3,$X$52:$AC$55,4,FALSE)</f>
        <v>8</v>
      </c>
      <c r="P54" s="2">
        <f ca="1">VLOOKUP(3,$X$52:$AC$55,5,FALSE)</f>
        <v>6</v>
      </c>
      <c r="Q54" s="2">
        <f ca="1">VLOOKUP(3,$X$52:$AC$55,6,FALSE)</f>
        <v>2</v>
      </c>
      <c r="S54" s="61">
        <f ca="1">IF(J55="",0,IF(K55=$B$98,IF(H55&lt;J55,3,IF(H55=J55,1,0)),0))</f>
        <v>3</v>
      </c>
      <c r="T54" s="61">
        <f ca="1">IF(J58="",0,IF(K57=$B$98,IF(H58&lt;J58,3,IF(H58=J58,1,0)),0))</f>
        <v>0</v>
      </c>
      <c r="U54" s="60"/>
      <c r="V54" s="61">
        <f ca="1">IF(H54="",0,IF(K54=$B$98,IF(H54&gt;J54,3,IF(H54=J54,1,0)),0))</f>
        <v>1</v>
      </c>
      <c r="W54" s="62"/>
      <c r="X54" s="62">
        <f ca="1">RANK(AD54,$AD$52:$AD$55)</f>
        <v>2</v>
      </c>
      <c r="Y54" s="40" t="s">
        <v>250</v>
      </c>
      <c r="Z54" s="62">
        <f ca="1">SUM(S54:V54)</f>
        <v>4</v>
      </c>
      <c r="AA54" s="62">
        <f ca="1">SUM(S58:V58)</f>
        <v>8</v>
      </c>
      <c r="AB54" s="62">
        <f ca="1">SUM(U56:U59)</f>
        <v>9</v>
      </c>
      <c r="AC54" s="62">
        <f ca="1">AA54-AB54</f>
        <v>-1</v>
      </c>
      <c r="AD54" s="24">
        <f ca="1">IF(P$28="",(((((((AE54*10+Z54)*100+AC54)*100+AA54)*10+AK54)*10+AJ54)*100+AP54)*100+AU54)*10+AV54,(((((((AE54*10+Z54)*10+AK54)*10+AJ54)*100+AP54)*100+AU54)*100+AC54)*100+AA54)*10+AV54)</f>
        <v>399999999082</v>
      </c>
      <c r="AE54" s="203"/>
      <c r="AF54" s="217">
        <f ca="1">IF($Z54=$Z52,$S54-$U52,0)</f>
        <v>0</v>
      </c>
      <c r="AG54" s="217">
        <f ca="1">IF($Z54=$Z53,$T54-$U53,0)</f>
        <v>0</v>
      </c>
      <c r="AH54" s="217"/>
      <c r="AI54" s="217">
        <f ca="1">IF($Z54=$Z55,$V54-$U55,0)</f>
        <v>0</v>
      </c>
      <c r="AJ54" s="217">
        <f ca="1">SUM(AF54:AI54)</f>
        <v>0</v>
      </c>
      <c r="AK54" s="203"/>
      <c r="AL54" s="217">
        <f ca="1">IF($Z54=$Z52,$S58-$U56,0)</f>
        <v>0</v>
      </c>
      <c r="AM54" s="217">
        <f ca="1">IF($Z54=$Z53,$T58-$U57,0)</f>
        <v>0</v>
      </c>
      <c r="AN54" s="217"/>
      <c r="AO54" s="217">
        <f ca="1">IF($Z54=$Z55,$V58-$U59,0)</f>
        <v>0</v>
      </c>
      <c r="AP54" s="217">
        <f ca="1">SUM(AL54:AO54)</f>
        <v>0</v>
      </c>
      <c r="AQ54" s="217">
        <f ca="1">IF($Z54=$Z52,$S58,0)</f>
        <v>0</v>
      </c>
      <c r="AR54" s="217">
        <f ca="1">IF($Z54=$Z53,$T58,0)</f>
        <v>0</v>
      </c>
      <c r="AS54" s="217"/>
      <c r="AT54" s="217">
        <f ca="1">IF($Z54=$Z55,$V58,0)</f>
        <v>0</v>
      </c>
      <c r="AU54" s="217">
        <f ca="1">SUM(AQ54:AT54)</f>
        <v>0</v>
      </c>
      <c r="AV54" s="203">
        <v>2</v>
      </c>
      <c r="AW54" s="2"/>
      <c r="AX54" s="17">
        <f ca="1">IF($CX$97="",IF(OR(Ergebnisse!H54="",Ergebnisse!J54=""),0,IF(AND(H54=Ergebnisse!H54,J54=Ergebnisse!J54),7,MIN(7,(H54-J54=Ergebnisse!H54-Ergebnisse!J54)*4+(AND(H54-J54&lt;&gt;Ergebnisse!H54-Ergebnisse!J54,SIGN(H54-J54)=SIGN(Ergebnisse!H54-Ergebnisse!J54)))*2+(H54=Ergebnisse!H54)+(J54=Ergebnisse!J54)))),INT(RAND()*8))</f>
        <v>0</v>
      </c>
      <c r="AY54" s="17" t="str">
        <f ca="1">IF(Ergebnisse!K54=Ergebnisse!$B$98,Ergebnisse!K54,"")</f>
        <v>ok</v>
      </c>
      <c r="AZ54" s="2"/>
      <c r="BA54" s="2">
        <v>21</v>
      </c>
      <c r="BB54" s="6">
        <f>VLOOKUP(BA54,Spiele!$A$1:$L$116,2,FALSE)</f>
        <v>46190.791666666664</v>
      </c>
      <c r="BC54" s="6" t="str">
        <f>VLOOKUP(BA54,Spiele!$A$1:$L$116,9,FALSE)</f>
        <v>Toronto</v>
      </c>
      <c r="BD54" s="56" t="str">
        <f>BY54</f>
        <v>Ghana</v>
      </c>
      <c r="BE54" s="40" t="s">
        <v>24</v>
      </c>
      <c r="BF54" s="56" t="str">
        <f>BY55</f>
        <v>Panama</v>
      </c>
      <c r="BG54" s="53"/>
      <c r="BH54" s="107">
        <f t="shared" ca="1" si="22"/>
        <v>5</v>
      </c>
      <c r="BI54" s="11" t="s">
        <v>25</v>
      </c>
      <c r="BJ54" s="107">
        <f t="shared" ca="1" si="23"/>
        <v>4</v>
      </c>
      <c r="BK54" s="7" t="s">
        <v>26</v>
      </c>
      <c r="BL54" s="1"/>
      <c r="BM54" s="9" t="str">
        <f ca="1">VLOOKUP(3,$BX$52:$CC$55,2,FALSE)</f>
        <v>Kroatien</v>
      </c>
      <c r="BN54" s="2">
        <f ca="1">VLOOKUP(3,$BX$52:$CC$55,3,FALSE)</f>
        <v>4</v>
      </c>
      <c r="BO54" s="2">
        <f ca="1">VLOOKUP(3,$BX$52:$CC$55,4,FALSE)</f>
        <v>3</v>
      </c>
      <c r="BP54" s="2">
        <f ca="1">VLOOKUP(3,$BX$52:$CC$55,5,FALSE)</f>
        <v>4</v>
      </c>
      <c r="BQ54" s="2">
        <f ca="1">VLOOKUP(3,$BX$52:$CC$55,6,FALSE)</f>
        <v>-1</v>
      </c>
      <c r="BS54" s="61">
        <f ca="1">IF(BJ55="",0,IF(BK55=$B$98,IF(BH55&lt;BJ55,3,IF(BH55=BJ55,1,0)),0))</f>
        <v>3</v>
      </c>
      <c r="BT54" s="61">
        <f ca="1">IF(BJ58="",0,IF(BK57=$B$98,IF(BH58&lt;BJ58,3,IF(BH58=BJ58,1,0)),0))</f>
        <v>0</v>
      </c>
      <c r="BU54" s="60"/>
      <c r="BV54" s="61">
        <f ca="1">IF(BH54="",0,IF(BK54=$B$98,IF(BH54&gt;BJ54,3,IF(BH54=BJ54,1,0)),0))</f>
        <v>3</v>
      </c>
      <c r="BW54" s="1"/>
      <c r="BX54" s="1">
        <f ca="1">RANK(CD54,$CD$52:$CD$55)</f>
        <v>1</v>
      </c>
      <c r="BY54" s="40" t="s">
        <v>251</v>
      </c>
      <c r="BZ54" s="1">
        <f ca="1">SUM(BS54:BV54)</f>
        <v>6</v>
      </c>
      <c r="CA54" s="1">
        <f ca="1">SUM(BS58:BV58)</f>
        <v>9</v>
      </c>
      <c r="CB54" s="1">
        <f ca="1">SUM(BU56:BU59)</f>
        <v>7</v>
      </c>
      <c r="CC54" s="1">
        <f ca="1">CA54-CB54</f>
        <v>2</v>
      </c>
      <c r="CD54" s="24">
        <f ca="1">IF(BP$28="",(((((((CE54*10+BZ54)*100+CC54)*100+CA54)*10+CK54)*10+CJ54)*100+CP54)*100+CU54)*10+CV54,(((((((CE54*10+BZ54)*10+CK54)*10+CJ54)*100+CP54)*100+CU54)*100+CC54)*100+CA54)*10+CV54)</f>
        <v>600000002092</v>
      </c>
      <c r="CE54" s="207"/>
      <c r="CF54" s="218">
        <f ca="1">IF($BZ54=$BZ52,$BS54-$BU52,0)</f>
        <v>0</v>
      </c>
      <c r="CG54" s="218">
        <f ca="1">IF($BZ54=$BZ53,$BT54-$BU53,0)</f>
        <v>0</v>
      </c>
      <c r="CH54" s="218"/>
      <c r="CI54" s="218">
        <f ca="1">IF($BZ54=$BZ55,$BV54-$BU55,0)</f>
        <v>0</v>
      </c>
      <c r="CJ54" s="218">
        <f ca="1">SUM(CF54:CI54)</f>
        <v>0</v>
      </c>
      <c r="CK54" s="207"/>
      <c r="CL54" s="218">
        <f ca="1">IF($BZ54=$BZ52,$BS58-$BU56,0)</f>
        <v>0</v>
      </c>
      <c r="CM54" s="218">
        <f ca="1">IF($BZ54=$BZ53,$BT58-$BU57,0)</f>
        <v>0</v>
      </c>
      <c r="CN54" s="218"/>
      <c r="CO54" s="218">
        <f ca="1">IF($BZ54=$BZ55,$BV58-$BU59,0)</f>
        <v>0</v>
      </c>
      <c r="CP54" s="218">
        <f ca="1">SUM(CL54:CO54)</f>
        <v>0</v>
      </c>
      <c r="CQ54" s="218">
        <f ca="1">IF($BZ54=$BZ52,$BS58,0)</f>
        <v>0</v>
      </c>
      <c r="CR54" s="218">
        <f ca="1">IF($BZ54=$BZ53,$BT58,0)</f>
        <v>0</v>
      </c>
      <c r="CS54" s="218"/>
      <c r="CT54" s="218">
        <f ca="1">IF($BZ54=$BZ55,$BV58,0)</f>
        <v>0</v>
      </c>
      <c r="CU54" s="218">
        <f ca="1">SUM(CQ54:CT54)</f>
        <v>0</v>
      </c>
      <c r="CV54" s="207">
        <v>2</v>
      </c>
      <c r="CX54" s="17">
        <f ca="1">IF($CX$97="",IF(OR(Ergebnisse!BH54="",Ergebnisse!BJ54=""),0,IF(AND(BH54=Ergebnisse!BH54,BJ54=Ergebnisse!BJ54),7,MIN(7,(BH54-BJ54=Ergebnisse!BH54-Ergebnisse!BJ54)*4+(AND(BH54-BJ54&lt;&gt;Ergebnisse!BH54-Ergebnisse!BJ54,SIGN(BH54-BJ54)=SIGN(Ergebnisse!BH54-Ergebnisse!BJ54)))*2+(BH54=Ergebnisse!BH54)+(BJ54=Ergebnisse!BJ54)))),INT(RAND()*8))</f>
        <v>2</v>
      </c>
      <c r="CY54" s="17" t="str">
        <f ca="1">IF(Ergebnisse!BK54=Ergebnisse!$B$98,Ergebnisse!BK54,"")</f>
        <v>ok</v>
      </c>
    </row>
    <row r="55" spans="1:106">
      <c r="A55" s="2">
        <v>42</v>
      </c>
      <c r="B55" s="6">
        <f>VLOOKUP(A55,Spiele!$A$1:$L$116,2,FALSE)</f>
        <v>46195.708333333336</v>
      </c>
      <c r="C55" s="6" t="str">
        <f>VLOOKUP(A55,Spiele!$A$1:$L$116,9,FALSE)</f>
        <v>Philadelphia</v>
      </c>
      <c r="D55" s="56" t="str">
        <f>Y52</f>
        <v>Frankreich</v>
      </c>
      <c r="E55" s="40" t="s">
        <v>24</v>
      </c>
      <c r="F55" s="56" t="str">
        <f>Y54</f>
        <v>Irak</v>
      </c>
      <c r="G55" s="53"/>
      <c r="H55" s="107">
        <f t="shared" ca="1" si="20"/>
        <v>0</v>
      </c>
      <c r="I55" s="11" t="s">
        <v>25</v>
      </c>
      <c r="J55" s="107">
        <f t="shared" ca="1" si="21"/>
        <v>2</v>
      </c>
      <c r="K55" s="7" t="s">
        <v>26</v>
      </c>
      <c r="L55" s="1"/>
      <c r="M55" s="9" t="str">
        <f ca="1">VLOOKUP(4,$X$52:$AC$55,2,FALSE)</f>
        <v>Senegal</v>
      </c>
      <c r="N55" s="2">
        <f ca="1">VLOOKUP(4,$X$52:$AC$55,3,FALSE)</f>
        <v>3</v>
      </c>
      <c r="O55" s="2">
        <f ca="1">VLOOKUP(4,$X$52:$AC$55,4,FALSE)</f>
        <v>7</v>
      </c>
      <c r="P55" s="2">
        <f ca="1">VLOOKUP(4,$X$52:$AC$55,5,FALSE)</f>
        <v>11</v>
      </c>
      <c r="Q55" s="2">
        <f ca="1">VLOOKUP(4,$X$52:$AC$55,6,FALSE)</f>
        <v>-4</v>
      </c>
      <c r="S55" s="61">
        <f ca="1">IF(H57="",0,IF(K58=$B$98,IF(H57&gt;J57,3,IF(H57=J57,1,0)),0))</f>
        <v>3</v>
      </c>
      <c r="T55" s="61">
        <f ca="1">IF(H56="",0,IF(K56=$B$98,IF(J56&lt;H56,3,IF(J56=H56,1,0)),0))</f>
        <v>3</v>
      </c>
      <c r="U55" s="61">
        <f ca="1">IF(J54="",0,IF(K54=$B$98,IF(H54&lt;J54,3,IF(H54=J54,1,0)),0))</f>
        <v>1</v>
      </c>
      <c r="V55" s="60"/>
      <c r="W55" s="62"/>
      <c r="X55" s="62">
        <f ca="1">RANK(AD55,$AD$52:$AD$55)</f>
        <v>1</v>
      </c>
      <c r="Y55" s="40" t="s">
        <v>252</v>
      </c>
      <c r="Z55" s="62">
        <f ca="1">SUM(S55:V55)</f>
        <v>7</v>
      </c>
      <c r="AA55" s="62">
        <f ca="1">SUM(S59:V59)</f>
        <v>11</v>
      </c>
      <c r="AB55" s="62">
        <f ca="1">SUM(V56:V59)</f>
        <v>8</v>
      </c>
      <c r="AC55" s="62">
        <f ca="1">AA55-AB55</f>
        <v>3</v>
      </c>
      <c r="AD55" s="24">
        <f ca="1">IF(P$28="",(((((((AE55*10+Z55)*100+AC55)*100+AA55)*10+AK55)*10+AJ55)*100+AP55)*100+AU55)*10+AV55,(((((((AE55*10+Z55)*10+AK55)*10+AJ55)*100+AP55)*100+AU55)*100+AC55)*100+AA55)*10+AV55)</f>
        <v>700000003111</v>
      </c>
      <c r="AE55" s="203"/>
      <c r="AF55" s="217">
        <f ca="1">IF($Z55=$Z52,$S55-$V52,0)</f>
        <v>0</v>
      </c>
      <c r="AG55" s="217">
        <f ca="1">IF($Z55=$Z53,$T55-$V53,0)</f>
        <v>0</v>
      </c>
      <c r="AH55" s="217">
        <f ca="1">IF($Z55=$Z54,$U55-$V54,0)</f>
        <v>0</v>
      </c>
      <c r="AI55" s="217"/>
      <c r="AJ55" s="217">
        <f ca="1">SUM(AF55:AI55)</f>
        <v>0</v>
      </c>
      <c r="AK55" s="203"/>
      <c r="AL55" s="217">
        <f ca="1">IF($Z55=$Z52,$S59-$V56,0)</f>
        <v>0</v>
      </c>
      <c r="AM55" s="217">
        <f ca="1">IF($Z55=$Z53,$T59-$V57,0)</f>
        <v>0</v>
      </c>
      <c r="AN55" s="217">
        <f ca="1">IF($Z55=$Z54,$U59-$V58,0)</f>
        <v>0</v>
      </c>
      <c r="AO55" s="217"/>
      <c r="AP55" s="217">
        <f ca="1">SUM(AL55:AO55)</f>
        <v>0</v>
      </c>
      <c r="AQ55" s="217">
        <f ca="1">IF($Z55=$Z52,$S59,0)</f>
        <v>0</v>
      </c>
      <c r="AR55" s="217">
        <f ca="1">IF($Z55=$Z53,$T59,0)</f>
        <v>0</v>
      </c>
      <c r="AS55" s="217">
        <f ca="1">IF($Z55=$Z54,$U59,0)</f>
        <v>0</v>
      </c>
      <c r="AT55" s="217"/>
      <c r="AU55" s="217">
        <f ca="1">SUM(AQ55:AT55)</f>
        <v>0</v>
      </c>
      <c r="AV55" s="203">
        <v>1</v>
      </c>
      <c r="AW55" s="2"/>
      <c r="AX55" s="17">
        <f ca="1">IF($CX$97="",IF(OR(Ergebnisse!H55="",Ergebnisse!J55=""),0,IF(AND(H55=Ergebnisse!H55,J55=Ergebnisse!J55),7,MIN(7,(H55-J55=Ergebnisse!H55-Ergebnisse!J55)*4+(AND(H55-J55&lt;&gt;Ergebnisse!H55-Ergebnisse!J55,SIGN(H55-J55)=SIGN(Ergebnisse!H55-Ergebnisse!J55)))*2+(H55=Ergebnisse!H55)+(J55=Ergebnisse!J55)))),INT(RAND()*8))</f>
        <v>0</v>
      </c>
      <c r="AY55" s="17" t="str">
        <f ca="1">IF(Ergebnisse!K55=Ergebnisse!$B$98,Ergebnisse!K55,"")</f>
        <v>ok</v>
      </c>
      <c r="AZ55" s="2"/>
      <c r="BA55" s="2">
        <v>45</v>
      </c>
      <c r="BB55" s="6">
        <f>VLOOKUP(BA55,Spiele!$A$1:$L$116,2,FALSE)</f>
        <v>46196.666666666664</v>
      </c>
      <c r="BC55" s="6" t="str">
        <f>VLOOKUP(BA55,Spiele!$A$1:$L$116,9,FALSE)</f>
        <v>Boston</v>
      </c>
      <c r="BD55" s="56" t="str">
        <f>BY52</f>
        <v>England</v>
      </c>
      <c r="BE55" s="40" t="s">
        <v>24</v>
      </c>
      <c r="BF55" s="56" t="str">
        <f>BY54</f>
        <v>Ghana</v>
      </c>
      <c r="BG55" s="53"/>
      <c r="BH55" s="107">
        <f t="shared" ca="1" si="22"/>
        <v>1</v>
      </c>
      <c r="BI55" s="11" t="s">
        <v>25</v>
      </c>
      <c r="BJ55" s="107">
        <f t="shared" ca="1" si="23"/>
        <v>4</v>
      </c>
      <c r="BK55" s="7" t="s">
        <v>26</v>
      </c>
      <c r="BL55" s="1"/>
      <c r="BM55" s="9" t="str">
        <f ca="1">VLOOKUP(4,$BX$52:$CC$55,2,FALSE)</f>
        <v>England</v>
      </c>
      <c r="BN55" s="2">
        <f ca="1">VLOOKUP(4,$BX$52:$CC$55,3,FALSE)</f>
        <v>3</v>
      </c>
      <c r="BO55" s="2">
        <f ca="1">VLOOKUP(4,$BX$52:$CC$55,4,FALSE)</f>
        <v>6</v>
      </c>
      <c r="BP55" s="2">
        <f ca="1">VLOOKUP(4,$BX$52:$CC$55,5,FALSE)</f>
        <v>9</v>
      </c>
      <c r="BQ55" s="2">
        <f ca="1">VLOOKUP(4,$BX$52:$CC$55,6,FALSE)</f>
        <v>-3</v>
      </c>
      <c r="BS55" s="61">
        <f ca="1">IF(BH57="",0,IF(BK58=$B$98,IF(BH57&gt;BJ57,3,IF(BH57=BJ57,1,0)),0))</f>
        <v>3</v>
      </c>
      <c r="BT55" s="61">
        <f ca="1">IF(BH56="",0,IF(BK56=$B$98,IF(BJ56&lt;BH56,3,IF(BJ56=BH56,1,0)),0))</f>
        <v>1</v>
      </c>
      <c r="BU55" s="61">
        <f ca="1">IF(BJ54="",0,IF(BK54=$B$98,IF(BH54&lt;BJ54,3,IF(BH54=BJ54,1,0)),0))</f>
        <v>0</v>
      </c>
      <c r="BV55" s="60"/>
      <c r="BW55" s="1"/>
      <c r="BX55" s="1">
        <f ca="1">RANK(CD55,$CD$52:$CD$55)</f>
        <v>2</v>
      </c>
      <c r="BY55" s="40" t="s">
        <v>253</v>
      </c>
      <c r="BZ55" s="1">
        <f ca="1">SUM(BS55:BV55)</f>
        <v>4</v>
      </c>
      <c r="CA55" s="1">
        <f ca="1">SUM(BS59:BV59)</f>
        <v>10</v>
      </c>
      <c r="CB55" s="1">
        <f ca="1">SUM(BV56:BV59)</f>
        <v>8</v>
      </c>
      <c r="CC55" s="1">
        <f ca="1">CA55-CB55</f>
        <v>2</v>
      </c>
      <c r="CD55" s="24">
        <f ca="1">IF(BP$28="",(((((((CE55*10+BZ55)*100+CC55)*100+CA55)*10+CK55)*10+CJ55)*100+CP55)*100+CU55)*10+CV55,(((((((CE55*10+BZ55)*10+CK55)*10+CJ55)*100+CP55)*100+CU55)*100+CC55)*100+CA55)*10+CV55)</f>
        <v>400000102101</v>
      </c>
      <c r="CE55" s="207"/>
      <c r="CF55" s="218">
        <f ca="1">IF($BZ55=$BZ52,$BS55-$BV52,0)</f>
        <v>0</v>
      </c>
      <c r="CG55" s="218">
        <f ca="1">IF($BZ55=$BZ53,$BT55-$BV53,0)</f>
        <v>0</v>
      </c>
      <c r="CH55" s="218">
        <f ca="1">IF($BZ55=$BZ54,$BU55-$BV54,0)</f>
        <v>0</v>
      </c>
      <c r="CI55" s="218"/>
      <c r="CJ55" s="218">
        <f ca="1">SUM(CF55:CI55)</f>
        <v>0</v>
      </c>
      <c r="CK55" s="207"/>
      <c r="CL55" s="218">
        <f ca="1">IF($BZ55=$BZ52,$BS59-$BV56,0)</f>
        <v>0</v>
      </c>
      <c r="CM55" s="218">
        <f ca="1">IF($BZ55=$BZ53,$BT59-$BV57,0)</f>
        <v>0</v>
      </c>
      <c r="CN55" s="218">
        <f ca="1">IF($BZ55=$BZ54,$BU59-$BV58,0)</f>
        <v>0</v>
      </c>
      <c r="CO55" s="218"/>
      <c r="CP55" s="218">
        <f ca="1">SUM(CL55:CO55)</f>
        <v>0</v>
      </c>
      <c r="CQ55" s="218">
        <f ca="1">IF($BZ55=$BZ52,$BS59,0)</f>
        <v>0</v>
      </c>
      <c r="CR55" s="218">
        <f ca="1">IF($BZ55=$BZ53,$BT59,0)</f>
        <v>1</v>
      </c>
      <c r="CS55" s="218">
        <f ca="1">IF($BZ55=$BZ54,$BU59,0)</f>
        <v>0</v>
      </c>
      <c r="CT55" s="218"/>
      <c r="CU55" s="218">
        <f ca="1">SUM(CQ55:CT55)</f>
        <v>1</v>
      </c>
      <c r="CV55" s="207">
        <v>1</v>
      </c>
      <c r="CX55" s="17">
        <f ca="1">IF($CX$97="",IF(OR(Ergebnisse!BH55="",Ergebnisse!BJ55=""),0,IF(AND(BH55=Ergebnisse!BH55,BJ55=Ergebnisse!BJ55),7,MIN(7,(BH55-BJ55=Ergebnisse!BH55-Ergebnisse!BJ55)*4+(AND(BH55-BJ55&lt;&gt;Ergebnisse!BH55-Ergebnisse!BJ55,SIGN(BH55-BJ55)=SIGN(Ergebnisse!BH55-Ergebnisse!BJ55)))*2+(BH55=Ergebnisse!BH55)+(BJ55=Ergebnisse!BJ55)))),INT(RAND()*8))</f>
        <v>0</v>
      </c>
      <c r="CY55" s="17" t="str">
        <f ca="1">IF(Ergebnisse!BK55=Ergebnisse!$B$98,Ergebnisse!BK55,"")</f>
        <v>ok</v>
      </c>
    </row>
    <row r="56" spans="1:106">
      <c r="A56" s="2">
        <v>41</v>
      </c>
      <c r="B56" s="6">
        <f>VLOOKUP(A56,Spiele!$A$1:$L$116,2,FALSE)</f>
        <v>46195.833333333336</v>
      </c>
      <c r="C56" s="6" t="str">
        <f>VLOOKUP(A56,Spiele!$A$1:$L$116,9,FALSE)</f>
        <v>New York</v>
      </c>
      <c r="D56" s="56" t="str">
        <f>Y55</f>
        <v>Norwegen</v>
      </c>
      <c r="E56" s="40" t="s">
        <v>24</v>
      </c>
      <c r="F56" s="56" t="str">
        <f>Y53</f>
        <v>Senegal</v>
      </c>
      <c r="G56" s="53"/>
      <c r="H56" s="107">
        <f t="shared" ca="1" si="20"/>
        <v>3</v>
      </c>
      <c r="I56" s="11" t="s">
        <v>25</v>
      </c>
      <c r="J56" s="107">
        <f t="shared" ca="1" si="21"/>
        <v>2</v>
      </c>
      <c r="K56" s="7" t="s">
        <v>26</v>
      </c>
      <c r="L56" s="1"/>
      <c r="N56" s="1"/>
      <c r="O56" s="1"/>
      <c r="P56" s="1"/>
      <c r="S56" s="60"/>
      <c r="T56" s="61">
        <f ca="1">IF(K53=$B$98,H53,0)</f>
        <v>6</v>
      </c>
      <c r="U56" s="61">
        <f ca="1">IF(K55=$B$98,H55,0)</f>
        <v>0</v>
      </c>
      <c r="V56" s="61">
        <f ca="1">IF(K58=$B$98,J57,0)</f>
        <v>2</v>
      </c>
      <c r="W56" s="62"/>
      <c r="X56" s="62"/>
      <c r="Y56" s="62"/>
      <c r="Z56" s="62"/>
      <c r="AA56" s="62"/>
      <c r="AB56" s="62"/>
      <c r="AC56" s="62"/>
      <c r="AD56" s="66"/>
      <c r="AE56" s="204"/>
      <c r="AF56" s="217"/>
      <c r="AG56" s="217"/>
      <c r="AH56" s="217"/>
      <c r="AI56" s="217"/>
      <c r="AJ56" s="217"/>
      <c r="AK56" s="217"/>
      <c r="AL56" s="217"/>
      <c r="AM56" s="217"/>
      <c r="AN56" s="217"/>
      <c r="AO56" s="217"/>
      <c r="AP56" s="217"/>
      <c r="AQ56" s="217"/>
      <c r="AR56" s="217"/>
      <c r="AS56" s="217"/>
      <c r="AT56" s="217"/>
      <c r="AV56" s="217"/>
      <c r="AW56" s="2"/>
      <c r="AX56" s="17">
        <f ca="1">IF($CX$97="",IF(OR(Ergebnisse!H56="",Ergebnisse!J56=""),0,IF(AND(H56=Ergebnisse!H56,J56=Ergebnisse!J56),7,MIN(7,(H56-J56=Ergebnisse!H56-Ergebnisse!J56)*4+(AND(H56-J56&lt;&gt;Ergebnisse!H56-Ergebnisse!J56,SIGN(H56-J56)=SIGN(Ergebnisse!H56-Ergebnisse!J56)))*2+(H56=Ergebnisse!H56)+(J56=Ergebnisse!J56)))),INT(RAND()*8))</f>
        <v>0</v>
      </c>
      <c r="AY56" s="17" t="str">
        <f ca="1">IF(Ergebnisse!K56=Ergebnisse!$B$98,Ergebnisse!K56,"")</f>
        <v>ok</v>
      </c>
      <c r="AZ56" s="2"/>
      <c r="BA56" s="2">
        <v>46</v>
      </c>
      <c r="BB56" s="6">
        <f>VLOOKUP(BA56,Spiele!$A$1:$L$116,2,FALSE)</f>
        <v>46196.791666666664</v>
      </c>
      <c r="BC56" s="6" t="str">
        <f>VLOOKUP(BA56,Spiele!$A$1:$L$116,9,FALSE)</f>
        <v>Toronto</v>
      </c>
      <c r="BD56" s="56" t="str">
        <f>BY55</f>
        <v>Panama</v>
      </c>
      <c r="BE56" s="40" t="s">
        <v>24</v>
      </c>
      <c r="BF56" s="56" t="str">
        <f>BY53</f>
        <v>Kroatien</v>
      </c>
      <c r="BG56" s="53"/>
      <c r="BH56" s="107">
        <f t="shared" ca="1" si="22"/>
        <v>1</v>
      </c>
      <c r="BI56" s="11" t="s">
        <v>25</v>
      </c>
      <c r="BJ56" s="107">
        <f t="shared" ca="1" si="23"/>
        <v>1</v>
      </c>
      <c r="BK56" s="7" t="s">
        <v>26</v>
      </c>
      <c r="BL56" s="1"/>
      <c r="BN56" s="1"/>
      <c r="BO56" s="1"/>
      <c r="BP56" s="1"/>
      <c r="BS56" s="60"/>
      <c r="BT56" s="61">
        <f ca="1">IF(BK53=$B$98,BH53,0)</f>
        <v>3</v>
      </c>
      <c r="BU56" s="61">
        <f ca="1">IF(BK55=$B$98,BH55,0)</f>
        <v>1</v>
      </c>
      <c r="BV56" s="61">
        <f ca="1">IF(BK58=$B$98,BJ57,0)</f>
        <v>2</v>
      </c>
      <c r="BW56" s="1"/>
      <c r="BX56" s="1"/>
      <c r="BY56" s="62"/>
      <c r="BZ56" s="1"/>
      <c r="CA56" s="1"/>
      <c r="CB56" s="1"/>
      <c r="CC56" s="1"/>
      <c r="CD56" s="5"/>
      <c r="CE56" s="7"/>
      <c r="CF56" s="218"/>
      <c r="CG56" s="218"/>
      <c r="CH56" s="218"/>
      <c r="CI56" s="218"/>
      <c r="CJ56" s="218"/>
      <c r="CK56" s="218"/>
      <c r="CL56" s="218"/>
      <c r="CM56" s="218"/>
      <c r="CN56" s="218"/>
      <c r="CO56" s="218"/>
      <c r="CP56" s="218"/>
      <c r="CQ56" s="218"/>
      <c r="CR56" s="218"/>
      <c r="CS56" s="218"/>
      <c r="CT56" s="218"/>
      <c r="CV56" s="218"/>
      <c r="CX56" s="17">
        <f ca="1">IF($CX$97="",IF(OR(Ergebnisse!BH56="",Ergebnisse!BJ56=""),0,IF(AND(BH56=Ergebnisse!BH56,BJ56=Ergebnisse!BJ56),7,MIN(7,(BH56-BJ56=Ergebnisse!BH56-Ergebnisse!BJ56)*4+(AND(BH56-BJ56&lt;&gt;Ergebnisse!BH56-Ergebnisse!BJ56,SIGN(BH56-BJ56)=SIGN(Ergebnisse!BH56-Ergebnisse!BJ56)))*2+(BH56=Ergebnisse!BH56)+(BJ56=Ergebnisse!BJ56)))),INT(RAND()*8))</f>
        <v>0</v>
      </c>
      <c r="CY56" s="17" t="str">
        <f ca="1">IF(Ergebnisse!BK56=Ergebnisse!$B$98,Ergebnisse!BK56,"")</f>
        <v>ok</v>
      </c>
    </row>
    <row r="57" spans="1:106">
      <c r="A57" s="2">
        <v>61</v>
      </c>
      <c r="B57" s="6">
        <f>VLOOKUP(A57,Spiele!$A$1:$L$116,2,FALSE)</f>
        <v>46199.625</v>
      </c>
      <c r="C57" s="6" t="str">
        <f>VLOOKUP(A57,Spiele!$A$1:$L$116,9,FALSE)</f>
        <v>Boston</v>
      </c>
      <c r="D57" s="56" t="str">
        <f>Y55</f>
        <v>Norwegen</v>
      </c>
      <c r="E57" s="40" t="s">
        <v>24</v>
      </c>
      <c r="F57" s="56" t="str">
        <f>Y52</f>
        <v>Frankreich</v>
      </c>
      <c r="G57" s="55"/>
      <c r="H57" s="107">
        <f t="shared" ca="1" si="20"/>
        <v>4</v>
      </c>
      <c r="I57" s="11" t="s">
        <v>25</v>
      </c>
      <c r="J57" s="107">
        <f t="shared" ca="1" si="21"/>
        <v>2</v>
      </c>
      <c r="K57" s="7" t="s">
        <v>26</v>
      </c>
      <c r="M57" s="238" t="str">
        <f ca="1">IF(N52&gt;0,M52,"")</f>
        <v>Norwegen</v>
      </c>
      <c r="N57" s="2" t="s">
        <v>254</v>
      </c>
      <c r="P57" s="29"/>
      <c r="S57" s="61">
        <f ca="1">IF(K53=$B$98,J53,0)</f>
        <v>0</v>
      </c>
      <c r="T57" s="60"/>
      <c r="U57" s="61">
        <f ca="1">IF(K57=$B$98,H58,0)</f>
        <v>5</v>
      </c>
      <c r="V57" s="61">
        <f ca="1">IF(K56=$B$98,J56,0)</f>
        <v>2</v>
      </c>
      <c r="AD57" s="55" t="s">
        <v>140</v>
      </c>
      <c r="AE57" s="108"/>
      <c r="AF57" s="219"/>
      <c r="AG57" s="219"/>
      <c r="AH57" s="219"/>
      <c r="AI57" s="219"/>
      <c r="AJ57" s="219"/>
      <c r="AK57" s="219"/>
      <c r="AL57" s="219"/>
      <c r="AM57" s="219"/>
      <c r="AN57" s="219"/>
      <c r="AO57" s="219"/>
      <c r="AP57" s="219"/>
      <c r="AQ57" s="219"/>
      <c r="AR57" s="219"/>
      <c r="AS57" s="219"/>
      <c r="AT57" s="219"/>
      <c r="AV57" s="219"/>
      <c r="AW57" s="2"/>
      <c r="AX57" s="17">
        <f ca="1">IF($CX$97="",IF(OR(Ergebnisse!H57="",Ergebnisse!J57=""),0,IF(AND(H57=Ergebnisse!H57,J57=Ergebnisse!J57),7,MIN(7,(H57-J57=Ergebnisse!H57-Ergebnisse!J57)*4+(AND(H57-J57&lt;&gt;Ergebnisse!H57-Ergebnisse!J57,SIGN(H57-J57)=SIGN(Ergebnisse!H57-Ergebnisse!J57)))*2+(H57=Ergebnisse!H57)+(J57=Ergebnisse!J57)))),INT(RAND()*8))</f>
        <v>0</v>
      </c>
      <c r="AY57" s="17" t="str">
        <f ca="1">IF(Ergebnisse!K57=Ergebnisse!$B$98,Ergebnisse!K57,"")</f>
        <v>ok</v>
      </c>
      <c r="AZ57" s="2"/>
      <c r="BA57" s="2">
        <v>68</v>
      </c>
      <c r="BB57" s="6">
        <f>VLOOKUP(BA57,Spiele!$A$1:$L$116,2,FALSE)</f>
        <v>46200.708333333336</v>
      </c>
      <c r="BC57" s="6" t="str">
        <f>VLOOKUP(BA57,Spiele!$A$1:$L$116,9,FALSE)</f>
        <v>Philadelphia</v>
      </c>
      <c r="BD57" s="56" t="str">
        <f>BY55</f>
        <v>Panama</v>
      </c>
      <c r="BE57" s="40" t="s">
        <v>24</v>
      </c>
      <c r="BF57" s="56" t="str">
        <f>BY52</f>
        <v>England</v>
      </c>
      <c r="BG57" s="55"/>
      <c r="BH57" s="107">
        <f t="shared" ca="1" si="22"/>
        <v>5</v>
      </c>
      <c r="BI57" s="11" t="s">
        <v>25</v>
      </c>
      <c r="BJ57" s="107">
        <f t="shared" ca="1" si="23"/>
        <v>2</v>
      </c>
      <c r="BK57" s="7" t="s">
        <v>26</v>
      </c>
      <c r="BM57" s="237" t="str">
        <f ca="1">IF(BN52&gt;0,BM52,"")</f>
        <v>Ghana</v>
      </c>
      <c r="BN57" s="2" t="s">
        <v>255</v>
      </c>
      <c r="BP57" s="29"/>
      <c r="BS57" s="61">
        <f ca="1">IF(BK53=$B$98,BJ53,0)</f>
        <v>0</v>
      </c>
      <c r="BT57" s="60"/>
      <c r="BU57" s="61">
        <f ca="1">IF(BK57=$B$98,BH58,0)</f>
        <v>2</v>
      </c>
      <c r="BV57" s="61">
        <f ca="1">IF(BK56=$B$98,BJ56,0)</f>
        <v>1</v>
      </c>
      <c r="CD57" s="2" t="s">
        <v>140</v>
      </c>
      <c r="CE57" s="8"/>
      <c r="CF57" s="220"/>
      <c r="CG57" s="220"/>
      <c r="CH57" s="220"/>
      <c r="CI57" s="220"/>
      <c r="CJ57" s="220"/>
      <c r="CK57" s="220"/>
      <c r="CL57" s="220"/>
      <c r="CM57" s="220"/>
      <c r="CN57" s="220"/>
      <c r="CO57" s="220"/>
      <c r="CP57" s="220"/>
      <c r="CQ57" s="220"/>
      <c r="CR57" s="220"/>
      <c r="CS57" s="220"/>
      <c r="CT57" s="220"/>
      <c r="CV57" s="220"/>
      <c r="CX57" s="17">
        <f ca="1">IF($CX$97="",IF(OR(Ergebnisse!BH57="",Ergebnisse!BJ57=""),0,IF(AND(BH57=Ergebnisse!BH57,BJ57=Ergebnisse!BJ57),7,MIN(7,(BH57-BJ57=Ergebnisse!BH57-Ergebnisse!BJ57)*4+(AND(BH57-BJ57&lt;&gt;Ergebnisse!BH57-Ergebnisse!BJ57,SIGN(BH57-BJ57)=SIGN(Ergebnisse!BH57-Ergebnisse!BJ57)))*2+(BH57=Ergebnisse!BH57)+(BJ57=Ergebnisse!BJ57)))),INT(RAND()*8))</f>
        <v>0</v>
      </c>
      <c r="CY57" s="17" t="str">
        <f ca="1">IF(Ergebnisse!BK57=Ergebnisse!$B$98,Ergebnisse!BK57,"")</f>
        <v>ok</v>
      </c>
    </row>
    <row r="58" spans="1:106">
      <c r="A58" s="2">
        <v>62</v>
      </c>
      <c r="B58" s="6">
        <f>VLOOKUP(A58,Spiele!$A$1:$L$116,2,FALSE)</f>
        <v>46199.625</v>
      </c>
      <c r="C58" s="6" t="str">
        <f>VLOOKUP(A58,Spiele!$A$1:$L$116,9,FALSE)</f>
        <v>Toronto</v>
      </c>
      <c r="D58" s="56" t="str">
        <f>Y53</f>
        <v>Senegal</v>
      </c>
      <c r="E58" s="40" t="s">
        <v>24</v>
      </c>
      <c r="F58" s="56" t="str">
        <f>Y54</f>
        <v>Irak</v>
      </c>
      <c r="G58" s="55"/>
      <c r="H58" s="107">
        <f t="shared" ca="1" si="20"/>
        <v>5</v>
      </c>
      <c r="I58" s="11" t="s">
        <v>25</v>
      </c>
      <c r="J58" s="107">
        <f t="shared" ca="1" si="21"/>
        <v>2</v>
      </c>
      <c r="K58" s="7" t="s">
        <v>26</v>
      </c>
      <c r="M58" s="238" t="str">
        <f ca="1">IF(N53&gt;0,M53,"")</f>
        <v>Irak</v>
      </c>
      <c r="N58" s="2" t="s">
        <v>256</v>
      </c>
      <c r="O58" s="30"/>
      <c r="P58" s="205" t="s">
        <v>11</v>
      </c>
      <c r="S58" s="61">
        <f ca="1">IF(K55=$B$98,J55,0)</f>
        <v>2</v>
      </c>
      <c r="T58" s="61">
        <f ca="1">IF(K57=$B$98,J58,0)</f>
        <v>2</v>
      </c>
      <c r="U58" s="60"/>
      <c r="V58" s="61">
        <f ca="1">IF(K54=$B$98,H54,0)</f>
        <v>4</v>
      </c>
      <c r="AD58" s="55" t="s">
        <v>141</v>
      </c>
      <c r="AE58" s="108"/>
      <c r="AF58" s="219"/>
      <c r="AG58" s="219"/>
      <c r="AH58" s="219"/>
      <c r="AI58" s="219"/>
      <c r="AJ58" s="219"/>
      <c r="AK58" s="219"/>
      <c r="AL58" s="219"/>
      <c r="AM58" s="219"/>
      <c r="AN58" s="219"/>
      <c r="AO58" s="219"/>
      <c r="AP58" s="219"/>
      <c r="AQ58" s="219"/>
      <c r="AR58" s="219"/>
      <c r="AS58" s="219"/>
      <c r="AT58" s="219"/>
      <c r="AV58" s="219"/>
      <c r="AW58" s="2"/>
      <c r="AX58" s="17">
        <f ca="1">IF($CX$97="",IF(OR(Ergebnisse!H58="",Ergebnisse!J58=""),0,IF(AND(H58=Ergebnisse!H58,J58=Ergebnisse!J58),7,MIN(7,(H58-J58=Ergebnisse!H58-Ergebnisse!J58)*4+(AND(H58-J58&lt;&gt;Ergebnisse!H58-Ergebnisse!J58,SIGN(H58-J58)=SIGN(Ergebnisse!H58-Ergebnisse!J58)))*2+(H58=Ergebnisse!H58)+(J58=Ergebnisse!J58)))),INT(RAND()*8))</f>
        <v>2</v>
      </c>
      <c r="AY58" s="17" t="str">
        <f ca="1">IF(Ergebnisse!K58=Ergebnisse!$B$98,Ergebnisse!K58,"")</f>
        <v>ok</v>
      </c>
      <c r="AZ58" s="2"/>
      <c r="BA58" s="2">
        <v>67</v>
      </c>
      <c r="BB58" s="6">
        <f>VLOOKUP(BA58,Spiele!$A$1:$L$116,2,FALSE)</f>
        <v>46200.708333333336</v>
      </c>
      <c r="BC58" s="6" t="str">
        <f>VLOOKUP(BA58,Spiele!$A$1:$L$116,9,FALSE)</f>
        <v>New York</v>
      </c>
      <c r="BD58" s="56" t="str">
        <f>BY53</f>
        <v>Kroatien</v>
      </c>
      <c r="BE58" s="40" t="s">
        <v>24</v>
      </c>
      <c r="BF58" s="56" t="str">
        <f>BY54</f>
        <v>Ghana</v>
      </c>
      <c r="BG58" s="55"/>
      <c r="BH58" s="107">
        <f t="shared" ca="1" si="22"/>
        <v>2</v>
      </c>
      <c r="BI58" s="11" t="s">
        <v>25</v>
      </c>
      <c r="BJ58" s="107">
        <f t="shared" ca="1" si="23"/>
        <v>0</v>
      </c>
      <c r="BK58" s="7" t="s">
        <v>26</v>
      </c>
      <c r="BM58" s="237" t="str">
        <f ca="1">IF(BN53&gt;0,BM53,"")</f>
        <v>Panama</v>
      </c>
      <c r="BN58" s="2" t="s">
        <v>257</v>
      </c>
      <c r="BO58" s="30"/>
      <c r="BP58" s="205" t="s">
        <v>11</v>
      </c>
      <c r="BS58" s="61">
        <f ca="1">IF(BK55=$B$98,BJ55,0)</f>
        <v>4</v>
      </c>
      <c r="BT58" s="61">
        <f ca="1">IF(BK57=$B$98,BJ58,0)</f>
        <v>0</v>
      </c>
      <c r="BU58" s="60"/>
      <c r="BV58" s="61">
        <f ca="1">IF(BK54=$B$98,BH54,0)</f>
        <v>5</v>
      </c>
      <c r="CD58" s="2" t="s">
        <v>141</v>
      </c>
      <c r="CE58" s="8"/>
      <c r="CF58" s="220"/>
      <c r="CG58" s="220"/>
      <c r="CH58" s="220"/>
      <c r="CI58" s="220"/>
      <c r="CJ58" s="220"/>
      <c r="CK58" s="220"/>
      <c r="CL58" s="220"/>
      <c r="CM58" s="220"/>
      <c r="CN58" s="220"/>
      <c r="CO58" s="220"/>
      <c r="CP58" s="220"/>
      <c r="CQ58" s="220"/>
      <c r="CR58" s="220"/>
      <c r="CS58" s="220"/>
      <c r="CT58" s="220"/>
      <c r="CV58" s="220"/>
      <c r="CX58" s="17">
        <f ca="1">IF($CX$97="",IF(OR(Ergebnisse!BH58="",Ergebnisse!BJ58=""),0,IF(AND(BH58=Ergebnisse!BH58,BJ58=Ergebnisse!BJ58),7,MIN(7,(BH58-BJ58=Ergebnisse!BH58-Ergebnisse!BJ58)*4+(AND(BH58-BJ58&lt;&gt;Ergebnisse!BH58-Ergebnisse!BJ58,SIGN(BH58-BJ58)=SIGN(Ergebnisse!BH58-Ergebnisse!BJ58)))*2+(BH58=Ergebnisse!BH58)+(BJ58=Ergebnisse!BJ58)))),INT(RAND()*8))</f>
        <v>0</v>
      </c>
      <c r="CY58" s="17" t="str">
        <f ca="1">IF(Ergebnisse!BK58=Ergebnisse!$B$98,Ergebnisse!BK58,"")</f>
        <v>ok</v>
      </c>
    </row>
    <row r="59" spans="1:106">
      <c r="E59" s="55"/>
      <c r="F59" s="55"/>
      <c r="G59" s="55"/>
      <c r="M59" s="238" t="str">
        <f ca="1">IF(N54&gt;0,M54,"")</f>
        <v>Frankreich</v>
      </c>
      <c r="N59" s="2" t="s">
        <v>258</v>
      </c>
      <c r="S59" s="61">
        <f ca="1">IF(K58=$B$98,H57,0)</f>
        <v>4</v>
      </c>
      <c r="T59" s="61">
        <f ca="1">IF(K56=$B$98,H56,0)</f>
        <v>3</v>
      </c>
      <c r="U59" s="61">
        <f ca="1">IF(K54=$B$98,J54,0)</f>
        <v>4</v>
      </c>
      <c r="V59" s="60"/>
      <c r="AD59" s="55" t="s">
        <v>143</v>
      </c>
      <c r="AE59" s="108"/>
      <c r="AF59" s="219"/>
      <c r="AG59" s="219"/>
      <c r="AH59" s="219"/>
      <c r="AI59" s="219"/>
      <c r="AJ59" s="219"/>
      <c r="AK59" s="219"/>
      <c r="AL59" s="219"/>
      <c r="AM59" s="219"/>
      <c r="AN59" s="219"/>
      <c r="AO59" s="219"/>
      <c r="AP59" s="219"/>
      <c r="AQ59" s="219"/>
      <c r="AR59" s="219"/>
      <c r="AS59" s="219"/>
      <c r="AT59" s="219"/>
      <c r="AV59" s="219"/>
      <c r="AW59" s="2"/>
      <c r="AX59" s="234">
        <f ca="1">IF($CX$97="",2*COUNTIF(Ergebnisse!$D$63:'Ergebnisse'!$F$78,M59),2*INT(RAND()*2))</f>
        <v>2</v>
      </c>
      <c r="AY59" s="17" t="str">
        <f ca="1">IF(COUNTIF(Ergebnisse!K53:'Ergebnisse'!K58,Ergebnisse!$B$98)=6,"ok","")</f>
        <v>ok</v>
      </c>
      <c r="AZ59" s="2"/>
      <c r="BE59" s="55"/>
      <c r="BF59" s="55"/>
      <c r="BG59" s="55"/>
      <c r="BM59" s="237" t="str">
        <f ca="1">IF(BN54&gt;0,BM54,"")</f>
        <v>Kroatien</v>
      </c>
      <c r="BN59" s="2" t="s">
        <v>259</v>
      </c>
      <c r="BS59" s="61">
        <f ca="1">IF(BK58=$B$98,BH57,0)</f>
        <v>5</v>
      </c>
      <c r="BT59" s="61">
        <f ca="1">IF(BK56=$B$98,BH56,0)</f>
        <v>1</v>
      </c>
      <c r="BU59" s="61">
        <f ca="1">IF(BK54=$B$98,BJ54,0)</f>
        <v>4</v>
      </c>
      <c r="BV59" s="60"/>
      <c r="CD59" s="2" t="s">
        <v>143</v>
      </c>
      <c r="CE59" s="8"/>
      <c r="CF59" s="220"/>
      <c r="CG59" s="220"/>
      <c r="CH59" s="220"/>
      <c r="CI59" s="220"/>
      <c r="CJ59" s="220"/>
      <c r="CK59" s="220"/>
      <c r="CL59" s="220"/>
      <c r="CM59" s="220"/>
      <c r="CN59" s="220"/>
      <c r="CO59" s="220"/>
      <c r="CP59" s="220"/>
      <c r="CQ59" s="220"/>
      <c r="CR59" s="220"/>
      <c r="CS59" s="220"/>
      <c r="CT59" s="220"/>
      <c r="CV59" s="220"/>
      <c r="CX59" s="236">
        <f ca="1">IF($CX$97="",2*COUNTIF(Ergebnisse!$D$63:'Ergebnisse'!$F$78,BM59),2*INT(RAND()*2))</f>
        <v>2</v>
      </c>
      <c r="CY59" s="17" t="str">
        <f ca="1">IF(COUNTIF(Ergebnisse!BK53:'Ergebnisse'!BK58,Ergebnisse!$B$98)=6,"ok","")</f>
        <v>ok</v>
      </c>
    </row>
    <row r="60" spans="1:106">
      <c r="D60" s="55"/>
      <c r="E60" s="58"/>
      <c r="F60" s="59"/>
      <c r="G60" s="59"/>
      <c r="H60" s="55"/>
      <c r="I60" s="55"/>
      <c r="J60" s="55"/>
      <c r="AE60" s="108"/>
      <c r="AF60" s="219"/>
      <c r="AG60" s="219"/>
      <c r="AH60" s="219"/>
      <c r="AI60" s="219"/>
      <c r="AJ60" s="219"/>
      <c r="AK60" s="219"/>
      <c r="AL60" s="219"/>
      <c r="AM60" s="219"/>
      <c r="AN60" s="219"/>
      <c r="AO60" s="219"/>
      <c r="AP60" s="219"/>
      <c r="AQ60" s="219"/>
      <c r="AR60" s="219"/>
      <c r="AS60" s="219"/>
      <c r="AT60" s="219"/>
      <c r="AV60" s="219"/>
      <c r="AW60" s="2"/>
      <c r="AY60" s="17"/>
      <c r="AZ60" s="2"/>
      <c r="BD60" s="55"/>
      <c r="BE60" s="58"/>
      <c r="BF60" s="59"/>
      <c r="BG60" s="59"/>
      <c r="BH60" s="55"/>
      <c r="BI60" s="55"/>
      <c r="BJ60" s="55"/>
      <c r="BS60" s="55"/>
      <c r="BT60" s="55"/>
      <c r="BU60" s="55"/>
      <c r="BV60" s="55"/>
      <c r="CE60" s="8"/>
      <c r="CF60" s="220"/>
      <c r="CG60" s="220"/>
      <c r="CH60" s="220"/>
      <c r="CI60" s="220"/>
      <c r="CJ60" s="220"/>
      <c r="CK60" s="220"/>
      <c r="CL60" s="220"/>
      <c r="CM60" s="220"/>
      <c r="CN60" s="220"/>
      <c r="CO60" s="220"/>
      <c r="CP60" s="220"/>
      <c r="CQ60" s="220"/>
      <c r="CR60" s="220"/>
      <c r="CS60" s="220"/>
      <c r="CT60" s="220"/>
      <c r="CV60" s="220"/>
      <c r="CX60" s="1"/>
    </row>
    <row r="61" spans="1:106">
      <c r="A61" s="10"/>
      <c r="B61" s="21" t="s">
        <v>260</v>
      </c>
      <c r="C61" s="21"/>
      <c r="D61" s="17"/>
      <c r="E61" s="14"/>
      <c r="F61" s="17"/>
      <c r="G61" s="17"/>
      <c r="H61" s="20"/>
      <c r="I61" s="19"/>
      <c r="J61" s="20"/>
      <c r="K61" s="181"/>
      <c r="L61" s="17"/>
      <c r="M61" s="21"/>
      <c r="N61" s="17"/>
      <c r="O61" s="17"/>
      <c r="P61" s="17"/>
      <c r="Q61" s="17"/>
      <c r="R61" s="17"/>
      <c r="S61" s="53"/>
      <c r="T61" s="53"/>
      <c r="U61" s="53"/>
      <c r="V61" s="53"/>
      <c r="W61" s="53"/>
      <c r="X61" s="53"/>
      <c r="Y61" s="56"/>
      <c r="Z61" s="53"/>
      <c r="AA61" s="53"/>
      <c r="AB61" s="53"/>
      <c r="AC61" s="53"/>
      <c r="AD61" s="176"/>
      <c r="AE61" s="19"/>
      <c r="AF61" s="53"/>
      <c r="AG61" s="53"/>
      <c r="AH61" s="53"/>
      <c r="AI61" s="59"/>
      <c r="AJ61" s="59"/>
      <c r="AK61" s="59"/>
      <c r="AL61" s="59"/>
      <c r="AM61" s="59"/>
      <c r="AN61" s="59"/>
      <c r="AO61" s="59"/>
      <c r="AP61" s="59"/>
      <c r="AQ61" s="59"/>
      <c r="AR61" s="59"/>
      <c r="AS61" s="59"/>
      <c r="AT61" s="59"/>
      <c r="AU61" s="59"/>
      <c r="AV61" s="59"/>
      <c r="AZ61" s="206"/>
      <c r="BA61" s="10"/>
      <c r="BB61" s="10"/>
      <c r="BC61" s="10"/>
      <c r="BD61" s="10"/>
      <c r="BE61" s="10"/>
      <c r="BF61" s="10"/>
      <c r="BG61" s="10"/>
      <c r="BH61" s="10"/>
      <c r="BI61" s="10"/>
      <c r="BJ61" s="10"/>
      <c r="BK61" s="10"/>
      <c r="BL61" s="10"/>
      <c r="BM61" s="10"/>
      <c r="BN61" s="10"/>
      <c r="BO61" s="10"/>
      <c r="BP61" s="10"/>
      <c r="BQ61" s="1"/>
      <c r="BR61" s="1"/>
      <c r="BS61" s="62"/>
      <c r="BT61" s="62"/>
      <c r="BU61" s="62"/>
      <c r="BV61" s="62"/>
      <c r="BW61" s="62"/>
      <c r="BX61" s="62"/>
      <c r="BY61" s="63"/>
      <c r="BZ61" s="62"/>
      <c r="CA61" s="62"/>
      <c r="CB61" s="62"/>
      <c r="CC61" s="62"/>
      <c r="CD61" s="62"/>
      <c r="CE61" s="66"/>
      <c r="CF61" s="204"/>
      <c r="CG61" s="62"/>
      <c r="CH61" s="62"/>
      <c r="CI61" s="55"/>
      <c r="CJ61" s="55"/>
      <c r="CK61" s="55"/>
      <c r="CL61" s="55"/>
      <c r="CM61" s="55"/>
      <c r="CN61" s="55"/>
      <c r="CO61" s="62"/>
      <c r="CP61" s="55"/>
      <c r="CQ61" s="55"/>
      <c r="CR61" s="55"/>
      <c r="CS61" s="55"/>
      <c r="CT61" s="55"/>
      <c r="CU61" s="55"/>
      <c r="CV61" s="55"/>
      <c r="CW61" s="55"/>
      <c r="CX61" s="1"/>
      <c r="CZ61" s="206"/>
      <c r="DA61" s="163"/>
      <c r="DB61" s="164"/>
    </row>
    <row r="62" spans="1:106">
      <c r="B62" s="3" t="s">
        <v>22</v>
      </c>
      <c r="C62" s="3" t="s">
        <v>23</v>
      </c>
      <c r="D62" s="17"/>
      <c r="E62" s="14"/>
      <c r="F62" s="17"/>
      <c r="G62" s="17"/>
      <c r="H62" s="20"/>
      <c r="I62" s="11"/>
      <c r="J62" s="20"/>
      <c r="K62" s="181"/>
      <c r="L62" s="1"/>
      <c r="M62" s="3"/>
      <c r="N62" s="1"/>
      <c r="O62" s="1"/>
      <c r="P62" s="1"/>
      <c r="Q62" s="1"/>
      <c r="V62" s="62"/>
      <c r="W62" s="62"/>
      <c r="Z62" s="62"/>
      <c r="AA62" s="58"/>
      <c r="AB62" s="62"/>
      <c r="AC62" s="58"/>
      <c r="AE62" s="19"/>
      <c r="AF62" s="62"/>
      <c r="AG62" s="62"/>
      <c r="AH62" s="62"/>
      <c r="AZ62" s="206"/>
      <c r="BB62" s="74" t="s">
        <v>146</v>
      </c>
      <c r="BC62" s="239" t="str">
        <f ca="1">CONCATENATE(BH66,BH67,BH68,BH69,BH70,BH71,BH72,BH73)</f>
        <v>ABDEGIJL</v>
      </c>
      <c r="BS62" s="55"/>
      <c r="BT62" s="55"/>
      <c r="BU62" s="55"/>
      <c r="BV62" s="55"/>
      <c r="BW62" s="55"/>
      <c r="BX62" s="55"/>
      <c r="BZ62" s="55"/>
      <c r="CA62" s="55"/>
      <c r="CB62" s="55"/>
      <c r="CC62" s="55"/>
      <c r="CD62" s="55"/>
      <c r="CE62" s="108"/>
      <c r="CF62" s="55"/>
      <c r="CG62" s="55"/>
      <c r="CH62" s="55"/>
      <c r="CI62" s="55"/>
      <c r="CJ62" s="55"/>
      <c r="CK62" s="55"/>
      <c r="CL62" s="55"/>
      <c r="CM62" s="55"/>
      <c r="CN62" s="55"/>
      <c r="CO62" s="55"/>
      <c r="CP62" s="55"/>
      <c r="CQ62" s="55"/>
      <c r="CR62" s="55"/>
      <c r="CS62" s="55"/>
      <c r="CT62" s="55"/>
      <c r="CU62" s="55"/>
      <c r="CV62" s="55"/>
      <c r="CW62" s="55"/>
      <c r="CZ62" s="206"/>
    </row>
    <row r="63" spans="1:106">
      <c r="A63" s="2">
        <v>73</v>
      </c>
      <c r="B63" s="6">
        <f>VLOOKUP(A63,Spiele!$A$1:$L$116,2,FALSE)</f>
        <v>46201.5</v>
      </c>
      <c r="C63" s="6" t="str">
        <f>VLOOKUP(A63,Spiele!$A$1:$L$116,9,FALSE)</f>
        <v>Los Angeles</v>
      </c>
      <c r="D63" s="26" t="str">
        <f ca="1">M8</f>
        <v>Südkorea</v>
      </c>
      <c r="E63" s="15" t="s">
        <v>24</v>
      </c>
      <c r="F63" s="37" t="str">
        <f ca="1">M18</f>
        <v>Bosnien/Herzg.</v>
      </c>
      <c r="G63" s="17"/>
      <c r="H63" s="107">
        <f t="shared" ref="H63:H78" ca="1" si="24">IF($B$99="",2,INT(RAND()*5)+INT(RAND()*3)*INT(RAND()*2))</f>
        <v>4</v>
      </c>
      <c r="I63" s="11" t="s">
        <v>25</v>
      </c>
      <c r="J63" s="107">
        <f ca="1">IF($B$99="",1, H63 + IF(H63=0, 1, IF(H63=9, -1, CHOOSE(INT(RAND()*2)+1, 1, -1))))</f>
        <v>3</v>
      </c>
      <c r="K63" s="7" t="s">
        <v>26</v>
      </c>
      <c r="L63" s="1"/>
      <c r="M63" s="240" t="str">
        <f t="shared" ref="M63:M78" ca="1" si="25">IF(J63="","",IF(J63=H63,"falsch!!! K.Remis",IF(H63&gt;J63,D63,F63)))</f>
        <v>Südkorea</v>
      </c>
      <c r="N63" s="241" t="str">
        <f>N8</f>
        <v>2A</v>
      </c>
      <c r="O63" s="241" t="str">
        <f>N18</f>
        <v>2B</v>
      </c>
      <c r="P63" s="241" t="s">
        <v>261</v>
      </c>
      <c r="Q63" s="17"/>
      <c r="R63" s="16"/>
      <c r="V63" s="62"/>
      <c r="W63" s="62"/>
      <c r="Z63" s="62"/>
      <c r="AB63" s="62"/>
      <c r="AE63" s="2"/>
      <c r="AF63" s="206"/>
      <c r="AG63" s="206"/>
      <c r="AH63" s="206"/>
      <c r="AI63" s="206"/>
      <c r="AJ63" s="206"/>
      <c r="AK63" s="206"/>
      <c r="AL63" s="206"/>
      <c r="AM63" s="206"/>
      <c r="AN63" s="206"/>
      <c r="AO63" s="206"/>
      <c r="AP63" s="206"/>
      <c r="AX63" s="17">
        <f ca="1">IF(AY63="",0,IF($CX$97="",(D63=Ergebnisse!D63)+(F63=Ergebnisse!F63)+(SIGN(H63-J63)=SIGN(Ergebnisse!H63-Ergebnisse!J63))*7+(H63=Ergebnisse!H63)+(J63=Ergebnisse!J63),INT(RAND()*12)))</f>
        <v>0</v>
      </c>
      <c r="AY63" s="17" t="str">
        <f ca="1">IF(Ergebnisse!K63=Ergebnisse!$B$98,Ergebnisse!K63,"")</f>
        <v>ok</v>
      </c>
      <c r="AZ63" s="206"/>
      <c r="BS63" s="55"/>
      <c r="BT63" s="55"/>
      <c r="BU63" s="55"/>
      <c r="BV63" s="55"/>
      <c r="BW63" s="55"/>
      <c r="BX63" s="55"/>
      <c r="BZ63" s="55"/>
      <c r="CA63" s="55"/>
      <c r="CB63" s="55"/>
      <c r="CC63" s="55"/>
      <c r="CD63" s="55"/>
      <c r="CE63" s="108"/>
      <c r="CF63" s="55"/>
      <c r="CG63" s="55"/>
      <c r="CH63" s="55"/>
      <c r="CI63" s="55"/>
      <c r="CJ63" s="55"/>
      <c r="CK63" s="55"/>
      <c r="CL63" s="55"/>
      <c r="CM63" s="55"/>
      <c r="CN63" s="55"/>
      <c r="CO63" s="55"/>
      <c r="CP63" s="55"/>
      <c r="CQ63" s="55"/>
      <c r="CR63" s="55"/>
      <c r="CS63" s="55"/>
      <c r="CT63" s="55"/>
      <c r="CU63" s="55"/>
      <c r="CV63" s="55"/>
      <c r="CW63" s="55"/>
      <c r="CZ63" s="206"/>
    </row>
    <row r="64" spans="1:106">
      <c r="A64" s="2">
        <v>76</v>
      </c>
      <c r="B64" s="6">
        <f>VLOOKUP(A64,Spiele!$A$1:$L$116,2,FALSE)</f>
        <v>46202.5</v>
      </c>
      <c r="C64" s="6" t="str">
        <f>VLOOKUP(A64,Spiele!$A$1:$L$116,9,FALSE)</f>
        <v>Houston</v>
      </c>
      <c r="D64" s="38" t="str">
        <f ca="1">M27</f>
        <v>Haiti</v>
      </c>
      <c r="E64" s="15" t="s">
        <v>24</v>
      </c>
      <c r="F64" s="223" t="str">
        <f ca="1">BM28</f>
        <v>Niederlande</v>
      </c>
      <c r="G64" s="17"/>
      <c r="H64" s="107">
        <f t="shared" ca="1" si="24"/>
        <v>1</v>
      </c>
      <c r="I64" s="11" t="s">
        <v>25</v>
      </c>
      <c r="J64" s="107">
        <f t="shared" ref="J64:J78" ca="1" si="26">IF($B$99="",1, H64 + IF(H64=0, 1, IF(H64=9, -1, CHOOSE(INT(RAND()*2)+1, 1, -1))))</f>
        <v>2</v>
      </c>
      <c r="K64" s="7" t="s">
        <v>26</v>
      </c>
      <c r="L64" s="1"/>
      <c r="M64" s="240" t="str">
        <f t="shared" ca="1" si="25"/>
        <v>Niederlande</v>
      </c>
      <c r="N64" s="241" t="str">
        <f>N27</f>
        <v>1C</v>
      </c>
      <c r="O64" s="241" t="str">
        <f>BN28</f>
        <v>2F</v>
      </c>
      <c r="P64" s="241" t="s">
        <v>262</v>
      </c>
      <c r="Q64" s="184"/>
      <c r="V64" s="62"/>
      <c r="W64" s="62"/>
      <c r="AA64" s="201"/>
      <c r="AC64" s="58"/>
      <c r="AE64" s="2"/>
      <c r="AF64" s="206"/>
      <c r="AG64" s="206"/>
      <c r="AH64" s="206"/>
      <c r="AI64" s="206"/>
      <c r="AJ64" s="206"/>
      <c r="AK64" s="206"/>
      <c r="AL64" s="206"/>
      <c r="AM64" s="206"/>
      <c r="AN64" s="206"/>
      <c r="AO64" s="206"/>
      <c r="AP64" s="206"/>
      <c r="AX64" s="17">
        <f ca="1">IF(AY64="",0,IF($CX$97="",(D64=Ergebnisse!D64)+(F64=Ergebnisse!F64)+(SIGN(H64-J64)=SIGN(Ergebnisse!H64-Ergebnisse!J64))*7+(H64=Ergebnisse!H64)+(J64=Ergebnisse!J64),INT(RAND()*12)))</f>
        <v>7</v>
      </c>
      <c r="AY64" s="17" t="str">
        <f ca="1">IF(Ergebnisse!K64=Ergebnisse!$B$98,Ergebnisse!K64,"")</f>
        <v>ok</v>
      </c>
      <c r="AZ64" s="206"/>
      <c r="BB64" s="55"/>
      <c r="BC64" s="55"/>
      <c r="BD64" s="23"/>
      <c r="BE64" s="55"/>
      <c r="BF64" s="23"/>
      <c r="BG64" s="55"/>
      <c r="BM64" s="35" t="s">
        <v>263</v>
      </c>
      <c r="BS64" s="55"/>
      <c r="BT64" s="55"/>
      <c r="BU64" s="55"/>
      <c r="BV64" s="55"/>
      <c r="BW64" s="55"/>
      <c r="BX64" s="55"/>
      <c r="BZ64" s="55"/>
      <c r="CA64" s="55"/>
      <c r="CB64" s="55"/>
      <c r="CC64" s="55"/>
      <c r="CD64" s="55"/>
      <c r="CE64" s="108"/>
      <c r="CF64" s="55"/>
      <c r="CG64" s="55"/>
      <c r="CH64" s="55"/>
      <c r="CI64" s="55"/>
      <c r="CJ64" s="55"/>
      <c r="CK64" s="55"/>
      <c r="CL64" s="55"/>
      <c r="CM64" s="55"/>
      <c r="CN64" s="55"/>
      <c r="CO64" s="55"/>
      <c r="CP64" s="55"/>
      <c r="CQ64" s="55"/>
      <c r="CR64" s="55"/>
      <c r="CS64" s="55"/>
      <c r="CT64" s="55"/>
      <c r="CU64" s="55"/>
      <c r="CV64" s="55"/>
      <c r="CW64" s="55"/>
      <c r="CZ64" s="206"/>
    </row>
    <row r="65" spans="1:104">
      <c r="A65" s="2">
        <v>74</v>
      </c>
      <c r="B65" s="6">
        <f>VLOOKUP(A65,Spiele!$A$1:$L$116,2,FALSE)</f>
        <v>46202.6875</v>
      </c>
      <c r="C65" s="6" t="str">
        <f>VLOOKUP(A65,Spiele!$A$1:$L$116,9,FALSE)</f>
        <v>Boston</v>
      </c>
      <c r="D65" s="73" t="str">
        <f ca="1">BM17</f>
        <v>Ecuador</v>
      </c>
      <c r="E65" s="15" t="s">
        <v>24</v>
      </c>
      <c r="F65" s="34" t="str">
        <f ca="1">VLOOKUP(R65,$BC$66:$BF$73,4,FALSE)</f>
        <v>Türkei</v>
      </c>
      <c r="G65" s="17"/>
      <c r="H65" s="107">
        <f t="shared" ca="1" si="24"/>
        <v>1</v>
      </c>
      <c r="I65" s="11" t="s">
        <v>25</v>
      </c>
      <c r="J65" s="107">
        <f t="shared" ca="1" si="26"/>
        <v>2</v>
      </c>
      <c r="K65" s="7" t="s">
        <v>26</v>
      </c>
      <c r="L65" s="1"/>
      <c r="M65" s="242" t="str">
        <f t="shared" ca="1" si="25"/>
        <v>Türkei</v>
      </c>
      <c r="N65" s="241" t="str">
        <f>BN17</f>
        <v>1E</v>
      </c>
      <c r="O65" s="241" t="str">
        <f ca="1">R65</f>
        <v>3D</v>
      </c>
      <c r="P65" s="241" t="s">
        <v>264</v>
      </c>
      <c r="Q65" s="184"/>
      <c r="R65" s="243" t="str">
        <f ca="1">VLOOKUP(N65,BB$66:BC$73,2,FALSE)</f>
        <v>3D</v>
      </c>
      <c r="V65" s="62"/>
      <c r="W65" s="62"/>
      <c r="Z65" s="62"/>
      <c r="AC65" s="58"/>
      <c r="AE65" s="2"/>
      <c r="AF65" s="206"/>
      <c r="AG65" s="206"/>
      <c r="AH65" s="206"/>
      <c r="AI65" s="206"/>
      <c r="AJ65" s="206"/>
      <c r="AK65" s="206"/>
      <c r="AL65" s="206"/>
      <c r="AM65" s="206"/>
      <c r="AN65" s="206"/>
      <c r="AO65" s="206"/>
      <c r="AP65" s="206"/>
      <c r="AX65" s="17">
        <f ca="1">IF(AY65="",0,IF($CX$97="",(D65=Ergebnisse!D65)+(F65=Ergebnisse!F65)+(SIGN(H65-J65)=SIGN(Ergebnisse!H65-Ergebnisse!J65))*7+(H65=Ergebnisse!H65)+(J65=Ergebnisse!J65),INT(RAND()*12)))</f>
        <v>1</v>
      </c>
      <c r="AY65" s="17" t="str">
        <f ca="1">IF(Ergebnisse!K65=Ergebnisse!$B$98,Ergebnisse!K65,"")</f>
        <v>ok</v>
      </c>
      <c r="AZ65" s="206"/>
      <c r="BB65" s="53" t="s">
        <v>265</v>
      </c>
      <c r="BC65" s="53" t="s">
        <v>266</v>
      </c>
      <c r="BD65" s="54" t="s">
        <v>267</v>
      </c>
      <c r="BE65" s="59"/>
      <c r="BF65" s="53" t="s">
        <v>268</v>
      </c>
      <c r="BG65" s="59"/>
      <c r="BH65" s="10"/>
      <c r="BI65" s="10"/>
      <c r="BK65" s="10"/>
      <c r="BL65" s="17"/>
      <c r="BM65" s="35" t="s">
        <v>3</v>
      </c>
      <c r="BN65" s="17" t="s">
        <v>4</v>
      </c>
      <c r="BO65" s="17" t="s">
        <v>5</v>
      </c>
      <c r="BP65" s="17" t="s">
        <v>6</v>
      </c>
      <c r="BQ65" s="17" t="s">
        <v>7</v>
      </c>
      <c r="BR65" s="53" t="s">
        <v>148</v>
      </c>
      <c r="BS65" s="17" t="s">
        <v>8</v>
      </c>
      <c r="BT65" s="10"/>
      <c r="BU65" s="59"/>
      <c r="BV65" s="59"/>
      <c r="BW65" s="59"/>
      <c r="BX65" s="53" t="s">
        <v>118</v>
      </c>
      <c r="BY65" s="59" t="s">
        <v>146</v>
      </c>
      <c r="BZ65" s="59"/>
      <c r="CA65" s="59"/>
      <c r="CB65" s="59"/>
      <c r="CC65" s="59"/>
      <c r="CD65" s="59"/>
      <c r="CE65" s="19" t="s">
        <v>10</v>
      </c>
      <c r="CF65" s="53" t="s">
        <v>8</v>
      </c>
      <c r="CG65" s="53"/>
      <c r="CH65" s="53" t="s">
        <v>149</v>
      </c>
      <c r="CI65" s="53"/>
      <c r="CJ65" s="19" t="s">
        <v>269</v>
      </c>
      <c r="CK65" s="59"/>
      <c r="CL65" s="59"/>
      <c r="CM65" s="59"/>
      <c r="CN65" s="59"/>
      <c r="CO65" s="59"/>
      <c r="CP65" s="59"/>
      <c r="CQ65" s="59"/>
      <c r="CR65" s="59"/>
      <c r="CS65" s="59"/>
      <c r="CT65" s="59"/>
      <c r="CU65" s="59"/>
      <c r="CW65" s="55"/>
      <c r="CZ65" s="206"/>
    </row>
    <row r="66" spans="1:104">
      <c r="A66" s="2">
        <v>75</v>
      </c>
      <c r="B66" s="6">
        <f>VLOOKUP(A66,Spiele!$A$1:$L$116,2,FALSE)</f>
        <v>46202.833333333336</v>
      </c>
      <c r="C66" s="6" t="str">
        <f>VLOOKUP(A66,Spiele!$A$1:$L$116,9,FALSE)</f>
        <v>Monterrey</v>
      </c>
      <c r="D66" s="223" t="str">
        <f ca="1">BM27</f>
        <v>Tunesien</v>
      </c>
      <c r="E66" s="15" t="s">
        <v>24</v>
      </c>
      <c r="F66" s="38" t="str">
        <f ca="1">M28</f>
        <v>Schottland</v>
      </c>
      <c r="G66" s="17"/>
      <c r="H66" s="107">
        <f t="shared" ca="1" si="24"/>
        <v>2</v>
      </c>
      <c r="I66" s="11" t="s">
        <v>25</v>
      </c>
      <c r="J66" s="107">
        <f t="shared" ca="1" si="26"/>
        <v>1</v>
      </c>
      <c r="K66" s="7" t="s">
        <v>26</v>
      </c>
      <c r="L66" s="1"/>
      <c r="M66" s="242" t="str">
        <f t="shared" ca="1" si="25"/>
        <v>Tunesien</v>
      </c>
      <c r="N66" s="241" t="str">
        <f>BN27</f>
        <v>1F</v>
      </c>
      <c r="O66" s="241" t="str">
        <f>N28</f>
        <v>2C</v>
      </c>
      <c r="P66" s="241" t="s">
        <v>270</v>
      </c>
      <c r="Q66" s="184"/>
      <c r="R66" s="201"/>
      <c r="V66" s="62"/>
      <c r="W66" s="62"/>
      <c r="Z66" s="62"/>
      <c r="AC66" s="58"/>
      <c r="AE66" s="2"/>
      <c r="AF66" s="206"/>
      <c r="AG66" s="206"/>
      <c r="AH66" s="206"/>
      <c r="AI66" s="206"/>
      <c r="AJ66" s="206"/>
      <c r="AK66" s="206"/>
      <c r="AL66" s="206"/>
      <c r="AM66" s="206"/>
      <c r="AN66" s="206"/>
      <c r="AO66" s="206"/>
      <c r="AP66" s="206"/>
      <c r="AX66" s="17">
        <f ca="1">IF(AY66="",0,IF($CX$97="",(D66=Ergebnisse!D66)+(F66=Ergebnisse!F66)+(SIGN(H66-J66)=SIGN(Ergebnisse!H66-Ergebnisse!J66))*7+(H66=Ergebnisse!H66)+(J66=Ergebnisse!J66),INT(RAND()*12)))</f>
        <v>0</v>
      </c>
      <c r="AY66" s="17" t="str">
        <f ca="1">IF(Ergebnisse!K66=Ergebnisse!$B$98,Ergebnisse!K66,"")</f>
        <v>ok</v>
      </c>
      <c r="AZ66" s="206"/>
      <c r="BB66" s="104" t="str">
        <f>FIFA!C1</f>
        <v>1A</v>
      </c>
      <c r="BC66" s="243" t="str">
        <f ca="1">IF(CJ66="",INDEX(FIFA!C:C, MATCH($BC$62, FIFA!B:B, 0)),CJ66)</f>
        <v>3E</v>
      </c>
      <c r="BD66" s="17" t="s">
        <v>271</v>
      </c>
      <c r="BF66" s="244" t="str">
        <f ca="1">IF(BN66&lt;1,"",VLOOKUP(CODE(MID(BC66,2,1))-64,$BL$66:$BM$77,2,FALSE))</f>
        <v>Elfenbeinküste</v>
      </c>
      <c r="BG66" s="55"/>
      <c r="BH66" s="245" t="str">
        <f t="shared" ref="BH66:BH73" ca="1" si="27">CHAR(BJ66+64)</f>
        <v>A</v>
      </c>
      <c r="BI66" s="241"/>
      <c r="BJ66" s="246">
        <f ca="1">SMALL(BR$66:BR$73,1)</f>
        <v>1</v>
      </c>
      <c r="BK66" s="1" t="str">
        <f t="shared" ref="BK66:BK77" ca="1" si="28">BS66</f>
        <v>E</v>
      </c>
      <c r="BL66" s="1">
        <f t="shared" ref="BL66:BL77" ca="1" si="29">CODE(BK66)-64</f>
        <v>5</v>
      </c>
      <c r="BM66" s="175" t="str">
        <f ca="1">VLOOKUP(1,$BX$66:$CC$77,2,FALSE)</f>
        <v>Elfenbeinküste</v>
      </c>
      <c r="BN66" s="2">
        <f ca="1">VLOOKUP(1,$BX$66:$CC$77,3,FALSE)</f>
        <v>4</v>
      </c>
      <c r="BO66" s="2">
        <f ca="1">VLOOKUP(1,$BX$66:$CC$77,4,FALSE)</f>
        <v>9</v>
      </c>
      <c r="BP66" s="2">
        <f ca="1">VLOOKUP(1,$BX$66:$CC$77,5,FALSE)</f>
        <v>8</v>
      </c>
      <c r="BQ66" s="2">
        <f ca="1">VLOOKUP(1,$BX$66:$CC$77,6,FALSE)</f>
        <v>1</v>
      </c>
      <c r="BR66" s="1">
        <f t="shared" ref="BR66:BR77" ca="1" si="30">CODE(BS66)-64</f>
        <v>5</v>
      </c>
      <c r="BS66" s="247" t="str">
        <f ca="1">MID(VLOOKUP(1,$BX$66:$CF$77,9,FALSE),2,1)</f>
        <v>E</v>
      </c>
      <c r="BT66" s="55"/>
      <c r="BU66" s="55"/>
      <c r="BV66" s="55"/>
      <c r="BW66" s="55"/>
      <c r="BX66" s="62">
        <f t="shared" ref="BX66:BX77" ca="1" si="31">RANK(CD66,$CD$66:$CD$77)</f>
        <v>8</v>
      </c>
      <c r="BY66" s="153" t="str">
        <f ca="1">M4</f>
        <v>Mexiko</v>
      </c>
      <c r="BZ66" s="55">
        <f ca="1">N4</f>
        <v>3</v>
      </c>
      <c r="CA66" s="55">
        <f ca="1">O4</f>
        <v>3</v>
      </c>
      <c r="CB66" s="55">
        <f ca="1">P4</f>
        <v>5</v>
      </c>
      <c r="CC66" s="55">
        <f ca="1">Q4</f>
        <v>-2</v>
      </c>
      <c r="CD66" s="174">
        <f t="shared" ref="CD66:CD77" ca="1" si="32">CE66*10000000000000000+BZ66*100000000000000+CC66*1000000000000+CA66*10000000000+CH66</f>
        <v>298030000000012</v>
      </c>
      <c r="CE66" s="203"/>
      <c r="CF66" s="248" t="str">
        <f>N9</f>
        <v>3A</v>
      </c>
      <c r="CG66" s="55"/>
      <c r="CH66" s="203">
        <v>12</v>
      </c>
      <c r="CI66" s="55"/>
      <c r="CJ66" s="203"/>
      <c r="CK66" s="55"/>
      <c r="CL66" s="55"/>
      <c r="CM66" s="55"/>
      <c r="CN66" s="55"/>
      <c r="CO66" s="55"/>
      <c r="CP66" s="55"/>
      <c r="CQ66" s="55"/>
      <c r="CR66" s="55"/>
      <c r="CS66" s="55"/>
      <c r="CT66" s="55"/>
      <c r="CU66" s="55"/>
      <c r="CW66" s="55"/>
      <c r="CZ66" s="206"/>
    </row>
    <row r="67" spans="1:104">
      <c r="A67" s="2">
        <v>78</v>
      </c>
      <c r="B67" s="6">
        <f>VLOOKUP(A67,Spiele!$A$1:$L$116,2,FALSE)</f>
        <v>46203.5</v>
      </c>
      <c r="C67" s="6" t="str">
        <f>VLOOKUP(A67,Spiele!$A$1:$L$116,9,FALSE)</f>
        <v>Dallas</v>
      </c>
      <c r="D67" s="73" t="str">
        <f ca="1">BM18</f>
        <v>Curaçao</v>
      </c>
      <c r="E67" s="15" t="s">
        <v>24</v>
      </c>
      <c r="F67" s="238" t="str">
        <f ca="1">M58</f>
        <v>Irak</v>
      </c>
      <c r="G67" s="17"/>
      <c r="H67" s="107">
        <f t="shared" ca="1" si="24"/>
        <v>1</v>
      </c>
      <c r="I67" s="11" t="s">
        <v>25</v>
      </c>
      <c r="J67" s="107">
        <f t="shared" ca="1" si="26"/>
        <v>2</v>
      </c>
      <c r="K67" s="7" t="s">
        <v>26</v>
      </c>
      <c r="L67" s="1"/>
      <c r="M67" s="249" t="str">
        <f t="shared" ca="1" si="25"/>
        <v>Irak</v>
      </c>
      <c r="N67" s="241" t="str">
        <f>BN18</f>
        <v>2E</v>
      </c>
      <c r="O67" s="241" t="str">
        <f>N58</f>
        <v>2I</v>
      </c>
      <c r="P67" s="241" t="s">
        <v>272</v>
      </c>
      <c r="Q67" s="184"/>
      <c r="R67" s="201"/>
      <c r="V67" s="62"/>
      <c r="W67" s="62"/>
      <c r="Z67" s="62"/>
      <c r="AC67" s="58"/>
      <c r="AE67" s="2"/>
      <c r="AF67" s="206"/>
      <c r="AG67" s="206"/>
      <c r="AH67" s="206"/>
      <c r="AI67" s="206"/>
      <c r="AJ67" s="206"/>
      <c r="AK67" s="206"/>
      <c r="AL67" s="206"/>
      <c r="AM67" s="206"/>
      <c r="AN67" s="206"/>
      <c r="AO67" s="206"/>
      <c r="AP67" s="206"/>
      <c r="AX67" s="17">
        <f ca="1">IF(AY67="",0,IF($CX$97="",(D67=Ergebnisse!D67)+(F67=Ergebnisse!F67)+(SIGN(H67-J67)=SIGN(Ergebnisse!H67-Ergebnisse!J67))*7+(H67=Ergebnisse!H67)+(J67=Ergebnisse!J67),INT(RAND()*12)))</f>
        <v>1</v>
      </c>
      <c r="AY67" s="17" t="str">
        <f ca="1">IF(Ergebnisse!K67=Ergebnisse!$B$98,Ergebnisse!K67,"")</f>
        <v>ok</v>
      </c>
      <c r="AZ67" s="206"/>
      <c r="BB67" s="104" t="str">
        <f>FIFA!D1</f>
        <v>1B</v>
      </c>
      <c r="BC67" s="243" t="str">
        <f ca="1">IF(CJ67="",INDEX(FIFA!D:D, MATCH($BC$62, FIFA!B:B, 0)),CJ67)</f>
        <v>3J</v>
      </c>
      <c r="BD67" s="17" t="s">
        <v>273</v>
      </c>
      <c r="BF67" s="244" t="str">
        <f t="shared" ref="BF67:BF73" ca="1" si="33">IF(BN67&lt;1,"",VLOOKUP(CODE(MID(BC67,2,1))-64,$BL$66:$BM$77,2,FALSE))</f>
        <v>Österreich</v>
      </c>
      <c r="BG67" s="55"/>
      <c r="BH67" s="245" t="str">
        <f t="shared" ca="1" si="27"/>
        <v>B</v>
      </c>
      <c r="BI67" s="241"/>
      <c r="BJ67" s="246">
        <f ca="1">SMALL(BR$66:BR$73,2)</f>
        <v>2</v>
      </c>
      <c r="BK67" s="1" t="str">
        <f t="shared" ca="1" si="28"/>
        <v>L</v>
      </c>
      <c r="BL67" s="1">
        <f t="shared" ca="1" si="29"/>
        <v>12</v>
      </c>
      <c r="BM67" s="175" t="str">
        <f ca="1">VLOOKUP(2,$BX$66:$CC$77,2,FALSE)</f>
        <v>Kroatien</v>
      </c>
      <c r="BN67" s="2">
        <f ca="1">VLOOKUP(2,$BX$66:$CC$77,3,FALSE)</f>
        <v>4</v>
      </c>
      <c r="BO67" s="2">
        <f ca="1">VLOOKUP(2,$BX$66:$CC$77,4,FALSE)</f>
        <v>3</v>
      </c>
      <c r="BP67" s="2">
        <f ca="1">VLOOKUP(2,$BX$66:$CC$77,5,FALSE)</f>
        <v>4</v>
      </c>
      <c r="BQ67" s="2">
        <f ca="1">VLOOKUP(2,$BX$66:$CC$77,6,FALSE)</f>
        <v>-1</v>
      </c>
      <c r="BR67" s="1">
        <f t="shared" ca="1" si="30"/>
        <v>12</v>
      </c>
      <c r="BS67" s="247" t="str">
        <f ca="1">MID(VLOOKUP(2,$BX$66:$CF$77,9,FALSE),2,1)</f>
        <v>L</v>
      </c>
      <c r="BT67" s="55"/>
      <c r="BU67" s="55"/>
      <c r="BV67" s="55"/>
      <c r="BW67" s="55"/>
      <c r="BX67" s="62">
        <f t="shared" ca="1" si="31"/>
        <v>7</v>
      </c>
      <c r="BY67" s="153" t="str">
        <f ca="1">M14</f>
        <v>Kanada</v>
      </c>
      <c r="BZ67" s="55">
        <f ca="1">N14</f>
        <v>3</v>
      </c>
      <c r="CA67" s="55">
        <f ca="1">O14</f>
        <v>8</v>
      </c>
      <c r="CB67" s="55">
        <f ca="1">P14</f>
        <v>10</v>
      </c>
      <c r="CC67" s="55">
        <f ca="1">Q14</f>
        <v>-2</v>
      </c>
      <c r="CD67" s="174">
        <f t="shared" ca="1" si="32"/>
        <v>298080000000011</v>
      </c>
      <c r="CE67" s="203"/>
      <c r="CF67" s="31" t="str">
        <f>N19</f>
        <v>3B</v>
      </c>
      <c r="CG67" s="55"/>
      <c r="CH67" s="203">
        <f>CH66-1</f>
        <v>11</v>
      </c>
      <c r="CI67" s="55"/>
      <c r="CJ67" s="203"/>
      <c r="CK67" s="55"/>
      <c r="CL67" s="55"/>
      <c r="CM67" s="55"/>
      <c r="CN67" s="55"/>
      <c r="CO67" s="55"/>
      <c r="CP67" s="55"/>
      <c r="CQ67" s="55"/>
      <c r="CR67" s="55"/>
      <c r="CS67" s="55"/>
      <c r="CT67" s="55"/>
      <c r="CU67" s="55"/>
      <c r="CW67" s="55"/>
      <c r="CZ67" s="206"/>
    </row>
    <row r="68" spans="1:104">
      <c r="A68" s="2">
        <v>77</v>
      </c>
      <c r="B68" s="6">
        <f>VLOOKUP(A68,Spiele!$A$1:$L$116,2,FALSE)</f>
        <v>46203.708333333336</v>
      </c>
      <c r="C68" s="6" t="str">
        <f>VLOOKUP(A68,Spiele!$A$1:$L$116,9,FALSE)</f>
        <v>New York</v>
      </c>
      <c r="D68" s="238" t="str">
        <f ca="1">M57</f>
        <v>Norwegen</v>
      </c>
      <c r="E68" s="15" t="s">
        <v>24</v>
      </c>
      <c r="F68" s="34" t="str">
        <f ca="1">VLOOKUP(R68,$BC$66:$BF$73,4,FALSE)</f>
        <v>IR Iran</v>
      </c>
      <c r="G68" s="17"/>
      <c r="H68" s="107">
        <f t="shared" ca="1" si="24"/>
        <v>1</v>
      </c>
      <c r="I68" s="11" t="s">
        <v>25</v>
      </c>
      <c r="J68" s="107">
        <f t="shared" ca="1" si="26"/>
        <v>2</v>
      </c>
      <c r="K68" s="7" t="s">
        <v>26</v>
      </c>
      <c r="L68" s="1"/>
      <c r="M68" s="249" t="str">
        <f t="shared" ca="1" si="25"/>
        <v>IR Iran</v>
      </c>
      <c r="N68" s="250" t="str">
        <f>N57</f>
        <v>1I</v>
      </c>
      <c r="O68" s="241" t="str">
        <f ca="1">R68</f>
        <v>3G</v>
      </c>
      <c r="P68" s="241" t="s">
        <v>274</v>
      </c>
      <c r="Q68" s="184"/>
      <c r="R68" s="243" t="str">
        <f ca="1">VLOOKUP(N68,BB$66:BC$73,2,FALSE)</f>
        <v>3G</v>
      </c>
      <c r="V68" s="62"/>
      <c r="W68" s="62"/>
      <c r="Z68" s="62"/>
      <c r="AC68" s="58"/>
      <c r="AE68" s="2"/>
      <c r="AF68" s="206"/>
      <c r="AG68" s="206"/>
      <c r="AH68" s="206"/>
      <c r="AI68" s="206"/>
      <c r="AJ68" s="206"/>
      <c r="AK68" s="206"/>
      <c r="AL68" s="206"/>
      <c r="AM68" s="206"/>
      <c r="AN68" s="206"/>
      <c r="AO68" s="206"/>
      <c r="AP68" s="206"/>
      <c r="AX68" s="17">
        <f ca="1">IF(AY68="",0,IF($CX$97="",(D68=Ergebnisse!D68)+(F68=Ergebnisse!F68)+(SIGN(H68-J68)=SIGN(Ergebnisse!H68-Ergebnisse!J68))*7+(H68=Ergebnisse!H68)+(J68=Ergebnisse!J68),INT(RAND()*12)))</f>
        <v>0</v>
      </c>
      <c r="AY68" s="17" t="str">
        <f ca="1">IF(Ergebnisse!K68=Ergebnisse!$B$98,Ergebnisse!K68,"")</f>
        <v>ok</v>
      </c>
      <c r="AZ68" s="206"/>
      <c r="BB68" s="104" t="str">
        <f>FIFA!E1</f>
        <v>1D</v>
      </c>
      <c r="BC68" s="243" t="str">
        <f ca="1">IF(CJ68="",INDEX(FIFA!E:E, MATCH($BC$62, FIFA!B:B, 0)),CJ68)</f>
        <v>3B</v>
      </c>
      <c r="BD68" s="17" t="s">
        <v>275</v>
      </c>
      <c r="BF68" s="244" t="str">
        <f t="shared" ca="1" si="33"/>
        <v>Kanada</v>
      </c>
      <c r="BG68" s="55"/>
      <c r="BH68" s="245" t="str">
        <f t="shared" ca="1" si="27"/>
        <v>D</v>
      </c>
      <c r="BI68" s="241"/>
      <c r="BJ68" s="246">
        <f ca="1">SMALL(BR$66:BR$73,3)</f>
        <v>4</v>
      </c>
      <c r="BK68" s="1" t="str">
        <f t="shared" ca="1" si="28"/>
        <v>G</v>
      </c>
      <c r="BL68" s="1">
        <f t="shared" ca="1" si="29"/>
        <v>7</v>
      </c>
      <c r="BM68" s="175" t="str">
        <f ca="1">VLOOKUP(3,$BX$66:$CC$77,2,FALSE)</f>
        <v>IR Iran</v>
      </c>
      <c r="BN68" s="2">
        <f ca="1">VLOOKUP(3,$BX$66:$CC$77,3,FALSE)</f>
        <v>4</v>
      </c>
      <c r="BO68" s="2">
        <f ca="1">VLOOKUP(3,$BX$66:$CC$77,4,FALSE)</f>
        <v>7</v>
      </c>
      <c r="BP68" s="2">
        <f ca="1">VLOOKUP(3,$BX$66:$CC$77,5,FALSE)</f>
        <v>10</v>
      </c>
      <c r="BQ68" s="2">
        <f ca="1">VLOOKUP(3,$BX$66:$CC$77,6,FALSE)</f>
        <v>-3</v>
      </c>
      <c r="BR68" s="1">
        <f t="shared" ca="1" si="30"/>
        <v>7</v>
      </c>
      <c r="BS68" s="247" t="str">
        <f ca="1">MID(VLOOKUP(3,$BX$66:$CF$77,9,FALSE),2,1)</f>
        <v>G</v>
      </c>
      <c r="BT68" s="55"/>
      <c r="BU68" s="55"/>
      <c r="BV68" s="55"/>
      <c r="BW68" s="55"/>
      <c r="BX68" s="62">
        <f t="shared" ca="1" si="31"/>
        <v>10</v>
      </c>
      <c r="BY68" s="153" t="str">
        <f ca="1">M24</f>
        <v>Brasilien</v>
      </c>
      <c r="BZ68" s="55">
        <f ca="1">N24</f>
        <v>3</v>
      </c>
      <c r="CA68" s="55">
        <f ca="1">O24</f>
        <v>7</v>
      </c>
      <c r="CB68" s="55">
        <f ca="1">P24</f>
        <v>12</v>
      </c>
      <c r="CC68" s="55">
        <f ca="1">Q24</f>
        <v>-5</v>
      </c>
      <c r="CD68" s="174">
        <f t="shared" ca="1" si="32"/>
        <v>295070000000010</v>
      </c>
      <c r="CE68" s="203"/>
      <c r="CF68" s="27" t="str">
        <f>N29</f>
        <v>3C</v>
      </c>
      <c r="CG68" s="55"/>
      <c r="CH68" s="203">
        <f t="shared" ref="CH68:CH77" si="34">CH67-1</f>
        <v>10</v>
      </c>
      <c r="CI68" s="55"/>
      <c r="CJ68" s="203"/>
      <c r="CK68" s="55"/>
      <c r="CL68" s="55"/>
      <c r="CM68" s="55"/>
      <c r="CN68" s="55"/>
      <c r="CO68" s="55"/>
      <c r="CP68" s="55"/>
      <c r="CQ68" s="55"/>
      <c r="CR68" s="55"/>
      <c r="CS68" s="55"/>
      <c r="CT68" s="55"/>
      <c r="CU68" s="55"/>
      <c r="CW68" s="55"/>
      <c r="CZ68" s="206"/>
    </row>
    <row r="69" spans="1:104">
      <c r="A69" s="2">
        <v>79</v>
      </c>
      <c r="B69" s="6">
        <f>VLOOKUP(A69,Spiele!$A$1:$L$116,2,FALSE)</f>
        <v>46203.833333333336</v>
      </c>
      <c r="C69" s="6" t="str">
        <f>VLOOKUP(A69,Spiele!$A$1:$L$116,9,FALSE)</f>
        <v>Mexico City</v>
      </c>
      <c r="D69" s="251" t="str">
        <f ca="1">M7</f>
        <v>Tschechien</v>
      </c>
      <c r="E69" s="15" t="s">
        <v>24</v>
      </c>
      <c r="F69" s="34" t="str">
        <f ca="1">VLOOKUP(R69,$BC$66:$BF$73,4,FALSE)</f>
        <v>Elfenbeinküste</v>
      </c>
      <c r="G69" s="17"/>
      <c r="H69" s="107">
        <f t="shared" ca="1" si="24"/>
        <v>2</v>
      </c>
      <c r="I69" s="11" t="s">
        <v>25</v>
      </c>
      <c r="J69" s="107">
        <f t="shared" ca="1" si="26"/>
        <v>3</v>
      </c>
      <c r="K69" s="7" t="s">
        <v>26</v>
      </c>
      <c r="L69" s="1"/>
      <c r="M69" s="252" t="str">
        <f t="shared" ca="1" si="25"/>
        <v>Elfenbeinküste</v>
      </c>
      <c r="N69" s="241" t="str">
        <f>N7</f>
        <v>1A</v>
      </c>
      <c r="O69" s="241" t="str">
        <f ca="1">R69</f>
        <v>3E</v>
      </c>
      <c r="P69" s="241" t="s">
        <v>276</v>
      </c>
      <c r="Q69" s="184"/>
      <c r="R69" s="243" t="str">
        <f ca="1">VLOOKUP(N69,BB$66:BC$73,2,FALSE)</f>
        <v>3E</v>
      </c>
      <c r="V69" s="62"/>
      <c r="W69" s="62"/>
      <c r="Z69" s="62"/>
      <c r="AC69" s="58"/>
      <c r="AE69" s="2"/>
      <c r="AF69" s="206"/>
      <c r="AG69" s="206"/>
      <c r="AH69" s="206"/>
      <c r="AI69" s="206"/>
      <c r="AJ69" s="206"/>
      <c r="AK69" s="206"/>
      <c r="AL69" s="206"/>
      <c r="AM69" s="206"/>
      <c r="AN69" s="206"/>
      <c r="AO69" s="206"/>
      <c r="AP69" s="206"/>
      <c r="AX69" s="17">
        <f ca="1">IF(AY69="",0,IF($CX$97="",(D69=Ergebnisse!D69)+(F69=Ergebnisse!F69)+(SIGN(H69-J69)=SIGN(Ergebnisse!H69-Ergebnisse!J69))*7+(H69=Ergebnisse!H69)+(J69=Ergebnisse!J69),INT(RAND()*12)))</f>
        <v>0</v>
      </c>
      <c r="AY69" s="17" t="str">
        <f ca="1">IF(Ergebnisse!K69=Ergebnisse!$B$98,Ergebnisse!K69,"")</f>
        <v>ok</v>
      </c>
      <c r="AZ69" s="206"/>
      <c r="BB69" s="104" t="str">
        <f>FIFA!F1</f>
        <v>1E</v>
      </c>
      <c r="BC69" s="243" t="str">
        <f ca="1">IF(CJ69="",INDEX(FIFA!F:F,MATCH($BC$62,FIFA!B:B,0)),CJ69)</f>
        <v>3D</v>
      </c>
      <c r="BD69" s="17" t="s">
        <v>277</v>
      </c>
      <c r="BF69" s="244" t="str">
        <f t="shared" ca="1" si="33"/>
        <v>Türkei</v>
      </c>
      <c r="BG69" s="55"/>
      <c r="BH69" s="245" t="str">
        <f t="shared" ca="1" si="27"/>
        <v>E</v>
      </c>
      <c r="BI69" s="241"/>
      <c r="BJ69" s="246">
        <f ca="1">SMALL(BR$66:BR$73,4)</f>
        <v>5</v>
      </c>
      <c r="BK69" s="1" t="str">
        <f t="shared" ca="1" si="28"/>
        <v>D</v>
      </c>
      <c r="BL69" s="1">
        <f t="shared" ca="1" si="29"/>
        <v>4</v>
      </c>
      <c r="BM69" s="175" t="str">
        <f ca="1">VLOOKUP(4,$BX$66:$CC$77,2,FALSE)</f>
        <v>Türkei</v>
      </c>
      <c r="BN69" s="2">
        <f ca="1">VLOOKUP(4,$BX$66:$CC$77,3,FALSE)</f>
        <v>4</v>
      </c>
      <c r="BO69" s="2">
        <f ca="1">VLOOKUP(4,$BX$66:$CC$77,4,FALSE)</f>
        <v>5</v>
      </c>
      <c r="BP69" s="2">
        <f ca="1">VLOOKUP(4,$BX$66:$CC$77,5,FALSE)</f>
        <v>8</v>
      </c>
      <c r="BQ69" s="2">
        <f ca="1">VLOOKUP(4,$BX$66:$CC$77,6,FALSE)</f>
        <v>-3</v>
      </c>
      <c r="BR69" s="1">
        <f t="shared" ca="1" si="30"/>
        <v>4</v>
      </c>
      <c r="BS69" s="247" t="str">
        <f ca="1">MID(VLOOKUP(4,$BX$66:$CF$77,9,FALSE),2,1)</f>
        <v>D</v>
      </c>
      <c r="BT69" s="55"/>
      <c r="BU69" s="55"/>
      <c r="BV69" s="55"/>
      <c r="BW69" s="55"/>
      <c r="BX69" s="62">
        <f t="shared" ca="1" si="31"/>
        <v>4</v>
      </c>
      <c r="BY69" s="153" t="str">
        <f ca="1">BM4</f>
        <v>Türkei</v>
      </c>
      <c r="BZ69" s="55">
        <f ca="1">BN4</f>
        <v>4</v>
      </c>
      <c r="CA69" s="55">
        <f ca="1">BO4</f>
        <v>5</v>
      </c>
      <c r="CB69" s="55">
        <f ca="1">BP4</f>
        <v>8</v>
      </c>
      <c r="CC69" s="55">
        <f ca="1">BQ4</f>
        <v>-3</v>
      </c>
      <c r="CD69" s="174">
        <f t="shared" ca="1" si="32"/>
        <v>397050000000009</v>
      </c>
      <c r="CE69" s="203"/>
      <c r="CF69" s="76" t="str">
        <f>BN9</f>
        <v>3D</v>
      </c>
      <c r="CG69" s="55"/>
      <c r="CH69" s="203">
        <f t="shared" si="34"/>
        <v>9</v>
      </c>
      <c r="CI69" s="55"/>
      <c r="CJ69" s="203"/>
      <c r="CK69" s="55"/>
      <c r="CL69" s="55"/>
      <c r="CM69" s="55"/>
      <c r="CN69" s="55"/>
      <c r="CO69" s="55"/>
      <c r="CP69" s="55"/>
      <c r="CQ69" s="55"/>
      <c r="CR69" s="55"/>
      <c r="CS69" s="55"/>
      <c r="CT69" s="55"/>
      <c r="CU69" s="55"/>
      <c r="CW69" s="55"/>
      <c r="CZ69" s="206"/>
    </row>
    <row r="70" spans="1:104">
      <c r="A70" s="2">
        <v>80</v>
      </c>
      <c r="B70" s="6">
        <f>VLOOKUP(A70,Spiele!$A$1:$L$116,2,FALSE)</f>
        <v>46204.5</v>
      </c>
      <c r="C70" s="6" t="str">
        <f>VLOOKUP(A70,Spiele!$A$1:$L$116,9,FALSE)</f>
        <v>Atlanta</v>
      </c>
      <c r="D70" s="237" t="str">
        <f ca="1">BM57</f>
        <v>Ghana</v>
      </c>
      <c r="E70" s="15" t="s">
        <v>24</v>
      </c>
      <c r="F70" s="34" t="str">
        <f ca="1">VLOOKUP(R70,$BC$66:$BF$73,4,FALSE)</f>
        <v>Frankreich</v>
      </c>
      <c r="G70" s="17"/>
      <c r="H70" s="107">
        <f t="shared" ca="1" si="24"/>
        <v>0</v>
      </c>
      <c r="I70" s="11" t="s">
        <v>25</v>
      </c>
      <c r="J70" s="107">
        <f t="shared" ca="1" si="26"/>
        <v>1</v>
      </c>
      <c r="K70" s="7" t="s">
        <v>26</v>
      </c>
      <c r="L70" s="1"/>
      <c r="M70" s="252" t="str">
        <f t="shared" ca="1" si="25"/>
        <v>Frankreich</v>
      </c>
      <c r="N70" s="241" t="str">
        <f>BN57</f>
        <v>1L</v>
      </c>
      <c r="O70" s="241" t="str">
        <f ca="1">R70</f>
        <v>3I</v>
      </c>
      <c r="P70" s="241" t="s">
        <v>278</v>
      </c>
      <c r="Q70" s="184"/>
      <c r="R70" s="243" t="str">
        <f ca="1">VLOOKUP(N70,BB$66:BC$73,2,FALSE)</f>
        <v>3I</v>
      </c>
      <c r="V70" s="62"/>
      <c r="W70" s="62"/>
      <c r="Z70" s="62"/>
      <c r="AC70" s="58"/>
      <c r="AE70" s="2"/>
      <c r="AF70" s="206"/>
      <c r="AG70" s="206"/>
      <c r="AH70" s="206"/>
      <c r="AI70" s="206"/>
      <c r="AJ70" s="206"/>
      <c r="AK70" s="206"/>
      <c r="AL70" s="206"/>
      <c r="AM70" s="206"/>
      <c r="AN70" s="206"/>
      <c r="AO70" s="206"/>
      <c r="AP70" s="206"/>
      <c r="AX70" s="17">
        <f ca="1">IF(AY70="",0,IF($CX$97="",(D70=Ergebnisse!D70)+(F70=Ergebnisse!F70)+(SIGN(H70-J70)=SIGN(Ergebnisse!H70-Ergebnisse!J70))*7+(H70=Ergebnisse!H70)+(J70=Ergebnisse!J70),INT(RAND()*12)))</f>
        <v>10</v>
      </c>
      <c r="AY70" s="17" t="str">
        <f ca="1">IF(Ergebnisse!K70=Ergebnisse!$B$98,Ergebnisse!K70,"")</f>
        <v>ok</v>
      </c>
      <c r="AZ70" s="206"/>
      <c r="BB70" s="104" t="str">
        <f>FIFA!G1</f>
        <v>1G</v>
      </c>
      <c r="BC70" s="243" t="str">
        <f ca="1">IF(CJ70="",INDEX(FIFA!G:G, MATCH($BC$62, FIFA!B:B, 0)),CJ70)</f>
        <v>3A</v>
      </c>
      <c r="BD70" s="17" t="s">
        <v>279</v>
      </c>
      <c r="BF70" s="244" t="str">
        <f t="shared" ca="1" si="33"/>
        <v>Mexiko</v>
      </c>
      <c r="BG70" s="55"/>
      <c r="BH70" s="245" t="str">
        <f t="shared" ca="1" si="27"/>
        <v>G</v>
      </c>
      <c r="BI70" s="241"/>
      <c r="BJ70" s="246">
        <f ca="1">SMALL(BR$66:BR$73,5)</f>
        <v>7</v>
      </c>
      <c r="BK70" s="1" t="str">
        <f t="shared" ca="1" si="28"/>
        <v>I</v>
      </c>
      <c r="BL70" s="1">
        <f t="shared" ca="1" si="29"/>
        <v>9</v>
      </c>
      <c r="BM70" s="175" t="str">
        <f ca="1">VLOOKUP(5,$BX$66:$CC$77,2,FALSE)</f>
        <v>Frankreich</v>
      </c>
      <c r="BN70" s="2">
        <f ca="1">VLOOKUP(5,$BX$66:$CC$77,3,FALSE)</f>
        <v>3</v>
      </c>
      <c r="BO70" s="2">
        <f ca="1">VLOOKUP(5,$BX$66:$CC$77,4,FALSE)</f>
        <v>8</v>
      </c>
      <c r="BP70" s="2">
        <f ca="1">VLOOKUP(5,$BX$66:$CC$77,5,FALSE)</f>
        <v>6</v>
      </c>
      <c r="BQ70" s="2">
        <f ca="1">VLOOKUP(5,$BX$66:$CC$77,6,FALSE)</f>
        <v>2</v>
      </c>
      <c r="BR70" s="1">
        <f t="shared" ca="1" si="30"/>
        <v>9</v>
      </c>
      <c r="BS70" s="247" t="str">
        <f ca="1">MID(VLOOKUP(5,$BX$66:$CF$77,9,FALSE),2,1)</f>
        <v>I</v>
      </c>
      <c r="BT70" s="55"/>
      <c r="BU70" s="55"/>
      <c r="BV70" s="55"/>
      <c r="BW70" s="55"/>
      <c r="BX70" s="62">
        <f t="shared" ca="1" si="31"/>
        <v>1</v>
      </c>
      <c r="BY70" s="153" t="str">
        <f ca="1">BM14</f>
        <v>Elfenbeinküste</v>
      </c>
      <c r="BZ70" s="55">
        <f ca="1">BN14</f>
        <v>4</v>
      </c>
      <c r="CA70" s="55">
        <f ca="1">BO14</f>
        <v>9</v>
      </c>
      <c r="CB70" s="55">
        <f ca="1">BP14</f>
        <v>8</v>
      </c>
      <c r="CC70" s="55">
        <f ca="1">BQ14</f>
        <v>1</v>
      </c>
      <c r="CD70" s="174">
        <f t="shared" ca="1" si="32"/>
        <v>401090000000008</v>
      </c>
      <c r="CE70" s="203"/>
      <c r="CF70" s="72" t="str">
        <f>BN19</f>
        <v>3E</v>
      </c>
      <c r="CG70" s="55"/>
      <c r="CH70" s="203">
        <f t="shared" si="34"/>
        <v>8</v>
      </c>
      <c r="CI70" s="55"/>
      <c r="CJ70" s="203"/>
      <c r="CK70" s="55"/>
      <c r="CL70" s="55"/>
      <c r="CM70" s="55"/>
      <c r="CN70" s="55"/>
      <c r="CO70" s="55"/>
      <c r="CP70" s="55"/>
      <c r="CQ70" s="55"/>
      <c r="CR70" s="55"/>
      <c r="CS70" s="55"/>
      <c r="CT70" s="55"/>
      <c r="CU70" s="55"/>
      <c r="CW70" s="55"/>
      <c r="CZ70" s="206"/>
    </row>
    <row r="71" spans="1:104">
      <c r="A71" s="2">
        <v>82</v>
      </c>
      <c r="B71" s="6">
        <f>VLOOKUP(A71,Spiele!$A$1:$L$116,2,FALSE)</f>
        <v>46204.541666666664</v>
      </c>
      <c r="C71" s="6" t="str">
        <f>VLOOKUP(A71,Spiele!$A$1:$L$116,9,FALSE)</f>
        <v>Seattle</v>
      </c>
      <c r="D71" s="228" t="str">
        <f ca="1">M37</f>
        <v>Belgien</v>
      </c>
      <c r="E71" s="15" t="s">
        <v>24</v>
      </c>
      <c r="F71" s="34" t="str">
        <f ca="1">VLOOKUP(R71,$BC$66:$BF$73,4,FALSE)</f>
        <v>Mexiko</v>
      </c>
      <c r="G71" s="17"/>
      <c r="H71" s="107">
        <f t="shared" ca="1" si="24"/>
        <v>2</v>
      </c>
      <c r="I71" s="11" t="s">
        <v>25</v>
      </c>
      <c r="J71" s="107">
        <f t="shared" ca="1" si="26"/>
        <v>3</v>
      </c>
      <c r="K71" s="7" t="s">
        <v>26</v>
      </c>
      <c r="L71" s="1"/>
      <c r="M71" s="240" t="str">
        <f t="shared" ca="1" si="25"/>
        <v>Mexiko</v>
      </c>
      <c r="N71" s="241" t="str">
        <f>N37</f>
        <v>1G</v>
      </c>
      <c r="O71" s="241" t="str">
        <f ca="1">R71</f>
        <v>3A</v>
      </c>
      <c r="P71" s="241" t="s">
        <v>280</v>
      </c>
      <c r="Q71" s="17"/>
      <c r="R71" s="243" t="str">
        <f ca="1">VLOOKUP(N71,BB$66:BC$73,2,FALSE)</f>
        <v>3A</v>
      </c>
      <c r="S71" s="4"/>
      <c r="T71" s="4"/>
      <c r="U71" s="4"/>
      <c r="V71" s="4"/>
      <c r="W71" s="4"/>
      <c r="X71" s="4"/>
      <c r="Z71" s="62"/>
      <c r="AC71" s="58"/>
      <c r="AE71" s="2"/>
      <c r="AF71" s="206"/>
      <c r="AG71" s="206"/>
      <c r="AH71" s="206"/>
      <c r="AI71" s="206"/>
      <c r="AJ71" s="206"/>
      <c r="AK71" s="206"/>
      <c r="AL71" s="206"/>
      <c r="AM71" s="206"/>
      <c r="AN71" s="206"/>
      <c r="AO71" s="206"/>
      <c r="AP71" s="206"/>
      <c r="AX71" s="17">
        <f ca="1">IF(AY71="",0,IF($CX$97="",(D71=Ergebnisse!D71)+(F71=Ergebnisse!F71)+(SIGN(H71-J71)=SIGN(Ergebnisse!H71-Ergebnisse!J71))*7+(H71=Ergebnisse!H71)+(J71=Ergebnisse!J71),INT(RAND()*12)))</f>
        <v>0</v>
      </c>
      <c r="AY71" s="17" t="str">
        <f ca="1">IF(Ergebnisse!K71=Ergebnisse!$B$98,Ergebnisse!K71,"")</f>
        <v>ok</v>
      </c>
      <c r="AZ71" s="206"/>
      <c r="BB71" s="104" t="str">
        <f>FIFA!H1</f>
        <v>1I</v>
      </c>
      <c r="BC71" s="243" t="str">
        <f ca="1">IF(CJ71="",INDEX(FIFA!H:H, MATCH($BC$62, FIFA!B:B, 0)),CJ71)</f>
        <v>3G</v>
      </c>
      <c r="BD71" s="17" t="s">
        <v>281</v>
      </c>
      <c r="BF71" s="244" t="str">
        <f t="shared" ca="1" si="33"/>
        <v>IR Iran</v>
      </c>
      <c r="BG71" s="55"/>
      <c r="BH71" s="245" t="str">
        <f t="shared" ca="1" si="27"/>
        <v>I</v>
      </c>
      <c r="BI71" s="241"/>
      <c r="BJ71" s="246">
        <f ca="1">SMALL(BR$66:BR$73,6)</f>
        <v>9</v>
      </c>
      <c r="BK71" s="1" t="str">
        <f t="shared" ca="1" si="28"/>
        <v>J</v>
      </c>
      <c r="BL71" s="1">
        <f t="shared" ca="1" si="29"/>
        <v>10</v>
      </c>
      <c r="BM71" s="175" t="str">
        <f ca="1">VLOOKUP(6,$BX$66:$CC$77,2,FALSE)</f>
        <v>Österreich</v>
      </c>
      <c r="BN71" s="2">
        <f t="shared" ref="BN71:BN77" ca="1" si="35">VLOOKUP(6,$BX$66:$CC$77,3,FALSE)</f>
        <v>3</v>
      </c>
      <c r="BO71" s="2">
        <f t="shared" ref="BO71:BO77" ca="1" si="36">VLOOKUP(6,$BX$66:$CC$77,4,FALSE)</f>
        <v>5</v>
      </c>
      <c r="BP71" s="2">
        <f t="shared" ref="BP71:BP77" ca="1" si="37">VLOOKUP(6,$BX$66:$CC$77,5,FALSE)</f>
        <v>5</v>
      </c>
      <c r="BQ71" s="2">
        <f t="shared" ref="BQ71:BQ77" ca="1" si="38">VLOOKUP(6,$BX$66:$CC$77,6,FALSE)</f>
        <v>0</v>
      </c>
      <c r="BR71" s="1">
        <f t="shared" ca="1" si="30"/>
        <v>10</v>
      </c>
      <c r="BS71" s="247" t="str">
        <f ca="1">MID(VLOOKUP(6,$BX$66:$CF$77,9,FALSE),2,1)</f>
        <v>J</v>
      </c>
      <c r="BT71" s="55"/>
      <c r="BU71" s="55"/>
      <c r="BV71" s="55"/>
      <c r="BW71" s="55"/>
      <c r="BX71" s="62">
        <f t="shared" ca="1" si="31"/>
        <v>11</v>
      </c>
      <c r="BY71" s="153" t="str">
        <f ca="1">BM24</f>
        <v>Schweden</v>
      </c>
      <c r="BZ71" s="55">
        <f ca="1">BN24</f>
        <v>3</v>
      </c>
      <c r="CA71" s="55">
        <f ca="1">BO24</f>
        <v>3</v>
      </c>
      <c r="CB71" s="55">
        <f ca="1">BP24</f>
        <v>9</v>
      </c>
      <c r="CC71" s="55">
        <f ca="1">BQ24</f>
        <v>-6</v>
      </c>
      <c r="CD71" s="174">
        <f t="shared" ca="1" si="32"/>
        <v>294030000000007</v>
      </c>
      <c r="CE71" s="203"/>
      <c r="CF71" s="221" t="str">
        <f>BN29</f>
        <v>3F</v>
      </c>
      <c r="CG71" s="55"/>
      <c r="CH71" s="203">
        <f t="shared" si="34"/>
        <v>7</v>
      </c>
      <c r="CI71" s="55"/>
      <c r="CJ71" s="203"/>
      <c r="CK71" s="55"/>
      <c r="CL71" s="55"/>
      <c r="CM71" s="55"/>
      <c r="CN71" s="55"/>
      <c r="CO71" s="55"/>
      <c r="CP71" s="55"/>
      <c r="CQ71" s="55"/>
      <c r="CR71" s="55"/>
      <c r="CS71" s="55"/>
      <c r="CT71" s="55"/>
      <c r="CU71" s="55"/>
      <c r="CW71" s="55"/>
      <c r="CZ71" s="206"/>
    </row>
    <row r="72" spans="1:104">
      <c r="A72" s="2">
        <v>81</v>
      </c>
      <c r="B72" s="6">
        <f>VLOOKUP(A72,Spiele!$A$1:$L$116,2,FALSE)</f>
        <v>46204.708333333336</v>
      </c>
      <c r="C72" s="6" t="str">
        <f>VLOOKUP(A72,Spiele!$A$1:$L$116,9,FALSE)</f>
        <v>San Francisco</v>
      </c>
      <c r="D72" s="177" t="str">
        <f ca="1">BM7</f>
        <v>Australien</v>
      </c>
      <c r="E72" s="15" t="s">
        <v>24</v>
      </c>
      <c r="F72" s="34" t="str">
        <f ca="1">VLOOKUP(R72,$BC$66:$BF$73,4,FALSE)</f>
        <v>Kanada</v>
      </c>
      <c r="G72" s="17"/>
      <c r="H72" s="107">
        <f t="shared" ca="1" si="24"/>
        <v>1</v>
      </c>
      <c r="I72" s="11" t="s">
        <v>25</v>
      </c>
      <c r="J72" s="107">
        <f t="shared" ca="1" si="26"/>
        <v>2</v>
      </c>
      <c r="K72" s="7" t="s">
        <v>26</v>
      </c>
      <c r="L72" s="1"/>
      <c r="M72" s="240" t="str">
        <f t="shared" ca="1" si="25"/>
        <v>Kanada</v>
      </c>
      <c r="N72" s="241" t="str">
        <f>BN7</f>
        <v>1D</v>
      </c>
      <c r="O72" s="241" t="str">
        <f ca="1">R72</f>
        <v>3B</v>
      </c>
      <c r="P72" s="241" t="s">
        <v>282</v>
      </c>
      <c r="Q72" s="184"/>
      <c r="R72" s="243" t="str">
        <f ca="1">VLOOKUP(N72,BB$66:BC$73,2,FALSE)</f>
        <v>3B</v>
      </c>
      <c r="S72" s="4"/>
      <c r="T72" s="4"/>
      <c r="U72" s="4"/>
      <c r="V72" s="4"/>
      <c r="W72" s="4"/>
      <c r="X72" s="4"/>
      <c r="AC72" s="58"/>
      <c r="AE72" s="2"/>
      <c r="AF72" s="206"/>
      <c r="AG72" s="206"/>
      <c r="AH72" s="206"/>
      <c r="AI72" s="206"/>
      <c r="AJ72" s="206"/>
      <c r="AK72" s="206"/>
      <c r="AL72" s="206"/>
      <c r="AM72" s="206"/>
      <c r="AN72" s="206"/>
      <c r="AO72" s="206"/>
      <c r="AP72" s="206"/>
      <c r="AX72" s="17">
        <f ca="1">IF(AY72="",0,IF($CX$97="",(D72=Ergebnisse!D72)+(F72=Ergebnisse!F72)+(SIGN(H72-J72)=SIGN(Ergebnisse!H72-Ergebnisse!J72))*7+(H72=Ergebnisse!H72)+(J72=Ergebnisse!J72),INT(RAND()*12)))</f>
        <v>0</v>
      </c>
      <c r="AY72" s="17" t="str">
        <f ca="1">IF(Ergebnisse!K72=Ergebnisse!$B$98,Ergebnisse!K72,"")</f>
        <v>ok</v>
      </c>
      <c r="AZ72" s="206"/>
      <c r="BB72" s="104" t="str">
        <f>FIFA!I1</f>
        <v>1K</v>
      </c>
      <c r="BC72" s="243" t="str">
        <f ca="1">IF(CJ72="",INDEX(FIFA!I:I, MATCH($BC$62, FIFA!B:B, 0)),CJ72)</f>
        <v>3L</v>
      </c>
      <c r="BD72" s="17" t="s">
        <v>283</v>
      </c>
      <c r="BF72" s="244" t="str">
        <f t="shared" ca="1" si="33"/>
        <v>Kroatien</v>
      </c>
      <c r="BG72" s="55"/>
      <c r="BH72" s="245" t="str">
        <f t="shared" ca="1" si="27"/>
        <v>J</v>
      </c>
      <c r="BI72" s="241"/>
      <c r="BJ72" s="246">
        <f ca="1">SMALL(BR$66:BR$73,7)</f>
        <v>10</v>
      </c>
      <c r="BK72" s="1" t="str">
        <f t="shared" ca="1" si="28"/>
        <v>B</v>
      </c>
      <c r="BL72" s="1">
        <f t="shared" ca="1" si="29"/>
        <v>2</v>
      </c>
      <c r="BM72" s="175" t="str">
        <f ca="1">VLOOKUP(7,$BX$66:$CC$77,2,FALSE)</f>
        <v>Kanada</v>
      </c>
      <c r="BN72" s="2">
        <f t="shared" ca="1" si="35"/>
        <v>3</v>
      </c>
      <c r="BO72" s="2">
        <f t="shared" ca="1" si="36"/>
        <v>5</v>
      </c>
      <c r="BP72" s="2">
        <f t="shared" ca="1" si="37"/>
        <v>5</v>
      </c>
      <c r="BQ72" s="2">
        <f t="shared" ca="1" si="38"/>
        <v>0</v>
      </c>
      <c r="BR72" s="1">
        <f t="shared" ca="1" si="30"/>
        <v>2</v>
      </c>
      <c r="BS72" s="247" t="str">
        <f ca="1">MID(VLOOKUP(7,$BX$66:$CF$77,9,FALSE),2,1)</f>
        <v>B</v>
      </c>
      <c r="BT72" s="55"/>
      <c r="BU72" s="55"/>
      <c r="BV72" s="55"/>
      <c r="BW72" s="55"/>
      <c r="BX72" s="62">
        <f t="shared" ca="1" si="31"/>
        <v>3</v>
      </c>
      <c r="BY72" s="253" t="str">
        <f ca="1">M34</f>
        <v>IR Iran</v>
      </c>
      <c r="BZ72" s="55">
        <f ca="1">N34</f>
        <v>4</v>
      </c>
      <c r="CA72" s="55">
        <f ca="1">O34</f>
        <v>7</v>
      </c>
      <c r="CB72" s="55">
        <f ca="1">P34</f>
        <v>10</v>
      </c>
      <c r="CC72" s="55">
        <f ca="1">Q34</f>
        <v>-3</v>
      </c>
      <c r="CD72" s="174">
        <f t="shared" ca="1" si="32"/>
        <v>397070000000006</v>
      </c>
      <c r="CE72" s="203"/>
      <c r="CF72" s="224" t="s">
        <v>231</v>
      </c>
      <c r="CG72" s="55"/>
      <c r="CH72" s="203">
        <f t="shared" si="34"/>
        <v>6</v>
      </c>
      <c r="CI72" s="55"/>
      <c r="CJ72" s="203"/>
      <c r="CK72" s="55"/>
      <c r="CL72" s="55"/>
      <c r="CM72" s="55"/>
      <c r="CN72" s="55"/>
      <c r="CO72" s="55"/>
      <c r="CP72" s="55"/>
      <c r="CQ72" s="55"/>
      <c r="CR72" s="55"/>
      <c r="CS72" s="55"/>
      <c r="CT72" s="55"/>
      <c r="CU72" s="55"/>
      <c r="CW72" s="55"/>
      <c r="CZ72" s="206"/>
    </row>
    <row r="73" spans="1:104">
      <c r="A73" s="2">
        <v>84</v>
      </c>
      <c r="B73" s="6">
        <f>VLOOKUP(A73,Spiele!$A$1:$L$116,2,FALSE)</f>
        <v>46205.5</v>
      </c>
      <c r="C73" s="6" t="str">
        <f>VLOOKUP(A73,Spiele!$A$1:$L$116,9,FALSE)</f>
        <v>Los Angeles</v>
      </c>
      <c r="D73" s="233" t="str">
        <f ca="1">M47</f>
        <v>Saudiarabien</v>
      </c>
      <c r="E73" s="15" t="s">
        <v>24</v>
      </c>
      <c r="F73" s="227" t="str">
        <f ca="1">BM38</f>
        <v>Jordanien</v>
      </c>
      <c r="G73" s="17"/>
      <c r="H73" s="107">
        <f t="shared" ca="1" si="24"/>
        <v>0</v>
      </c>
      <c r="I73" s="11" t="s">
        <v>25</v>
      </c>
      <c r="J73" s="107">
        <f t="shared" ca="1" si="26"/>
        <v>1</v>
      </c>
      <c r="K73" s="7" t="s">
        <v>26</v>
      </c>
      <c r="L73" s="1"/>
      <c r="M73" s="242" t="str">
        <f t="shared" ca="1" si="25"/>
        <v>Jordanien</v>
      </c>
      <c r="N73" s="241" t="str">
        <f>N47</f>
        <v>1H</v>
      </c>
      <c r="O73" s="241" t="str">
        <f>BN38</f>
        <v>2J</v>
      </c>
      <c r="P73" s="241" t="s">
        <v>284</v>
      </c>
      <c r="Q73" s="184"/>
      <c r="R73" s="201"/>
      <c r="S73" s="4"/>
      <c r="T73" s="4"/>
      <c r="U73" s="4"/>
      <c r="V73" s="4"/>
      <c r="W73" s="4"/>
      <c r="X73" s="4"/>
      <c r="Z73" s="62"/>
      <c r="AC73" s="58"/>
      <c r="AE73" s="2"/>
      <c r="AF73" s="206"/>
      <c r="AG73" s="206"/>
      <c r="AH73" s="206"/>
      <c r="AI73" s="206"/>
      <c r="AJ73" s="206"/>
      <c r="AK73" s="206"/>
      <c r="AL73" s="206"/>
      <c r="AM73" s="206"/>
      <c r="AN73" s="206"/>
      <c r="AO73" s="206"/>
      <c r="AP73" s="206"/>
      <c r="AX73" s="17">
        <f ca="1">IF(AY73="",0,IF($CX$97="",(D73=Ergebnisse!D73)+(F73=Ergebnisse!F73)+(SIGN(H73-J73)=SIGN(Ergebnisse!H73-Ergebnisse!J73))*7+(H73=Ergebnisse!H73)+(J73=Ergebnisse!J73),INT(RAND()*12)))</f>
        <v>9</v>
      </c>
      <c r="AY73" s="17" t="str">
        <f ca="1">IF(Ergebnisse!K73=Ergebnisse!$B$98,Ergebnisse!K73,"")</f>
        <v>ok</v>
      </c>
      <c r="AZ73" s="206"/>
      <c r="BB73" s="104" t="str">
        <f>FIFA!J1</f>
        <v>1L</v>
      </c>
      <c r="BC73" s="243" t="str">
        <f ca="1">IF(CJ73="",INDEX(FIFA!J:J, MATCH($BC$62, FIFA!B:B, 0)),CJ73)</f>
        <v>3I</v>
      </c>
      <c r="BD73" s="17" t="s">
        <v>285</v>
      </c>
      <c r="BF73" s="244" t="str">
        <f t="shared" ca="1" si="33"/>
        <v>Frankreich</v>
      </c>
      <c r="BG73" s="55"/>
      <c r="BH73" s="245" t="str">
        <f t="shared" ca="1" si="27"/>
        <v>L</v>
      </c>
      <c r="BI73" s="241"/>
      <c r="BJ73" s="246">
        <f ca="1">SMALL(BR$66:BR$73,8)</f>
        <v>12</v>
      </c>
      <c r="BK73" s="1" t="str">
        <f t="shared" ca="1" si="28"/>
        <v>A</v>
      </c>
      <c r="BL73" s="1">
        <f t="shared" ca="1" si="29"/>
        <v>1</v>
      </c>
      <c r="BM73" s="175" t="str">
        <f ca="1">VLOOKUP(8,$BX$66:$CC$77,2,FALSE)</f>
        <v>Mexiko</v>
      </c>
      <c r="BN73" s="2">
        <f t="shared" ca="1" si="35"/>
        <v>3</v>
      </c>
      <c r="BO73" s="2">
        <f t="shared" ca="1" si="36"/>
        <v>5</v>
      </c>
      <c r="BP73" s="2">
        <f t="shared" ca="1" si="37"/>
        <v>5</v>
      </c>
      <c r="BQ73" s="2">
        <f t="shared" ca="1" si="38"/>
        <v>0</v>
      </c>
      <c r="BR73" s="1">
        <f t="shared" ca="1" si="30"/>
        <v>1</v>
      </c>
      <c r="BS73" s="247" t="str">
        <f ca="1">MID(VLOOKUP(8,$BX$66:$CF$77,9,FALSE),2,1)</f>
        <v>A</v>
      </c>
      <c r="BT73" s="55"/>
      <c r="BU73" s="55"/>
      <c r="BV73" s="55"/>
      <c r="BW73" s="55"/>
      <c r="BX73" s="62">
        <f t="shared" ca="1" si="31"/>
        <v>12</v>
      </c>
      <c r="BY73" s="153" t="str">
        <f ca="1">M44</f>
        <v>Kap Verde</v>
      </c>
      <c r="BZ73" s="55">
        <f ca="1">N44</f>
        <v>2</v>
      </c>
      <c r="CA73" s="55">
        <f ca="1">O44</f>
        <v>10</v>
      </c>
      <c r="CB73" s="55">
        <f ca="1">P44</f>
        <v>13</v>
      </c>
      <c r="CC73" s="55">
        <f ca="1">Q44</f>
        <v>-3</v>
      </c>
      <c r="CD73" s="174">
        <f t="shared" ca="1" si="32"/>
        <v>197100000000005</v>
      </c>
      <c r="CE73" s="203"/>
      <c r="CF73" s="229" t="s">
        <v>245</v>
      </c>
      <c r="CG73" s="55"/>
      <c r="CH73" s="203">
        <f t="shared" si="34"/>
        <v>5</v>
      </c>
      <c r="CI73" s="55"/>
      <c r="CJ73" s="203"/>
      <c r="CK73" s="55"/>
      <c r="CL73" s="55"/>
      <c r="CM73" s="55"/>
      <c r="CN73" s="55"/>
      <c r="CO73" s="55"/>
      <c r="CP73" s="55"/>
      <c r="CQ73" s="55"/>
      <c r="CR73" s="55"/>
      <c r="CS73" s="55"/>
      <c r="CT73" s="55"/>
      <c r="CU73" s="55"/>
      <c r="CW73" s="55"/>
      <c r="CZ73" s="206"/>
    </row>
    <row r="74" spans="1:104">
      <c r="A74" s="2">
        <v>83</v>
      </c>
      <c r="B74" s="6">
        <f>VLOOKUP(A74,Spiele!$A$1:$L$116,2,FALSE)</f>
        <v>46205.791666666664</v>
      </c>
      <c r="C74" s="6" t="str">
        <f>VLOOKUP(A74,Spiele!$A$1:$L$116,9,FALSE)</f>
        <v>Toronto</v>
      </c>
      <c r="D74" s="232" t="str">
        <f ca="1">BM48</f>
        <v>Usbekistan</v>
      </c>
      <c r="E74" s="15" t="s">
        <v>24</v>
      </c>
      <c r="F74" s="237" t="str">
        <f ca="1">BM58</f>
        <v>Panama</v>
      </c>
      <c r="G74" s="17"/>
      <c r="H74" s="107">
        <f t="shared" ca="1" si="24"/>
        <v>4</v>
      </c>
      <c r="I74" s="11" t="s">
        <v>25</v>
      </c>
      <c r="J74" s="107">
        <f t="shared" ca="1" si="26"/>
        <v>5</v>
      </c>
      <c r="K74" s="7" t="s">
        <v>26</v>
      </c>
      <c r="L74" s="1"/>
      <c r="M74" s="242" t="str">
        <f t="shared" ca="1" si="25"/>
        <v>Panama</v>
      </c>
      <c r="N74" s="241" t="str">
        <f>BN48</f>
        <v>2K</v>
      </c>
      <c r="O74" s="241" t="str">
        <f>BN58</f>
        <v>2L</v>
      </c>
      <c r="P74" s="241" t="s">
        <v>286</v>
      </c>
      <c r="Q74" s="184"/>
      <c r="R74" s="201"/>
      <c r="S74" s="4"/>
      <c r="T74" s="4"/>
      <c r="U74" s="4"/>
      <c r="V74" s="4"/>
      <c r="W74" s="4"/>
      <c r="X74" s="4"/>
      <c r="Z74" s="62"/>
      <c r="AC74" s="58"/>
      <c r="AE74" s="2"/>
      <c r="AF74" s="206"/>
      <c r="AG74" s="206"/>
      <c r="AH74" s="206"/>
      <c r="AI74" s="206"/>
      <c r="AJ74" s="206"/>
      <c r="AK74" s="206"/>
      <c r="AL74" s="206"/>
      <c r="AM74" s="206"/>
      <c r="AN74" s="206"/>
      <c r="AO74" s="206"/>
      <c r="AP74" s="206"/>
      <c r="AX74" s="17">
        <f ca="1">IF(AY74="",0,IF($CX$97="",(D74=Ergebnisse!D74)+(F74=Ergebnisse!F74)+(SIGN(H74-J74)=SIGN(Ergebnisse!H74-Ergebnisse!J74))*7+(H74=Ergebnisse!H74)+(J74=Ergebnisse!J74),INT(RAND()*12)))</f>
        <v>9</v>
      </c>
      <c r="AY74" s="17" t="str">
        <f ca="1">IF(Ergebnisse!K74=Ergebnisse!$B$98,Ergebnisse!K74,"")</f>
        <v>ok</v>
      </c>
      <c r="AZ74" s="206"/>
      <c r="BB74" s="55"/>
      <c r="BC74" s="55"/>
      <c r="BD74" s="62"/>
      <c r="BE74" s="55"/>
      <c r="BF74" s="55"/>
      <c r="BG74" s="55"/>
      <c r="BH74" s="2"/>
      <c r="BI74" s="2"/>
      <c r="BJ74" s="1"/>
      <c r="BK74" s="1" t="str">
        <f t="shared" ca="1" si="28"/>
        <v>K</v>
      </c>
      <c r="BL74" s="1">
        <f t="shared" ca="1" si="29"/>
        <v>11</v>
      </c>
      <c r="BM74" s="9" t="str">
        <f ca="1">VLOOKUP(9,$BX$66:$CC$77,2,FALSE)</f>
        <v>DR Kongo</v>
      </c>
      <c r="BN74" s="2">
        <f t="shared" ca="1" si="35"/>
        <v>3</v>
      </c>
      <c r="BO74" s="2">
        <f t="shared" ca="1" si="36"/>
        <v>5</v>
      </c>
      <c r="BP74" s="2">
        <f t="shared" ca="1" si="37"/>
        <v>5</v>
      </c>
      <c r="BQ74" s="2">
        <f t="shared" ca="1" si="38"/>
        <v>0</v>
      </c>
      <c r="BR74" s="1">
        <f t="shared" ca="1" si="30"/>
        <v>11</v>
      </c>
      <c r="BS74" s="53" t="str">
        <f ca="1">MID(VLOOKUP(9,$BX$66:$CF$77,9,FALSE),2,1)</f>
        <v>K</v>
      </c>
      <c r="BT74" s="55"/>
      <c r="BU74" s="55"/>
      <c r="BV74" s="55"/>
      <c r="BW74" s="55"/>
      <c r="BX74" s="62">
        <f t="shared" ca="1" si="31"/>
        <v>5</v>
      </c>
      <c r="BY74" s="153" t="str">
        <f ca="1">M54</f>
        <v>Frankreich</v>
      </c>
      <c r="BZ74" s="55">
        <f ca="1">N54</f>
        <v>3</v>
      </c>
      <c r="CA74" s="55">
        <f ca="1">O54</f>
        <v>8</v>
      </c>
      <c r="CB74" s="55">
        <f ca="1">P54</f>
        <v>6</v>
      </c>
      <c r="CC74" s="55">
        <f ca="1">Q54</f>
        <v>2</v>
      </c>
      <c r="CD74" s="174">
        <f t="shared" ca="1" si="32"/>
        <v>302080000000004</v>
      </c>
      <c r="CE74" s="203"/>
      <c r="CF74" s="234" t="s">
        <v>258</v>
      </c>
      <c r="CG74" s="55"/>
      <c r="CH74" s="203">
        <f t="shared" si="34"/>
        <v>4</v>
      </c>
      <c r="CI74" s="55"/>
      <c r="CJ74" s="55"/>
      <c r="CK74" s="55"/>
      <c r="CL74" s="55"/>
      <c r="CM74" s="55"/>
      <c r="CN74" s="55"/>
      <c r="CO74" s="55"/>
      <c r="CP74" s="55"/>
      <c r="CQ74" s="55"/>
      <c r="CR74" s="55"/>
      <c r="CS74" s="55"/>
      <c r="CT74" s="55"/>
      <c r="CU74" s="55"/>
      <c r="CW74" s="55"/>
      <c r="CZ74" s="206"/>
    </row>
    <row r="75" spans="1:104">
      <c r="A75" s="2">
        <v>85</v>
      </c>
      <c r="B75" s="6">
        <f>VLOOKUP(A75,Spiele!$A$1:$L$116,2,FALSE)</f>
        <v>46205.833333333336</v>
      </c>
      <c r="C75" s="6" t="str">
        <f>VLOOKUP(A75,Spiele!$A$1:$L$116,9,FALSE)</f>
        <v>Vancouver</v>
      </c>
      <c r="D75" s="37" t="str">
        <f ca="1">M17</f>
        <v>Schweiz</v>
      </c>
      <c r="E75" s="15" t="s">
        <v>24</v>
      </c>
      <c r="F75" s="34" t="str">
        <f ca="1">VLOOKUP(R75,$BC$66:$BF$73,4,FALSE)</f>
        <v>Österreich</v>
      </c>
      <c r="G75" s="17"/>
      <c r="H75" s="107">
        <f t="shared" ca="1" si="24"/>
        <v>4</v>
      </c>
      <c r="I75" s="11" t="s">
        <v>25</v>
      </c>
      <c r="J75" s="107">
        <f t="shared" ca="1" si="26"/>
        <v>3</v>
      </c>
      <c r="K75" s="7" t="s">
        <v>26</v>
      </c>
      <c r="L75" s="1"/>
      <c r="M75" s="249" t="str">
        <f t="shared" ca="1" si="25"/>
        <v>Schweiz</v>
      </c>
      <c r="N75" s="241" t="str">
        <f>N17</f>
        <v>1B</v>
      </c>
      <c r="O75" s="241" t="str">
        <f ca="1">R75</f>
        <v>3J</v>
      </c>
      <c r="P75" s="241" t="s">
        <v>287</v>
      </c>
      <c r="Q75" s="184"/>
      <c r="R75" s="243" t="str">
        <f ca="1">VLOOKUP(N75,BB$66:BC$73,2,FALSE)</f>
        <v>3J</v>
      </c>
      <c r="S75" s="4"/>
      <c r="T75" s="4"/>
      <c r="U75" s="4"/>
      <c r="V75" s="4"/>
      <c r="W75" s="4"/>
      <c r="X75" s="4"/>
      <c r="Z75" s="62"/>
      <c r="AC75" s="58"/>
      <c r="AE75" s="2"/>
      <c r="AF75" s="206"/>
      <c r="AG75" s="206"/>
      <c r="AH75" s="206"/>
      <c r="AI75" s="206"/>
      <c r="AJ75" s="206"/>
      <c r="AK75" s="206"/>
      <c r="AL75" s="206"/>
      <c r="AM75" s="206"/>
      <c r="AN75" s="206"/>
      <c r="AO75" s="206"/>
      <c r="AP75" s="206"/>
      <c r="AX75" s="17">
        <f ca="1">IF(AY75="",0,IF($CX$97="",(D75=Ergebnisse!D75)+(F75=Ergebnisse!F75)+(SIGN(H75-J75)=SIGN(Ergebnisse!H75-Ergebnisse!J75))*7+(H75=Ergebnisse!H75)+(J75=Ergebnisse!J75),INT(RAND()*12)))</f>
        <v>0</v>
      </c>
      <c r="AY75" s="17" t="str">
        <f ca="1">IF(Ergebnisse!K75=Ergebnisse!$B$98,Ergebnisse!K75,"")</f>
        <v>ok</v>
      </c>
      <c r="AZ75" s="206"/>
      <c r="BB75" s="55"/>
      <c r="BC75" s="55"/>
      <c r="BD75" s="55"/>
      <c r="BE75" s="55"/>
      <c r="BF75" s="55"/>
      <c r="BG75" s="55"/>
      <c r="BH75" s="2"/>
      <c r="BI75" s="2"/>
      <c r="BK75" s="1" t="str">
        <f t="shared" ca="1" si="28"/>
        <v>C</v>
      </c>
      <c r="BL75" s="1">
        <f t="shared" ca="1" si="29"/>
        <v>3</v>
      </c>
      <c r="BM75" s="9" t="str">
        <f ca="1">VLOOKUP(10,$BX$66:$CC$77,2,FALSE)</f>
        <v>Brasilien</v>
      </c>
      <c r="BN75" s="2">
        <f t="shared" ca="1" si="35"/>
        <v>3</v>
      </c>
      <c r="BO75" s="2">
        <f t="shared" ca="1" si="36"/>
        <v>5</v>
      </c>
      <c r="BP75" s="2">
        <f t="shared" ca="1" si="37"/>
        <v>5</v>
      </c>
      <c r="BQ75" s="2">
        <f t="shared" ca="1" si="38"/>
        <v>0</v>
      </c>
      <c r="BR75" s="1">
        <f t="shared" ca="1" si="30"/>
        <v>3</v>
      </c>
      <c r="BS75" s="53" t="str">
        <f ca="1">MID(VLOOKUP(10,$BX$66:$CF$77,9,FALSE),2,1)</f>
        <v>C</v>
      </c>
      <c r="BT75" s="55"/>
      <c r="BU75" s="55"/>
      <c r="BV75" s="55"/>
      <c r="BW75" s="55"/>
      <c r="BX75" s="62">
        <f t="shared" ca="1" si="31"/>
        <v>6</v>
      </c>
      <c r="BY75" s="153" t="str">
        <f ca="1">BM34</f>
        <v>Österreich</v>
      </c>
      <c r="BZ75" s="55">
        <f ca="1">BN34</f>
        <v>3</v>
      </c>
      <c r="CA75" s="55">
        <f ca="1">BO34</f>
        <v>5</v>
      </c>
      <c r="CB75" s="55">
        <f ca="1">BP34</f>
        <v>5</v>
      </c>
      <c r="CC75" s="55">
        <f ca="1">BQ34</f>
        <v>0</v>
      </c>
      <c r="CD75" s="174">
        <f t="shared" ca="1" si="32"/>
        <v>300050000000003</v>
      </c>
      <c r="CE75" s="203"/>
      <c r="CF75" s="226" t="s">
        <v>232</v>
      </c>
      <c r="CG75" s="55"/>
      <c r="CH75" s="203">
        <f t="shared" si="34"/>
        <v>3</v>
      </c>
      <c r="CI75" s="55"/>
      <c r="CJ75" s="55"/>
      <c r="CK75" s="55"/>
      <c r="CL75" s="55"/>
      <c r="CM75" s="55"/>
      <c r="CN75" s="55"/>
      <c r="CO75" s="55"/>
      <c r="CP75" s="55"/>
      <c r="CQ75" s="55"/>
      <c r="CR75" s="55"/>
      <c r="CS75" s="55"/>
      <c r="CT75" s="55"/>
      <c r="CU75" s="55"/>
      <c r="CW75" s="55"/>
      <c r="CZ75" s="206"/>
    </row>
    <row r="76" spans="1:104">
      <c r="A76" s="2">
        <v>88</v>
      </c>
      <c r="B76" s="6">
        <f>VLOOKUP(A76,Spiele!$A$1:$L$116,2,FALSE)</f>
        <v>46206.541666666672</v>
      </c>
      <c r="C76" s="6" t="str">
        <f>VLOOKUP(A76,Spiele!$A$1:$L$116,9,FALSE)</f>
        <v>Dallas</v>
      </c>
      <c r="D76" s="177" t="str">
        <f ca="1">BM8</f>
        <v>Paraguay</v>
      </c>
      <c r="E76" s="15" t="s">
        <v>24</v>
      </c>
      <c r="F76" s="228" t="str">
        <f ca="1">M38</f>
        <v>Neuseeland</v>
      </c>
      <c r="G76" s="17"/>
      <c r="H76" s="107">
        <f t="shared" ca="1" si="24"/>
        <v>2</v>
      </c>
      <c r="I76" s="11" t="s">
        <v>25</v>
      </c>
      <c r="J76" s="107">
        <f t="shared" ca="1" si="26"/>
        <v>1</v>
      </c>
      <c r="K76" s="7" t="s">
        <v>26</v>
      </c>
      <c r="L76" s="1"/>
      <c r="M76" s="249" t="str">
        <f t="shared" ca="1" si="25"/>
        <v>Paraguay</v>
      </c>
      <c r="N76" s="241" t="str">
        <f>BN8</f>
        <v>2D</v>
      </c>
      <c r="O76" s="241" t="str">
        <f>N38</f>
        <v>2G</v>
      </c>
      <c r="P76" s="241" t="s">
        <v>288</v>
      </c>
      <c r="Q76" s="184"/>
      <c r="R76" s="201"/>
      <c r="S76" s="4"/>
      <c r="T76" s="4"/>
      <c r="U76" s="4"/>
      <c r="V76" s="4"/>
      <c r="W76" s="4"/>
      <c r="X76" s="4"/>
      <c r="Z76" s="62"/>
      <c r="AC76" s="58"/>
      <c r="AE76" s="2"/>
      <c r="AF76" s="206"/>
      <c r="AG76" s="206"/>
      <c r="AH76" s="206"/>
      <c r="AI76" s="206"/>
      <c r="AJ76" s="206"/>
      <c r="AK76" s="206"/>
      <c r="AL76" s="206"/>
      <c r="AM76" s="206"/>
      <c r="AN76" s="206"/>
      <c r="AO76" s="206"/>
      <c r="AP76" s="206"/>
      <c r="AX76" s="17">
        <f ca="1">IF(AY76="",0,IF($CX$97="",(D76=Ergebnisse!D76)+(F76=Ergebnisse!F76)+(SIGN(H76-J76)=SIGN(Ergebnisse!H76-Ergebnisse!J76))*7+(H76=Ergebnisse!H76)+(J76=Ergebnisse!J76),INT(RAND()*12)))</f>
        <v>9</v>
      </c>
      <c r="AY76" s="17" t="str">
        <f ca="1">IF(Ergebnisse!K76=Ergebnisse!$B$98,Ergebnisse!K76,"")</f>
        <v>ok</v>
      </c>
      <c r="AZ76" s="206"/>
      <c r="BB76" s="58"/>
      <c r="BC76" s="55"/>
      <c r="BD76" s="55"/>
      <c r="BE76" s="55"/>
      <c r="BF76" s="55"/>
      <c r="BG76" s="55"/>
      <c r="BH76" s="2"/>
      <c r="BI76" s="2"/>
      <c r="BJ76" s="1"/>
      <c r="BK76" s="1" t="str">
        <f t="shared" ca="1" si="28"/>
        <v>F</v>
      </c>
      <c r="BL76" s="1">
        <f t="shared" ca="1" si="29"/>
        <v>6</v>
      </c>
      <c r="BM76" s="9" t="str">
        <f ca="1">VLOOKUP(11,$BX$66:$CC$77,2,FALSE)</f>
        <v>Schweden</v>
      </c>
      <c r="BN76" s="2">
        <f t="shared" ca="1" si="35"/>
        <v>3</v>
      </c>
      <c r="BO76" s="2">
        <f t="shared" ca="1" si="36"/>
        <v>5</v>
      </c>
      <c r="BP76" s="2">
        <f t="shared" ca="1" si="37"/>
        <v>5</v>
      </c>
      <c r="BQ76" s="2">
        <f t="shared" ca="1" si="38"/>
        <v>0</v>
      </c>
      <c r="BR76" s="1">
        <f t="shared" ca="1" si="30"/>
        <v>6</v>
      </c>
      <c r="BS76" s="53" t="str">
        <f ca="1">MID(VLOOKUP(11,$BX$66:$CF$77,9,FALSE),2,1)</f>
        <v>F</v>
      </c>
      <c r="BT76" s="55"/>
      <c r="BU76" s="55"/>
      <c r="BV76" s="55"/>
      <c r="BW76" s="55"/>
      <c r="BX76" s="62">
        <f t="shared" ca="1" si="31"/>
        <v>9</v>
      </c>
      <c r="BY76" s="153" t="str">
        <f ca="1">BM44</f>
        <v>DR Kongo</v>
      </c>
      <c r="BZ76" s="55">
        <f ca="1">BN44</f>
        <v>3</v>
      </c>
      <c r="CA76" s="55">
        <f ca="1">BO44</f>
        <v>4</v>
      </c>
      <c r="CB76" s="55">
        <f ca="1">BP44</f>
        <v>7</v>
      </c>
      <c r="CC76" s="55">
        <f ca="1">BQ44</f>
        <v>-3</v>
      </c>
      <c r="CD76" s="174">
        <f t="shared" ca="1" si="32"/>
        <v>297040000000002</v>
      </c>
      <c r="CE76" s="203"/>
      <c r="CF76" s="231" t="s">
        <v>246</v>
      </c>
      <c r="CG76" s="55"/>
      <c r="CH76" s="203">
        <f t="shared" si="34"/>
        <v>2</v>
      </c>
      <c r="CI76" s="55"/>
      <c r="CJ76" s="55"/>
      <c r="CK76" s="55"/>
      <c r="CL76" s="55"/>
      <c r="CM76" s="55"/>
      <c r="CN76" s="55"/>
      <c r="CO76" s="55"/>
      <c r="CP76" s="55"/>
      <c r="CQ76" s="55"/>
      <c r="CR76" s="55"/>
      <c r="CS76" s="55"/>
      <c r="CT76" s="55"/>
      <c r="CU76" s="55"/>
      <c r="CW76" s="55"/>
      <c r="CZ76" s="206"/>
    </row>
    <row r="77" spans="1:104">
      <c r="A77" s="2">
        <v>86</v>
      </c>
      <c r="B77" s="6">
        <f>VLOOKUP(A77,Spiele!$A$1:$L$116,2,FALSE)</f>
        <v>46206.75</v>
      </c>
      <c r="C77" s="6" t="str">
        <f>VLOOKUP(A77,Spiele!$A$1:$L$116,9,FALSE)</f>
        <v>Miami</v>
      </c>
      <c r="D77" s="227" t="str">
        <f ca="1">BM37</f>
        <v>Argentinien</v>
      </c>
      <c r="E77" s="15" t="s">
        <v>24</v>
      </c>
      <c r="F77" s="233" t="str">
        <f ca="1">M48</f>
        <v>Uruguay</v>
      </c>
      <c r="G77" s="17"/>
      <c r="H77" s="107">
        <f t="shared" ca="1" si="24"/>
        <v>4</v>
      </c>
      <c r="I77" s="11" t="s">
        <v>25</v>
      </c>
      <c r="J77" s="107">
        <f t="shared" ca="1" si="26"/>
        <v>5</v>
      </c>
      <c r="K77" s="7" t="s">
        <v>26</v>
      </c>
      <c r="L77" s="1"/>
      <c r="M77" s="252" t="str">
        <f t="shared" ca="1" si="25"/>
        <v>Uruguay</v>
      </c>
      <c r="N77" s="241" t="str">
        <f>BN37</f>
        <v>1J</v>
      </c>
      <c r="O77" s="241" t="str">
        <f>N48</f>
        <v>2H</v>
      </c>
      <c r="P77" s="241" t="s">
        <v>289</v>
      </c>
      <c r="Q77" s="184"/>
      <c r="R77" s="201"/>
      <c r="S77" s="4"/>
      <c r="T77" s="4"/>
      <c r="U77" s="4"/>
      <c r="V77" s="4"/>
      <c r="W77" s="4"/>
      <c r="X77" s="4"/>
      <c r="Z77" s="62"/>
      <c r="AC77" s="58"/>
      <c r="AE77" s="2"/>
      <c r="AF77" s="206"/>
      <c r="AG77" s="206"/>
      <c r="AH77" s="206"/>
      <c r="AI77" s="206"/>
      <c r="AJ77" s="206"/>
      <c r="AK77" s="206"/>
      <c r="AL77" s="206"/>
      <c r="AM77" s="206"/>
      <c r="AN77" s="206"/>
      <c r="AO77" s="206"/>
      <c r="AP77" s="206"/>
      <c r="AX77" s="17">
        <f ca="1">IF(AY77="",0,IF($CX$97="",(D77=Ergebnisse!D77)+(F77=Ergebnisse!F77)+(SIGN(H77-J77)=SIGN(Ergebnisse!H77-Ergebnisse!J77))*7+(H77=Ergebnisse!H77)+(J77=Ergebnisse!J77),INT(RAND()*12)))</f>
        <v>1</v>
      </c>
      <c r="AY77" s="17" t="str">
        <f ca="1">IF(Ergebnisse!K77=Ergebnisse!$B$98,Ergebnisse!K77,"")</f>
        <v>ok</v>
      </c>
      <c r="AZ77" s="206"/>
      <c r="BB77" s="254"/>
      <c r="BC77" s="55"/>
      <c r="BE77" s="55"/>
      <c r="BF77" s="55"/>
      <c r="BG77" s="55"/>
      <c r="BH77" s="2"/>
      <c r="BI77" s="2"/>
      <c r="BK77" s="1" t="str">
        <f t="shared" ca="1" si="28"/>
        <v>H</v>
      </c>
      <c r="BL77" s="1">
        <f t="shared" ca="1" si="29"/>
        <v>8</v>
      </c>
      <c r="BM77" s="9" t="str">
        <f ca="1">VLOOKUP(12,$BX$66:$CC$77,2,FALSE)</f>
        <v>Kap Verde</v>
      </c>
      <c r="BN77" s="2">
        <f t="shared" ca="1" si="35"/>
        <v>3</v>
      </c>
      <c r="BO77" s="2">
        <f t="shared" ca="1" si="36"/>
        <v>5</v>
      </c>
      <c r="BP77" s="2">
        <f t="shared" ca="1" si="37"/>
        <v>5</v>
      </c>
      <c r="BQ77" s="2">
        <f t="shared" ca="1" si="38"/>
        <v>0</v>
      </c>
      <c r="BR77" s="1">
        <f t="shared" ca="1" si="30"/>
        <v>8</v>
      </c>
      <c r="BS77" s="53" t="str">
        <f ca="1">MID(VLOOKUP(12,$BX$66:$CF$77,9,FALSE),2,1)</f>
        <v>H</v>
      </c>
      <c r="BT77" s="55"/>
      <c r="BU77" s="55"/>
      <c r="BV77" s="55"/>
      <c r="BW77" s="55"/>
      <c r="BX77" s="62">
        <f t="shared" ca="1" si="31"/>
        <v>2</v>
      </c>
      <c r="BY77" s="153" t="str">
        <f ca="1">BM54</f>
        <v>Kroatien</v>
      </c>
      <c r="BZ77" s="55">
        <f ca="1">BN54</f>
        <v>4</v>
      </c>
      <c r="CA77" s="55">
        <f ca="1">BO54</f>
        <v>3</v>
      </c>
      <c r="CB77" s="55">
        <f ca="1">BP54</f>
        <v>4</v>
      </c>
      <c r="CC77" s="55">
        <f ca="1">BQ54</f>
        <v>-1</v>
      </c>
      <c r="CD77" s="174">
        <f t="shared" ca="1" si="32"/>
        <v>399030000000001</v>
      </c>
      <c r="CE77" s="203"/>
      <c r="CF77" s="236" t="s">
        <v>259</v>
      </c>
      <c r="CG77" s="55"/>
      <c r="CH77" s="203">
        <f t="shared" si="34"/>
        <v>1</v>
      </c>
      <c r="CI77" s="55"/>
      <c r="CJ77" s="55"/>
      <c r="CK77" s="55"/>
      <c r="CL77" s="55"/>
      <c r="CM77" s="55"/>
      <c r="CN77" s="55"/>
      <c r="CO77" s="55"/>
      <c r="CP77" s="55"/>
      <c r="CQ77" s="55"/>
      <c r="CR77" s="55"/>
      <c r="CS77" s="55"/>
      <c r="CT77" s="55"/>
      <c r="CU77" s="55"/>
      <c r="CW77" s="55"/>
      <c r="CZ77" s="206"/>
    </row>
    <row r="78" spans="1:104">
      <c r="A78" s="2">
        <v>87</v>
      </c>
      <c r="B78" s="6">
        <f>VLOOKUP(A78,Spiele!$A$1:$L$116,2,FALSE)</f>
        <v>46206.854166666672</v>
      </c>
      <c r="C78" s="6" t="str">
        <f>VLOOKUP(A78,Spiele!$A$1:$L$116,9,FALSE)</f>
        <v>Kansas City</v>
      </c>
      <c r="D78" s="232" t="str">
        <f ca="1">BM47</f>
        <v>Kolumbien</v>
      </c>
      <c r="E78" s="15" t="s">
        <v>24</v>
      </c>
      <c r="F78" s="34" t="str">
        <f ca="1">VLOOKUP(R78,$BC$66:$BF$73,4,FALSE)</f>
        <v>Kroatien</v>
      </c>
      <c r="G78" s="17"/>
      <c r="H78" s="107">
        <f t="shared" ca="1" si="24"/>
        <v>3</v>
      </c>
      <c r="I78" s="11" t="s">
        <v>25</v>
      </c>
      <c r="J78" s="107">
        <f t="shared" ca="1" si="26"/>
        <v>2</v>
      </c>
      <c r="K78" s="7" t="s">
        <v>26</v>
      </c>
      <c r="L78" s="1"/>
      <c r="M78" s="252" t="str">
        <f t="shared" ca="1" si="25"/>
        <v>Kolumbien</v>
      </c>
      <c r="N78" s="241" t="str">
        <f>BN47</f>
        <v>1K</v>
      </c>
      <c r="O78" s="241" t="str">
        <f ca="1">R78</f>
        <v>3L</v>
      </c>
      <c r="P78" s="241" t="s">
        <v>290</v>
      </c>
      <c r="Q78" s="184"/>
      <c r="R78" s="243" t="str">
        <f ca="1">VLOOKUP(N78,BB$66:BC$73,2,FALSE)</f>
        <v>3L</v>
      </c>
      <c r="S78" s="4"/>
      <c r="T78" s="4"/>
      <c r="U78" s="4"/>
      <c r="V78" s="4"/>
      <c r="W78" s="4"/>
      <c r="X78" s="4"/>
      <c r="Z78" s="62"/>
      <c r="AC78" s="58"/>
      <c r="AE78" s="2"/>
      <c r="AF78" s="206"/>
      <c r="AG78" s="206"/>
      <c r="AH78" s="206"/>
      <c r="AI78" s="206"/>
      <c r="AJ78" s="206"/>
      <c r="AK78" s="206"/>
      <c r="AL78" s="206"/>
      <c r="AM78" s="206"/>
      <c r="AN78" s="206"/>
      <c r="AO78" s="206"/>
      <c r="AP78" s="206"/>
      <c r="AX78" s="17">
        <f ca="1">IF(AY78="",0,IF($CX$97="",(D78=Ergebnisse!D78)+(F78=Ergebnisse!F78)+(SIGN(H78-J78)=SIGN(Ergebnisse!H78-Ergebnisse!J78))*7+(H78=Ergebnisse!H78)+(J78=Ergebnisse!J78),INT(RAND()*12)))</f>
        <v>2</v>
      </c>
      <c r="AY78" s="17" t="str">
        <f ca="1">IF(Ergebnisse!K78=Ergebnisse!$B$98,Ergebnisse!K78,"")</f>
        <v>ok</v>
      </c>
      <c r="AZ78" s="206"/>
      <c r="BB78" s="58"/>
      <c r="BC78" s="55"/>
      <c r="BD78" s="55"/>
      <c r="BE78" s="55"/>
      <c r="BF78" s="55"/>
      <c r="BG78" s="55"/>
      <c r="BH78" s="2"/>
      <c r="BI78" s="2"/>
      <c r="BJ78" s="1"/>
      <c r="BK78" s="2"/>
      <c r="BM78" s="2"/>
      <c r="BS78" s="55"/>
      <c r="BT78" s="55"/>
      <c r="BU78" s="55"/>
      <c r="BV78" s="55"/>
      <c r="BW78" s="55"/>
      <c r="BX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c r="CW78" s="55"/>
      <c r="CZ78" s="206"/>
    </row>
    <row r="79" spans="1:104">
      <c r="B79" s="6"/>
      <c r="C79" s="6"/>
      <c r="D79" s="4"/>
      <c r="E79" s="15"/>
      <c r="F79" s="4"/>
      <c r="G79" s="4"/>
      <c r="H79" s="4"/>
      <c r="I79" s="4"/>
      <c r="J79" s="4"/>
      <c r="K79" s="4"/>
      <c r="L79" s="4"/>
      <c r="M79" s="4"/>
      <c r="N79" s="4"/>
      <c r="O79" s="4"/>
      <c r="P79" s="4"/>
      <c r="Q79" s="4"/>
      <c r="R79" s="4"/>
      <c r="S79" s="4"/>
      <c r="T79" s="4"/>
      <c r="U79" s="4"/>
      <c r="V79" s="4"/>
      <c r="W79" s="4"/>
      <c r="X79" s="4"/>
      <c r="Y79" s="4"/>
      <c r="Z79" s="4"/>
      <c r="AA79" s="4"/>
      <c r="AB79" s="4"/>
      <c r="AC79" s="58"/>
      <c r="AF79" s="206"/>
      <c r="AG79" s="206"/>
      <c r="AH79" s="206"/>
      <c r="AI79" s="206"/>
      <c r="AJ79" s="206"/>
      <c r="AK79" s="206"/>
      <c r="AL79" s="206"/>
      <c r="AM79" s="206"/>
      <c r="AN79" s="206"/>
      <c r="AO79" s="206"/>
      <c r="AP79" s="206"/>
      <c r="AZ79" s="206"/>
      <c r="BB79" s="58"/>
      <c r="BH79" s="2"/>
      <c r="BI79" s="2"/>
      <c r="BJ79" s="1"/>
      <c r="BK79" s="2"/>
      <c r="BM79" s="2"/>
      <c r="BS79" s="55"/>
      <c r="BT79" s="55"/>
      <c r="BU79" s="55"/>
      <c r="BV79" s="55"/>
      <c r="BW79" s="55"/>
      <c r="BX79" s="55"/>
      <c r="BZ79" s="55"/>
      <c r="CA79" s="55"/>
      <c r="CB79" s="55"/>
      <c r="CC79" s="55"/>
      <c r="CD79" s="55" t="s">
        <v>140</v>
      </c>
      <c r="CE79" s="55"/>
      <c r="CF79" s="55"/>
      <c r="CG79" s="55"/>
      <c r="CH79" s="55"/>
      <c r="CI79" s="55"/>
      <c r="CJ79" s="55"/>
      <c r="CK79" s="55"/>
      <c r="CL79" s="55"/>
      <c r="CM79" s="55"/>
      <c r="CN79" s="55"/>
      <c r="CO79" s="55"/>
      <c r="CP79" s="55"/>
      <c r="CQ79" s="55"/>
      <c r="CR79" s="55"/>
      <c r="CS79" s="55"/>
      <c r="CT79" s="55"/>
      <c r="CU79" s="55"/>
      <c r="CV79" s="55"/>
      <c r="CW79" s="55"/>
      <c r="CZ79" s="206"/>
    </row>
    <row r="80" spans="1:104">
      <c r="B80" s="17" t="s">
        <v>43</v>
      </c>
      <c r="C80" s="21"/>
      <c r="D80" s="17"/>
      <c r="E80" s="15"/>
      <c r="F80" s="17"/>
      <c r="G80" s="17"/>
      <c r="H80" s="20"/>
      <c r="I80" s="19"/>
      <c r="J80" s="20"/>
      <c r="K80" s="181"/>
      <c r="L80" s="17"/>
      <c r="M80" s="21"/>
      <c r="N80" s="17"/>
      <c r="O80" s="17"/>
      <c r="P80" s="17"/>
      <c r="Q80" s="17"/>
      <c r="R80" s="17"/>
      <c r="S80" s="62"/>
      <c r="T80" s="62"/>
      <c r="U80" s="62"/>
      <c r="V80" s="62"/>
      <c r="W80" s="62"/>
      <c r="Y80" s="206"/>
      <c r="Z80" s="206"/>
      <c r="AA80" s="206"/>
      <c r="AB80" s="206"/>
      <c r="AC80" s="206"/>
      <c r="AE80" s="108"/>
      <c r="AF80" s="206"/>
      <c r="AG80" s="206"/>
      <c r="AH80" s="206"/>
      <c r="AI80" s="206"/>
      <c r="AJ80" s="206"/>
      <c r="AK80" s="206"/>
      <c r="AL80" s="206"/>
      <c r="AM80" s="206"/>
      <c r="AN80" s="206"/>
      <c r="AO80" s="206"/>
      <c r="AP80" s="206"/>
      <c r="AZ80" s="206"/>
      <c r="BB80" s="255" t="s">
        <v>44</v>
      </c>
      <c r="BH80" s="2"/>
      <c r="BI80" s="2"/>
      <c r="BJ80" s="1"/>
      <c r="BK80" s="2"/>
      <c r="BM80" s="2"/>
      <c r="BS80" s="55"/>
      <c r="BT80" s="55"/>
      <c r="BU80" s="55"/>
      <c r="BV80" s="55"/>
      <c r="BW80" s="55"/>
      <c r="BX80" s="55"/>
      <c r="BZ80" s="55"/>
      <c r="CA80" s="55"/>
      <c r="CB80" s="55"/>
      <c r="CC80" s="55"/>
      <c r="CD80" s="58" t="s">
        <v>291</v>
      </c>
      <c r="CE80" s="55"/>
      <c r="CF80" s="55"/>
      <c r="CG80" s="55"/>
      <c r="CH80" s="55"/>
      <c r="CI80" s="55"/>
      <c r="CJ80" s="55"/>
      <c r="CK80" s="55"/>
      <c r="CL80" s="55"/>
      <c r="CM80" s="55"/>
      <c r="CN80" s="55"/>
      <c r="CO80" s="55"/>
      <c r="CP80" s="55"/>
      <c r="CQ80" s="55"/>
      <c r="CR80" s="55"/>
      <c r="CS80" s="55"/>
      <c r="CT80" s="55"/>
      <c r="CU80" s="55"/>
      <c r="CV80" s="55"/>
      <c r="CW80" s="55"/>
      <c r="CZ80" s="206"/>
    </row>
    <row r="81" spans="1:104">
      <c r="B81" s="3" t="s">
        <v>22</v>
      </c>
      <c r="C81" s="3" t="s">
        <v>23</v>
      </c>
      <c r="D81" s="17"/>
      <c r="E81" s="15"/>
      <c r="F81" s="17"/>
      <c r="G81" s="17"/>
      <c r="H81" s="20"/>
      <c r="I81" s="11"/>
      <c r="J81" s="20"/>
      <c r="K81" s="181"/>
      <c r="L81" s="1"/>
      <c r="M81" s="3"/>
      <c r="N81" s="1"/>
      <c r="O81" s="1"/>
      <c r="P81" s="1"/>
      <c r="Q81" s="1"/>
      <c r="S81" s="62"/>
      <c r="T81" s="62"/>
      <c r="U81" s="62"/>
      <c r="V81" s="62"/>
      <c r="W81" s="62"/>
      <c r="Y81" s="206"/>
      <c r="Z81" s="206"/>
      <c r="AA81" s="206"/>
      <c r="AB81" s="206"/>
      <c r="AC81" s="206"/>
      <c r="AF81" s="206"/>
      <c r="AG81" s="206"/>
      <c r="AH81" s="206"/>
      <c r="AI81" s="206"/>
      <c r="AJ81" s="206"/>
      <c r="AK81" s="206"/>
      <c r="AL81" s="206"/>
      <c r="AM81" s="206"/>
      <c r="AN81" s="206"/>
      <c r="AO81" s="206"/>
      <c r="AP81" s="206"/>
      <c r="AX81" s="17"/>
      <c r="AY81" s="17"/>
      <c r="AZ81" s="206"/>
      <c r="BB81" s="3" t="s">
        <v>22</v>
      </c>
      <c r="BC81" s="3" t="s">
        <v>23</v>
      </c>
      <c r="BD81" s="14"/>
      <c r="BE81" s="14"/>
      <c r="BF81" s="14"/>
      <c r="BG81" s="17"/>
      <c r="BH81" s="20"/>
      <c r="BI81" s="11"/>
      <c r="BJ81" s="67"/>
      <c r="BK81" s="181"/>
      <c r="BL81" s="1"/>
      <c r="BM81" s="3"/>
      <c r="BP81" s="1"/>
      <c r="BQ81" s="1"/>
      <c r="BR81" s="1"/>
      <c r="BS81" s="62"/>
      <c r="BT81" s="62"/>
      <c r="BU81" s="62"/>
      <c r="BV81" s="62"/>
      <c r="BW81" s="62"/>
      <c r="BX81" s="62"/>
      <c r="BY81" s="206"/>
      <c r="BZ81" s="206"/>
      <c r="CA81" s="206"/>
      <c r="CB81" s="206"/>
      <c r="CC81" s="206"/>
      <c r="CD81" s="206" t="s">
        <v>292</v>
      </c>
      <c r="CE81" s="206"/>
      <c r="CF81" s="206"/>
      <c r="CG81" s="206"/>
      <c r="CH81" s="206"/>
      <c r="CI81" s="206"/>
      <c r="CJ81" s="206"/>
      <c r="CK81" s="206"/>
      <c r="CL81" s="206"/>
      <c r="CM81" s="206"/>
      <c r="CN81" s="206"/>
      <c r="CO81" s="206"/>
      <c r="CP81" s="55"/>
      <c r="CQ81" s="55"/>
      <c r="CR81" s="55"/>
      <c r="CS81" s="55"/>
      <c r="CT81" s="55"/>
      <c r="CU81" s="55"/>
      <c r="CV81" s="55"/>
      <c r="CW81" s="55"/>
      <c r="CZ81" s="206"/>
    </row>
    <row r="82" spans="1:104">
      <c r="A82" s="2">
        <v>89</v>
      </c>
      <c r="B82" s="6">
        <f>VLOOKUP(A82,Spiele!$A$1:$L$116,2,FALSE)</f>
        <v>46207.708333333336</v>
      </c>
      <c r="C82" s="6" t="str">
        <f>VLOOKUP(A82,Spiele!$A$1:$L$116,9,FALSE)</f>
        <v>Philadelphia</v>
      </c>
      <c r="D82" s="258" t="str">
        <f ca="1">INDEX($M$63:$M$78, MATCH(N82, $P$63:$P$78, 0))</f>
        <v>Türkei</v>
      </c>
      <c r="E82" s="15" t="s">
        <v>24</v>
      </c>
      <c r="F82" s="258" t="str">
        <f ca="1">INDEX($M$63:$M$78, MATCH(O82, $P$63:$P$78, 0))</f>
        <v>IR Iran</v>
      </c>
      <c r="G82" s="3"/>
      <c r="H82" s="107">
        <f t="shared" ref="H82:H89" ca="1" si="39">IF($B$99="",2,INT(RAND()*5)+INT(RAND()*3)*INT(RAND()*2))</f>
        <v>1</v>
      </c>
      <c r="I82" s="11" t="s">
        <v>25</v>
      </c>
      <c r="J82" s="107">
        <f t="shared" ref="J82:J89" ca="1" si="40">IF($B$99="",1, H82 + IF(H82=0, 1, IF(H82=9, -1, CHOOSE(INT(RAND()*2)+1, 1, -1))))</f>
        <v>0</v>
      </c>
      <c r="K82" s="7" t="s">
        <v>26</v>
      </c>
      <c r="L82" s="1"/>
      <c r="M82" s="260" t="str">
        <f t="shared" ref="M82:M89" ca="1" si="41">IF(J82="","",IF(J82=H82,"falsch!!! K.Remis",IF(H82&gt;J82,D82,F82)))</f>
        <v>Türkei</v>
      </c>
      <c r="N82" s="1" t="str">
        <f>P65</f>
        <v>S03</v>
      </c>
      <c r="O82" s="1" t="str">
        <f>P68</f>
        <v>S06</v>
      </c>
      <c r="P82" s="14" t="s">
        <v>45</v>
      </c>
      <c r="Q82" s="3"/>
      <c r="R82" s="3"/>
      <c r="S82" s="62"/>
      <c r="T82" s="62"/>
      <c r="U82" s="62"/>
      <c r="V82" s="62"/>
      <c r="W82" s="62"/>
      <c r="Y82" s="206"/>
      <c r="Z82" s="206"/>
      <c r="AA82" s="206"/>
      <c r="AB82" s="206"/>
      <c r="AC82" s="206"/>
      <c r="AI82" s="206"/>
      <c r="AJ82" s="206"/>
      <c r="AK82" s="206"/>
      <c r="AL82" s="206"/>
      <c r="AM82" s="206"/>
      <c r="AN82" s="206"/>
      <c r="AO82" s="206"/>
      <c r="AP82" s="206"/>
      <c r="AX82" s="17">
        <f ca="1">IF(AY82="",0,IF($CX$97="",2*(D82=Ergebnisse!D82)+2*(F82=Ergebnisse!F82)+(SIGN(H82-J82)=SIGN(Ergebnisse!H82-Ergebnisse!J82))*7+(H82=Ergebnisse!H82)+(J82=Ergebnisse!J82),INT(RAND()*14)))</f>
        <v>0</v>
      </c>
      <c r="AY82" s="17" t="str">
        <f ca="1">IF(Ergebnisse!K82=Ergebnisse!$B$98,Ergebnisse!K82,"")</f>
        <v>ok</v>
      </c>
      <c r="AZ82" s="206"/>
      <c r="BA82" s="2">
        <f>A89+1</f>
        <v>97</v>
      </c>
      <c r="BB82" s="6">
        <f>VLOOKUP(BA82,Spiele!$A$1:$L$116,2,FALSE)</f>
        <v>46212.666666666664</v>
      </c>
      <c r="BC82" s="6" t="str">
        <f>VLOOKUP(BA82,Spiele!$A$1:$L$116,9,FALSE)</f>
        <v>Boston</v>
      </c>
      <c r="BD82" s="41" t="str">
        <f ca="1">INDEX($M$82:$M$89, MATCH(BN82, $P$82:$P$89, 0))</f>
        <v>Türkei</v>
      </c>
      <c r="BE82" s="15" t="s">
        <v>24</v>
      </c>
      <c r="BF82" s="41" t="str">
        <f ca="1">INDEX($M$82:$M$89, MATCH(BO82, $P$82:$P$89, 0))</f>
        <v>Südkorea</v>
      </c>
      <c r="BG82" s="14"/>
      <c r="BH82" s="107">
        <f ca="1">IF($B$99="",2,INT(RAND()*5)+INT(RAND()*3)*INT(RAND()*2))</f>
        <v>2</v>
      </c>
      <c r="BI82" s="11" t="s">
        <v>25</v>
      </c>
      <c r="BJ82" s="107">
        <f ca="1">IF($B$99="",1, BH82 + IF(BH82=0, 1, IF(BH82=9, -1, CHOOSE(INT(RAND()*2)+1, 1, -1))))</f>
        <v>1</v>
      </c>
      <c r="BK82" s="7" t="s">
        <v>26</v>
      </c>
      <c r="BL82" s="1"/>
      <c r="BM82" s="42" t="str">
        <f ca="1">IF(BJ82="","",IF(BJ82=BH82,"falsch!!! K.Remis",IF(BH82&gt;BJ82,BD82,BF82)))</f>
        <v>Türkei</v>
      </c>
      <c r="BN82" s="1" t="str">
        <f>P82</f>
        <v>AF1</v>
      </c>
      <c r="BO82" s="1" t="str">
        <f>P83</f>
        <v>AF2</v>
      </c>
      <c r="BP82" s="2" t="s">
        <v>48</v>
      </c>
      <c r="BQ82" s="1"/>
      <c r="BR82" s="1"/>
      <c r="BS82" s="62"/>
      <c r="BT82" s="62"/>
      <c r="BU82" s="62"/>
      <c r="BV82" s="62"/>
      <c r="BW82" s="62"/>
      <c r="BX82" s="62"/>
      <c r="BY82" s="206"/>
      <c r="BZ82" s="206"/>
      <c r="CA82" s="206"/>
      <c r="CB82" s="206"/>
      <c r="CC82" s="206"/>
      <c r="CD82" s="206"/>
      <c r="CE82" s="206"/>
      <c r="CF82" s="206"/>
      <c r="CG82" s="206"/>
      <c r="CH82" s="206"/>
      <c r="CI82" s="206"/>
      <c r="CJ82" s="206"/>
      <c r="CK82" s="206"/>
      <c r="CL82" s="206"/>
      <c r="CM82" s="206"/>
      <c r="CN82" s="206"/>
      <c r="CO82" s="206"/>
      <c r="CP82" s="55"/>
      <c r="CQ82" s="55"/>
      <c r="CR82" s="55"/>
      <c r="CS82" s="55"/>
      <c r="CT82" s="55"/>
      <c r="CU82" s="55"/>
      <c r="CV82" s="55"/>
      <c r="CW82" s="55"/>
      <c r="CX82" s="17">
        <f ca="1">IF(CY82="",0,IF($CX$97="",IF(BD82=Ergebnisse!BD82,3,IF(COUNTIF(Ergebnisse!$BD$82:$BF$85,BD82)&gt;0,1,0))+IF(BF82=Ergebnisse!BF82,3,IF(COUNTIF(Ergebnisse!$BD$82:$BF$85,BF82)&gt;0,1,0))+(SIGN(BH82-BJ82)=SIGN(Ergebnisse!BH82-Ergebnisse!BJ82))*7+(BH82=Ergebnisse!BH82)+(BJ82=Ergebnisse!BJ82),INT(RAND()*16)))</f>
        <v>7</v>
      </c>
      <c r="CY82" s="17" t="str">
        <f ca="1">IF(Ergebnisse!BK82=Ergebnisse!$B$98,Ergebnisse!BK82,"")</f>
        <v>ok</v>
      </c>
      <c r="CZ82" s="206"/>
    </row>
    <row r="83" spans="1:104">
      <c r="A83" s="2">
        <f t="shared" ref="A83:A88" si="42">A82+1</f>
        <v>90</v>
      </c>
      <c r="B83" s="6">
        <f>VLOOKUP(A83,Spiele!$A$1:$L$116,2,FALSE)</f>
        <v>46207.5</v>
      </c>
      <c r="C83" s="6" t="str">
        <f>VLOOKUP(A83,Spiele!$A$1:$L$116,9,FALSE)</f>
        <v>Houston</v>
      </c>
      <c r="D83" s="258" t="str">
        <f ca="1">INDEX($M$63:$M$78, MATCH(N83, $P$63:$P$78, 0))</f>
        <v>Südkorea</v>
      </c>
      <c r="E83" s="15" t="s">
        <v>24</v>
      </c>
      <c r="F83" s="258" t="str">
        <f ca="1">INDEX($M$63:$M$78, MATCH(O83, $P$63:$P$78, 0))</f>
        <v>Tunesien</v>
      </c>
      <c r="G83" s="3"/>
      <c r="H83" s="107">
        <f t="shared" ca="1" si="39"/>
        <v>2</v>
      </c>
      <c r="I83" s="11" t="s">
        <v>25</v>
      </c>
      <c r="J83" s="107">
        <f t="shared" ca="1" si="40"/>
        <v>1</v>
      </c>
      <c r="K83" s="7" t="s">
        <v>26</v>
      </c>
      <c r="L83" s="1"/>
      <c r="M83" s="260" t="str">
        <f t="shared" ca="1" si="41"/>
        <v>Südkorea</v>
      </c>
      <c r="N83" s="1" t="str">
        <f>P63</f>
        <v>S01</v>
      </c>
      <c r="O83" s="1" t="str">
        <f>P66</f>
        <v>S04</v>
      </c>
      <c r="P83" s="14" t="s">
        <v>47</v>
      </c>
      <c r="Q83" s="3"/>
      <c r="R83" s="3"/>
      <c r="S83" s="62"/>
      <c r="T83" s="62"/>
      <c r="U83" s="62"/>
      <c r="V83" s="62"/>
      <c r="W83" s="62"/>
      <c r="Y83" s="206"/>
      <c r="Z83" s="206"/>
      <c r="AA83" s="206"/>
      <c r="AB83" s="206"/>
      <c r="AC83" s="206"/>
      <c r="AI83" s="206"/>
      <c r="AJ83" s="206"/>
      <c r="AK83" s="206"/>
      <c r="AL83" s="206"/>
      <c r="AM83" s="206"/>
      <c r="AN83" s="206"/>
      <c r="AO83" s="206"/>
      <c r="AP83" s="206"/>
      <c r="AX83" s="17">
        <f ca="1">IF(AY83="",0,IF($CX$97="",2*(D83=Ergebnisse!D83)+2*(F83=Ergebnisse!F83)+(SIGN(H83-J83)=SIGN(Ergebnisse!H83-Ergebnisse!J83))*7+(H83=Ergebnisse!H83)+(J83=Ergebnisse!J83),INT(RAND()*14)))</f>
        <v>1</v>
      </c>
      <c r="AY83" s="17" t="str">
        <f ca="1">IF(Ergebnisse!K83=Ergebnisse!$B$98,Ergebnisse!K83,"")</f>
        <v>ok</v>
      </c>
      <c r="AZ83" s="206"/>
      <c r="BA83" s="2">
        <f>BA82+1</f>
        <v>98</v>
      </c>
      <c r="BB83" s="6">
        <f>VLOOKUP(BA83,Spiele!$A$1:$L$116,2,FALSE)</f>
        <v>46213.5</v>
      </c>
      <c r="BC83" s="6" t="str">
        <f>VLOOKUP(BA83,Spiele!$A$1:$L$116,9,FALSE)</f>
        <v>Los Angeles</v>
      </c>
      <c r="BD83" s="70" t="str">
        <f ca="1">INDEX($M$82:$M$89, MATCH(BN83, $P$82:$P$89, 0))</f>
        <v>Panama</v>
      </c>
      <c r="BE83" s="40" t="s">
        <v>24</v>
      </c>
      <c r="BF83" s="70" t="str">
        <f ca="1">INDEX($M$82:$M$89, MATCH(BO83, $P$82:$P$89, 0))</f>
        <v>Mexiko</v>
      </c>
      <c r="BG83" s="14"/>
      <c r="BH83" s="107">
        <f ca="1">IF($B$99="",2,INT(RAND()*5)+INT(RAND()*3)*INT(RAND()*2))</f>
        <v>2</v>
      </c>
      <c r="BI83" s="11" t="s">
        <v>25</v>
      </c>
      <c r="BJ83" s="107">
        <f ca="1">IF($B$99="",1, BH83 + IF(BH83=0, 1, IF(BH83=9, -1, CHOOSE(INT(RAND()*2)+1, 1, -1))))</f>
        <v>3</v>
      </c>
      <c r="BK83" s="7" t="s">
        <v>26</v>
      </c>
      <c r="BL83" s="1"/>
      <c r="BM83" s="69" t="str">
        <f ca="1">IF(BJ83="","",IF(BJ83=BH83,"falsch!!! K.Remis",IF(BH83&gt;BJ83,BD83,BF83)))</f>
        <v>Mexiko</v>
      </c>
      <c r="BN83" s="1" t="str">
        <f>P86</f>
        <v>AF5</v>
      </c>
      <c r="BO83" s="1" t="str">
        <f>P87</f>
        <v>AF6</v>
      </c>
      <c r="BP83" s="2" t="s">
        <v>52</v>
      </c>
      <c r="BQ83" s="1"/>
      <c r="BR83" s="1"/>
      <c r="BS83" s="62"/>
      <c r="BT83" s="62"/>
      <c r="BU83" s="62"/>
      <c r="BV83" s="62"/>
      <c r="BW83" s="62"/>
      <c r="BX83" s="62"/>
      <c r="BY83" s="206"/>
      <c r="BZ83" s="206"/>
      <c r="CA83" s="206"/>
      <c r="CB83" s="206"/>
      <c r="CC83" s="206"/>
      <c r="CD83" s="206"/>
      <c r="CE83" s="206"/>
      <c r="CF83" s="206"/>
      <c r="CG83" s="206"/>
      <c r="CH83" s="206"/>
      <c r="CI83" s="206"/>
      <c r="CJ83" s="206"/>
      <c r="CK83" s="206"/>
      <c r="CL83" s="206"/>
      <c r="CM83" s="206"/>
      <c r="CN83" s="206"/>
      <c r="CO83" s="206"/>
      <c r="CP83" s="55"/>
      <c r="CQ83" s="55"/>
      <c r="CR83" s="55"/>
      <c r="CS83" s="55"/>
      <c r="CT83" s="55"/>
      <c r="CU83" s="55"/>
      <c r="CV83" s="55"/>
      <c r="CW83" s="55"/>
      <c r="CX83" s="17">
        <f ca="1">IF(CY83="",0,IF($CX$97="",IF(BD83=Ergebnisse!BD83,3,IF(COUNTIF(Ergebnisse!$BD$82:$BF$85,BD83)&gt;0,1,0))+IF(BF83=Ergebnisse!BF83,3,IF(COUNTIF(Ergebnisse!$BD$82:$BF$85,BF83)&gt;0,1,0))+(SIGN(BH83-BJ83)=SIGN(Ergebnisse!BH83-Ergebnisse!BJ83))*7+(BH83=Ergebnisse!BH83)+(BJ83=Ergebnisse!BJ83),INT(RAND()*16)))</f>
        <v>3</v>
      </c>
      <c r="CY83" s="17" t="str">
        <f ca="1">IF(Ergebnisse!BK83=Ergebnisse!$B$98,Ergebnisse!BK83,"")</f>
        <v>ok</v>
      </c>
      <c r="CZ83" s="206"/>
    </row>
    <row r="84" spans="1:104">
      <c r="A84" s="2">
        <f t="shared" si="42"/>
        <v>91</v>
      </c>
      <c r="B84" s="6">
        <f>VLOOKUP(A84,Spiele!$A$1:$L$116,2,FALSE)</f>
        <v>46208.666666666664</v>
      </c>
      <c r="C84" s="6" t="str">
        <f>VLOOKUP(A84,Spiele!$A$1:$L$116,9,FALSE)</f>
        <v>New York</v>
      </c>
      <c r="D84" s="261" t="str">
        <f t="shared" ref="D84:D89" ca="1" si="43">INDEX($M$63:$M$78, MATCH(N84, $P$63:$P$78, 0))</f>
        <v>Niederlande</v>
      </c>
      <c r="E84" s="15" t="s">
        <v>24</v>
      </c>
      <c r="F84" s="261" t="str">
        <f t="shared" ref="F84:F89" ca="1" si="44">INDEX($M$63:$M$78, MATCH(O84, $P$63:$P$78, 0))</f>
        <v>Irak</v>
      </c>
      <c r="G84" s="3"/>
      <c r="H84" s="107">
        <f t="shared" ca="1" si="39"/>
        <v>4</v>
      </c>
      <c r="I84" s="11" t="s">
        <v>25</v>
      </c>
      <c r="J84" s="107">
        <f t="shared" ca="1" si="40"/>
        <v>5</v>
      </c>
      <c r="K84" s="7" t="s">
        <v>26</v>
      </c>
      <c r="L84" s="1"/>
      <c r="M84" s="263" t="str">
        <f t="shared" ca="1" si="41"/>
        <v>Irak</v>
      </c>
      <c r="N84" s="1" t="str">
        <f>P64</f>
        <v>S02</v>
      </c>
      <c r="O84" s="1" t="str">
        <f>P67</f>
        <v>S05</v>
      </c>
      <c r="P84" s="14" t="s">
        <v>49</v>
      </c>
      <c r="Q84" s="3"/>
      <c r="R84" s="3"/>
      <c r="S84" s="62"/>
      <c r="T84" s="62"/>
      <c r="U84" s="62"/>
      <c r="V84" s="62"/>
      <c r="W84" s="62"/>
      <c r="Y84" s="206"/>
      <c r="Z84" s="206"/>
      <c r="AA84" s="206"/>
      <c r="AB84" s="206"/>
      <c r="AC84" s="206"/>
      <c r="AI84" s="206"/>
      <c r="AJ84" s="206"/>
      <c r="AK84" s="206"/>
      <c r="AL84" s="206"/>
      <c r="AM84" s="206"/>
      <c r="AN84" s="206"/>
      <c r="AO84" s="206"/>
      <c r="AP84" s="206"/>
      <c r="AX84" s="17">
        <f ca="1">IF(AY84="",0,IF($CX$97="",2*(D84=Ergebnisse!D84)+2*(F84=Ergebnisse!F84)+(SIGN(H84-J84)=SIGN(Ergebnisse!H84-Ergebnisse!J84))*7+(H84=Ergebnisse!H84)+(J84=Ergebnisse!J84),INT(RAND()*14)))</f>
        <v>7</v>
      </c>
      <c r="AY84" s="17" t="str">
        <f ca="1">IF(Ergebnisse!K84=Ergebnisse!$B$98,Ergebnisse!K84,"")</f>
        <v>ok</v>
      </c>
      <c r="AZ84" s="206"/>
      <c r="BA84" s="2">
        <f>BA83+1</f>
        <v>99</v>
      </c>
      <c r="BB84" s="6">
        <f>VLOOKUP(BA84,Spiele!$A$1:$L$116,2,FALSE)</f>
        <v>46214.708333333336</v>
      </c>
      <c r="BC84" s="6" t="str">
        <f>VLOOKUP(BA84,Spiele!$A$1:$L$116,9,FALSE)</f>
        <v>Miami</v>
      </c>
      <c r="BD84" s="45" t="str">
        <f ca="1">INDEX($M$82:$M$89, MATCH(BN84, $P$82:$P$89, 0))</f>
        <v>Irak</v>
      </c>
      <c r="BE84" s="40" t="s">
        <v>24</v>
      </c>
      <c r="BF84" s="45" t="str">
        <f ca="1">INDEX($M$82:$M$89, MATCH(BO84, $P$82:$P$89, 0))</f>
        <v>Frankreich</v>
      </c>
      <c r="BG84" s="14"/>
      <c r="BH84" s="107">
        <f ca="1">IF($B$99="",2,INT(RAND()*5)+INT(RAND()*3)*INT(RAND()*2))</f>
        <v>3</v>
      </c>
      <c r="BI84" s="11" t="s">
        <v>25</v>
      </c>
      <c r="BJ84" s="107">
        <f ca="1">IF($B$99="",1, BH84 + IF(BH84=0, 1, IF(BH84=9, -1, CHOOSE(INT(RAND()*2)+1, 1, -1))))</f>
        <v>2</v>
      </c>
      <c r="BK84" s="7" t="s">
        <v>26</v>
      </c>
      <c r="BL84" s="1"/>
      <c r="BM84" s="46" t="str">
        <f ca="1">IF(BJ84="","",IF(BJ84=BH84,"falsch!!! K.Remis",IF(BH84&gt;BJ84,BD84,BF84)))</f>
        <v>Irak</v>
      </c>
      <c r="BN84" s="1" t="str">
        <f>P84</f>
        <v>AF3</v>
      </c>
      <c r="BO84" s="1" t="str">
        <f>P85</f>
        <v>AF4</v>
      </c>
      <c r="BP84" s="1" t="s">
        <v>46</v>
      </c>
      <c r="BQ84" s="1"/>
      <c r="BR84" s="1"/>
      <c r="BS84" s="62"/>
      <c r="BT84" s="62"/>
      <c r="BU84" s="62"/>
      <c r="BV84" s="62"/>
      <c r="BW84" s="62"/>
      <c r="BX84" s="62"/>
      <c r="BY84" s="206"/>
      <c r="BZ84" s="206"/>
      <c r="CA84" s="206"/>
      <c r="CB84" s="206"/>
      <c r="CC84" s="206"/>
      <c r="CD84" s="206"/>
      <c r="CE84" s="206"/>
      <c r="CF84" s="206"/>
      <c r="CG84" s="206"/>
      <c r="CH84" s="206"/>
      <c r="CI84" s="206"/>
      <c r="CJ84" s="206"/>
      <c r="CK84" s="206"/>
      <c r="CL84" s="206"/>
      <c r="CM84" s="206"/>
      <c r="CN84" s="206"/>
      <c r="CO84" s="206"/>
      <c r="CP84" s="55"/>
      <c r="CQ84" s="55"/>
      <c r="CR84" s="55"/>
      <c r="CS84" s="55"/>
      <c r="CT84" s="55"/>
      <c r="CU84" s="55"/>
      <c r="CV84" s="55"/>
      <c r="CW84" s="55"/>
      <c r="CX84" s="17">
        <f ca="1">IF(CY84="",0,IF($CX$97="",IF(BD84=Ergebnisse!BD84,3,IF(COUNTIF(Ergebnisse!$BD$82:$BF$85,BD84)&gt;0,1,0))+IF(BF84=Ergebnisse!BF84,3,IF(COUNTIF(Ergebnisse!$BD$82:$BF$85,BF84)&gt;0,1,0))+(SIGN(BH84-BJ84)=SIGN(Ergebnisse!BH84-Ergebnisse!BJ84))*7+(BH84=Ergebnisse!BH84)+(BJ84=Ergebnisse!BJ84),INT(RAND()*16)))</f>
        <v>1</v>
      </c>
      <c r="CY84" s="17" t="str">
        <f ca="1">IF(Ergebnisse!BK84=Ergebnisse!$B$98,Ergebnisse!BK84,"")</f>
        <v>ok</v>
      </c>
      <c r="CZ84" s="206"/>
    </row>
    <row r="85" spans="1:104">
      <c r="A85" s="2">
        <f t="shared" si="42"/>
        <v>92</v>
      </c>
      <c r="B85" s="6">
        <f>VLOOKUP(A85,Spiele!$A$1:$L$116,2,FALSE)</f>
        <v>46208.791666666672</v>
      </c>
      <c r="C85" s="6" t="str">
        <f>VLOOKUP(A85,Spiele!$A$1:$L$116,9,FALSE)</f>
        <v>Mexico City</v>
      </c>
      <c r="D85" s="261" t="str">
        <f t="shared" ca="1" si="43"/>
        <v>Elfenbeinküste</v>
      </c>
      <c r="E85" s="15" t="s">
        <v>24</v>
      </c>
      <c r="F85" s="261" t="str">
        <f t="shared" ca="1" si="44"/>
        <v>Frankreich</v>
      </c>
      <c r="G85" s="3"/>
      <c r="H85" s="107">
        <f t="shared" ca="1" si="39"/>
        <v>0</v>
      </c>
      <c r="I85" s="11" t="s">
        <v>25</v>
      </c>
      <c r="J85" s="107">
        <f t="shared" ca="1" si="40"/>
        <v>1</v>
      </c>
      <c r="K85" s="7" t="s">
        <v>26</v>
      </c>
      <c r="L85" s="1"/>
      <c r="M85" s="263" t="str">
        <f t="shared" ca="1" si="41"/>
        <v>Frankreich</v>
      </c>
      <c r="N85" s="1" t="str">
        <f>P69</f>
        <v>S07</v>
      </c>
      <c r="O85" s="1" t="str">
        <f>P70</f>
        <v>S08</v>
      </c>
      <c r="P85" s="14" t="s">
        <v>51</v>
      </c>
      <c r="Q85" s="3"/>
      <c r="R85" s="3"/>
      <c r="S85" s="62"/>
      <c r="T85" s="62"/>
      <c r="U85" s="62"/>
      <c r="V85" s="62"/>
      <c r="W85" s="62"/>
      <c r="Y85" s="206"/>
      <c r="Z85" s="206"/>
      <c r="AA85" s="206"/>
      <c r="AB85" s="206"/>
      <c r="AC85" s="206"/>
      <c r="AI85" s="206"/>
      <c r="AJ85" s="206"/>
      <c r="AK85" s="206"/>
      <c r="AL85" s="206"/>
      <c r="AM85" s="206"/>
      <c r="AN85" s="206"/>
      <c r="AO85" s="206"/>
      <c r="AP85" s="206"/>
      <c r="AX85" s="17">
        <f ca="1">IF(AY85="",0,IF($CX$97="",2*(D85=Ergebnisse!D85)+2*(F85=Ergebnisse!F85)+(SIGN(H85-J85)=SIGN(Ergebnisse!H85-Ergebnisse!J85))*7+(H85=Ergebnisse!H85)+(J85=Ergebnisse!J85),INT(RAND()*14)))</f>
        <v>0</v>
      </c>
      <c r="AY85" s="17" t="str">
        <f ca="1">IF(Ergebnisse!K85=Ergebnisse!$B$98,Ergebnisse!K85,"")</f>
        <v>ok</v>
      </c>
      <c r="AZ85" s="206"/>
      <c r="BA85" s="2">
        <f>BA84+1</f>
        <v>100</v>
      </c>
      <c r="BB85" s="6">
        <f>VLOOKUP(BA85,Spiele!$A$1:$L$116,2,FALSE)</f>
        <v>46214.833333333336</v>
      </c>
      <c r="BC85" s="6" t="str">
        <f>VLOOKUP(BA85,Spiele!$A$1:$L$116,9,FALSE)</f>
        <v>Kansas City</v>
      </c>
      <c r="BD85" s="43" t="str">
        <f ca="1">INDEX($M$82:$M$89, MATCH(BN85, $P$82:$P$89, 0))</f>
        <v>Paraguay</v>
      </c>
      <c r="BE85" s="15" t="s">
        <v>24</v>
      </c>
      <c r="BF85" s="43" t="str">
        <f ca="1">INDEX($M$82:$M$89, MATCH(BO85, $P$82:$P$89, 0))</f>
        <v>Kolumbien</v>
      </c>
      <c r="BG85" s="14"/>
      <c r="BH85" s="107">
        <f ca="1">IF($B$99="",2,INT(RAND()*5)+INT(RAND()*3)*INT(RAND()*2))</f>
        <v>2</v>
      </c>
      <c r="BI85" s="11" t="s">
        <v>25</v>
      </c>
      <c r="BJ85" s="107">
        <f ca="1">IF($B$99="",1, BH85 + IF(BH85=0, 1, IF(BH85=9, -1, CHOOSE(INT(RAND()*2)+1, 1, -1))))</f>
        <v>1</v>
      </c>
      <c r="BK85" s="7" t="s">
        <v>26</v>
      </c>
      <c r="BL85" s="1"/>
      <c r="BM85" s="44" t="str">
        <f ca="1">IF(BJ85="","",IF(BJ85=BH85,"falsch!!! K.Remis",IF(BH85&gt;BJ85,BD85,BF85)))</f>
        <v>Paraguay</v>
      </c>
      <c r="BN85" s="1" t="str">
        <f>P88</f>
        <v>AF7</v>
      </c>
      <c r="BO85" s="1" t="str">
        <f>P89</f>
        <v>AF8</v>
      </c>
      <c r="BP85" s="1" t="s">
        <v>50</v>
      </c>
      <c r="BQ85" s="1"/>
      <c r="BR85" s="1"/>
      <c r="BS85" s="62"/>
      <c r="BT85" s="62"/>
      <c r="BU85" s="62"/>
      <c r="BV85" s="62"/>
      <c r="BW85" s="62"/>
      <c r="BX85" s="62"/>
      <c r="BY85" s="206"/>
      <c r="BZ85" s="206"/>
      <c r="CA85" s="206"/>
      <c r="CB85" s="206"/>
      <c r="CC85" s="206"/>
      <c r="CD85" s="206"/>
      <c r="CE85" s="206"/>
      <c r="CF85" s="206"/>
      <c r="CG85" s="206"/>
      <c r="CH85" s="206"/>
      <c r="CI85" s="206"/>
      <c r="CJ85" s="206"/>
      <c r="CK85" s="206"/>
      <c r="CL85" s="206"/>
      <c r="CM85" s="206"/>
      <c r="CN85" s="206"/>
      <c r="CO85" s="206"/>
      <c r="CP85" s="55"/>
      <c r="CQ85" s="55"/>
      <c r="CR85" s="55"/>
      <c r="CS85" s="55"/>
      <c r="CT85" s="55"/>
      <c r="CU85" s="55"/>
      <c r="CV85" s="55"/>
      <c r="CW85" s="55"/>
      <c r="CX85" s="17">
        <f ca="1">IF(CY85="",0,IF($CX$97="",IF(BD85=Ergebnisse!BD85,3,IF(COUNTIF(Ergebnisse!$BD$82:$BF$85,BD85)&gt;0,1,0))+IF(BF85=Ergebnisse!BF85,3,IF(COUNTIF(Ergebnisse!$BD$82:$BF$85,BF85)&gt;0,1,0))+(SIGN(BH85-BJ85)=SIGN(Ergebnisse!BH85-Ergebnisse!BJ85))*7+(BH85=Ergebnisse!BH85)+(BJ85=Ergebnisse!BJ85),INT(RAND()*16)))</f>
        <v>0</v>
      </c>
      <c r="CY85" s="17" t="str">
        <f ca="1">IF(Ergebnisse!BK85=Ergebnisse!$B$98,Ergebnisse!BK85,"")</f>
        <v>ok</v>
      </c>
      <c r="CZ85" s="206"/>
    </row>
    <row r="86" spans="1:104">
      <c r="A86" s="2">
        <f t="shared" si="42"/>
        <v>93</v>
      </c>
      <c r="B86" s="6">
        <f>VLOOKUP(A86,Spiele!$A$1:$L$116,2,FALSE)</f>
        <v>46209.583333333336</v>
      </c>
      <c r="C86" s="6" t="str">
        <f>VLOOKUP(A86,Spiele!$A$1:$L$116,9,FALSE)</f>
        <v>Dallas</v>
      </c>
      <c r="D86" s="256" t="str">
        <f t="shared" ca="1" si="43"/>
        <v>Panama</v>
      </c>
      <c r="E86" s="15" t="s">
        <v>24</v>
      </c>
      <c r="F86" s="256" t="str">
        <f t="shared" ca="1" si="44"/>
        <v>Jordanien</v>
      </c>
      <c r="G86" s="3"/>
      <c r="H86" s="107">
        <f t="shared" ca="1" si="39"/>
        <v>4</v>
      </c>
      <c r="I86" s="11" t="s">
        <v>25</v>
      </c>
      <c r="J86" s="107">
        <f t="shared" ca="1" si="40"/>
        <v>3</v>
      </c>
      <c r="K86" s="7" t="s">
        <v>26</v>
      </c>
      <c r="L86" s="1"/>
      <c r="M86" s="257" t="str">
        <f t="shared" ca="1" si="41"/>
        <v>Panama</v>
      </c>
      <c r="N86" s="1" t="str">
        <f>P74</f>
        <v>S12</v>
      </c>
      <c r="O86" s="1" t="str">
        <f>P73</f>
        <v>S11</v>
      </c>
      <c r="P86" s="14" t="s">
        <v>53</v>
      </c>
      <c r="Q86" s="3"/>
      <c r="R86" s="3"/>
      <c r="S86" s="62"/>
      <c r="T86" s="62"/>
      <c r="U86" s="62"/>
      <c r="V86" s="62"/>
      <c r="W86" s="62"/>
      <c r="Y86" s="206"/>
      <c r="Z86" s="206"/>
      <c r="AA86" s="206"/>
      <c r="AB86" s="206"/>
      <c r="AC86" s="206"/>
      <c r="AI86" s="206"/>
      <c r="AJ86" s="206"/>
      <c r="AK86" s="206"/>
      <c r="AL86" s="206"/>
      <c r="AM86" s="206"/>
      <c r="AN86" s="206"/>
      <c r="AO86" s="206"/>
      <c r="AP86" s="206"/>
      <c r="AX86" s="17">
        <f ca="1">IF(AY86="",0,IF($CX$97="",2*(D86=Ergebnisse!D86)+2*(F86=Ergebnisse!F86)+(SIGN(H86-J86)=SIGN(Ergebnisse!H86-Ergebnisse!J86))*7+(H86=Ergebnisse!H86)+(J86=Ergebnisse!J86),INT(RAND()*14)))</f>
        <v>11</v>
      </c>
      <c r="AY86" s="17" t="str">
        <f ca="1">IF(Ergebnisse!K86=Ergebnisse!$B$98,Ergebnisse!K86,"")</f>
        <v>ok</v>
      </c>
      <c r="AZ86" s="206"/>
      <c r="BB86" s="6"/>
      <c r="BC86" s="6"/>
      <c r="BD86" s="6"/>
      <c r="BE86" s="6"/>
      <c r="BF86" s="6"/>
      <c r="BG86" s="6"/>
      <c r="BH86" s="6"/>
      <c r="BI86" s="6"/>
      <c r="BJ86" s="6"/>
      <c r="BK86" s="6"/>
      <c r="BL86" s="6"/>
      <c r="BM86" s="6"/>
      <c r="BN86" s="6"/>
      <c r="BO86" s="1"/>
      <c r="BP86" s="1"/>
      <c r="BQ86" s="1"/>
      <c r="BR86" s="1"/>
      <c r="BS86" s="62"/>
      <c r="BT86" s="62"/>
      <c r="BU86" s="62"/>
      <c r="BV86" s="62"/>
      <c r="BW86" s="62"/>
      <c r="BX86" s="62"/>
      <c r="BY86" s="206"/>
      <c r="BZ86" s="206"/>
      <c r="CA86" s="206"/>
      <c r="CB86" s="206"/>
      <c r="CC86" s="206"/>
      <c r="CD86" s="206"/>
      <c r="CE86" s="206"/>
      <c r="CF86" s="206"/>
      <c r="CG86" s="206"/>
      <c r="CH86" s="206"/>
      <c r="CI86" s="206"/>
      <c r="CJ86" s="206"/>
      <c r="CK86" s="206"/>
      <c r="CL86" s="206"/>
      <c r="CM86" s="206"/>
      <c r="CN86" s="206"/>
      <c r="CO86" s="206"/>
      <c r="CP86" s="55"/>
      <c r="CQ86" s="55"/>
      <c r="CR86" s="55"/>
      <c r="CS86" s="55"/>
      <c r="CT86" s="55"/>
      <c r="CU86" s="55"/>
      <c r="CV86" s="55"/>
      <c r="CW86" s="55"/>
      <c r="CX86" s="1"/>
      <c r="CZ86" s="206"/>
    </row>
    <row r="87" spans="1:104">
      <c r="A87" s="2">
        <f t="shared" si="42"/>
        <v>94</v>
      </c>
      <c r="B87" s="6">
        <f>VLOOKUP(A87,Spiele!$A$1:$L$116,2,FALSE)</f>
        <v>46209.708333333336</v>
      </c>
      <c r="C87" s="6" t="str">
        <f>VLOOKUP(A87,Spiele!$A$1:$L$116,9,FALSE)</f>
        <v>Seattle</v>
      </c>
      <c r="D87" s="256" t="str">
        <f t="shared" ca="1" si="43"/>
        <v>Kanada</v>
      </c>
      <c r="E87" s="15" t="s">
        <v>24</v>
      </c>
      <c r="F87" s="256" t="str">
        <f t="shared" ca="1" si="44"/>
        <v>Mexiko</v>
      </c>
      <c r="G87" s="3"/>
      <c r="H87" s="107">
        <f t="shared" ca="1" si="39"/>
        <v>4</v>
      </c>
      <c r="I87" s="11" t="s">
        <v>25</v>
      </c>
      <c r="J87" s="107">
        <f t="shared" ca="1" si="40"/>
        <v>5</v>
      </c>
      <c r="K87" s="7" t="s">
        <v>26</v>
      </c>
      <c r="L87" s="1"/>
      <c r="M87" s="257" t="str">
        <f t="shared" ca="1" si="41"/>
        <v>Mexiko</v>
      </c>
      <c r="N87" s="1" t="str">
        <f>P72</f>
        <v>S10</v>
      </c>
      <c r="O87" s="1" t="str">
        <f>P71</f>
        <v>S09</v>
      </c>
      <c r="P87" s="14" t="s">
        <v>54</v>
      </c>
      <c r="Q87" s="3"/>
      <c r="R87" s="3"/>
      <c r="S87" s="62"/>
      <c r="T87" s="62"/>
      <c r="U87" s="62"/>
      <c r="V87" s="62"/>
      <c r="W87" s="62"/>
      <c r="Y87" s="206"/>
      <c r="Z87" s="206"/>
      <c r="AA87" s="206"/>
      <c r="AB87" s="206"/>
      <c r="AC87" s="206"/>
      <c r="AI87" s="206"/>
      <c r="AJ87" s="206"/>
      <c r="AK87" s="206"/>
      <c r="AL87" s="206"/>
      <c r="AM87" s="206"/>
      <c r="AN87" s="206"/>
      <c r="AO87" s="206"/>
      <c r="AP87" s="206"/>
      <c r="AX87" s="17">
        <f ca="1">IF(AY87="",0,IF($CX$97="",2*(D87=Ergebnisse!D87)+2*(F87=Ergebnisse!F87)+(SIGN(H87-J87)=SIGN(Ergebnisse!H87-Ergebnisse!J87))*7+(H87=Ergebnisse!H87)+(J87=Ergebnisse!J87),INT(RAND()*14)))</f>
        <v>7</v>
      </c>
      <c r="AY87" s="17" t="str">
        <f ca="1">IF(Ergebnisse!K87=Ergebnisse!$B$98,Ergebnisse!K87,"")</f>
        <v>ok</v>
      </c>
      <c r="AZ87" s="206"/>
      <c r="BB87" s="47" t="s">
        <v>55</v>
      </c>
      <c r="BC87" s="21"/>
      <c r="BD87" s="14"/>
      <c r="BE87" s="14"/>
      <c r="BF87" s="14"/>
      <c r="BG87" s="17"/>
      <c r="BH87" s="20"/>
      <c r="BI87" s="19"/>
      <c r="BJ87" s="20"/>
      <c r="BK87" s="181"/>
      <c r="BL87" s="17"/>
      <c r="BM87" s="21"/>
      <c r="BN87" s="17"/>
      <c r="BO87" s="17"/>
      <c r="BP87" s="17"/>
      <c r="BQ87" s="1"/>
      <c r="BR87" s="1"/>
      <c r="BS87" s="62"/>
      <c r="BT87" s="62"/>
      <c r="BU87" s="62"/>
      <c r="BV87" s="62"/>
      <c r="BW87" s="62"/>
      <c r="BX87" s="62"/>
      <c r="BY87" s="206"/>
      <c r="BZ87" s="206"/>
      <c r="CA87" s="206"/>
      <c r="CB87" s="206"/>
      <c r="CC87" s="206"/>
      <c r="CD87" s="206"/>
      <c r="CE87" s="206"/>
      <c r="CF87" s="206"/>
      <c r="CG87" s="206"/>
      <c r="CH87" s="206"/>
      <c r="CI87" s="206"/>
      <c r="CJ87" s="206"/>
      <c r="CK87" s="206"/>
      <c r="CL87" s="206"/>
      <c r="CM87" s="206"/>
      <c r="CN87" s="206"/>
      <c r="CO87" s="206"/>
      <c r="CP87" s="55"/>
      <c r="CQ87" s="55"/>
      <c r="CR87" s="55"/>
      <c r="CS87" s="55"/>
      <c r="CT87" s="55"/>
      <c r="CU87" s="55"/>
      <c r="CV87" s="55"/>
      <c r="CW87" s="55"/>
      <c r="CY87" s="17"/>
      <c r="CZ87" s="206"/>
    </row>
    <row r="88" spans="1:104">
      <c r="A88" s="2">
        <f t="shared" si="42"/>
        <v>95</v>
      </c>
      <c r="B88" s="6">
        <f>VLOOKUP(A88,Spiele!$A$1:$L$116,2,FALSE)</f>
        <v>46210.5</v>
      </c>
      <c r="C88" s="6" t="str">
        <f>VLOOKUP(A88,Spiele!$A$1:$L$116,9,FALSE)</f>
        <v>Atlanta</v>
      </c>
      <c r="D88" s="259" t="str">
        <f t="shared" ca="1" si="43"/>
        <v>Uruguay</v>
      </c>
      <c r="E88" s="15" t="s">
        <v>24</v>
      </c>
      <c r="F88" s="259" t="str">
        <f t="shared" ca="1" si="44"/>
        <v>Paraguay</v>
      </c>
      <c r="G88" s="3"/>
      <c r="H88" s="107">
        <f t="shared" ca="1" si="39"/>
        <v>0</v>
      </c>
      <c r="I88" s="11" t="s">
        <v>25</v>
      </c>
      <c r="J88" s="107">
        <f t="shared" ca="1" si="40"/>
        <v>1</v>
      </c>
      <c r="K88" s="7" t="s">
        <v>26</v>
      </c>
      <c r="L88" s="1"/>
      <c r="M88" s="262" t="str">
        <f t="shared" ca="1" si="41"/>
        <v>Paraguay</v>
      </c>
      <c r="N88" s="1" t="str">
        <f>P77</f>
        <v>S15</v>
      </c>
      <c r="O88" s="1" t="str">
        <f>P76</f>
        <v>S14</v>
      </c>
      <c r="P88" s="14" t="s">
        <v>56</v>
      </c>
      <c r="Q88" s="3"/>
      <c r="R88" s="3"/>
      <c r="S88" s="62"/>
      <c r="T88" s="62"/>
      <c r="U88" s="62"/>
      <c r="V88" s="62"/>
      <c r="W88" s="62"/>
      <c r="Y88" s="206"/>
      <c r="Z88" s="206"/>
      <c r="AA88" s="206"/>
      <c r="AB88" s="206"/>
      <c r="AC88" s="206"/>
      <c r="AI88" s="206"/>
      <c r="AJ88" s="206"/>
      <c r="AK88" s="206"/>
      <c r="AL88" s="206"/>
      <c r="AM88" s="206"/>
      <c r="AN88" s="206"/>
      <c r="AO88" s="206"/>
      <c r="AP88" s="206"/>
      <c r="AX88" s="17">
        <f ca="1">IF(AY88="",0,IF($CX$97="",2*(D88=Ergebnisse!D88)+2*(F88=Ergebnisse!F88)+(SIGN(H88-J88)=SIGN(Ergebnisse!H88-Ergebnisse!J88))*7+(H88=Ergebnisse!H88)+(J88=Ergebnisse!J88),INT(RAND()*14)))</f>
        <v>7</v>
      </c>
      <c r="AY88" s="17" t="str">
        <f ca="1">IF(Ergebnisse!K88=Ergebnisse!$B$98,Ergebnisse!K88,"")</f>
        <v>ok</v>
      </c>
      <c r="AZ88" s="206"/>
      <c r="BB88" s="3" t="s">
        <v>22</v>
      </c>
      <c r="BC88" s="3" t="s">
        <v>23</v>
      </c>
      <c r="BD88" s="14"/>
      <c r="BE88" s="14"/>
      <c r="BF88" s="14"/>
      <c r="BG88" s="17"/>
      <c r="BH88" s="20"/>
      <c r="BI88" s="11"/>
      <c r="BJ88" s="20"/>
      <c r="BK88" s="181"/>
      <c r="BL88" s="1"/>
      <c r="BM88" s="3"/>
      <c r="BN88" s="1"/>
      <c r="BO88" s="1"/>
      <c r="BP88" s="1"/>
      <c r="BQ88" s="1"/>
      <c r="BR88" s="1"/>
      <c r="BS88" s="62"/>
      <c r="BT88" s="62"/>
      <c r="BU88" s="62"/>
      <c r="BV88" s="62"/>
      <c r="BW88" s="62"/>
      <c r="BX88" s="62"/>
      <c r="BY88" s="206"/>
      <c r="BZ88" s="206"/>
      <c r="CA88" s="206"/>
      <c r="CB88" s="206"/>
      <c r="CC88" s="206"/>
      <c r="CD88" s="206"/>
      <c r="CE88" s="206"/>
      <c r="CF88" s="206"/>
      <c r="CG88" s="206"/>
      <c r="CH88" s="206"/>
      <c r="CI88" s="206"/>
      <c r="CJ88" s="206"/>
      <c r="CK88" s="206"/>
      <c r="CL88" s="206"/>
      <c r="CM88" s="206"/>
      <c r="CN88" s="206"/>
      <c r="CO88" s="206"/>
      <c r="CP88" s="55"/>
      <c r="CQ88" s="55"/>
      <c r="CR88" s="55"/>
      <c r="CS88" s="55"/>
      <c r="CT88" s="55"/>
      <c r="CU88" s="55"/>
      <c r="CV88" s="55"/>
      <c r="CW88" s="55"/>
      <c r="CY88" s="17"/>
      <c r="CZ88" s="206"/>
    </row>
    <row r="89" spans="1:104">
      <c r="A89" s="2">
        <f>A88+1</f>
        <v>96</v>
      </c>
      <c r="B89" s="6">
        <f>VLOOKUP(A89,Spiele!$A$1:$L$116,2,FALSE)</f>
        <v>46210.541666666664</v>
      </c>
      <c r="C89" s="6" t="str">
        <f>VLOOKUP(A89,Spiele!$A$1:$L$116,9,FALSE)</f>
        <v>Vancouver</v>
      </c>
      <c r="D89" s="259" t="str">
        <f t="shared" ca="1" si="43"/>
        <v>Schweiz</v>
      </c>
      <c r="E89" s="15" t="s">
        <v>24</v>
      </c>
      <c r="F89" s="259" t="str">
        <f t="shared" ca="1" si="44"/>
        <v>Kolumbien</v>
      </c>
      <c r="G89" s="3"/>
      <c r="H89" s="107">
        <f t="shared" ca="1" si="39"/>
        <v>0</v>
      </c>
      <c r="I89" s="11" t="s">
        <v>25</v>
      </c>
      <c r="J89" s="107">
        <f t="shared" ca="1" si="40"/>
        <v>1</v>
      </c>
      <c r="K89" s="7" t="s">
        <v>26</v>
      </c>
      <c r="L89" s="1"/>
      <c r="M89" s="262" t="str">
        <f t="shared" ca="1" si="41"/>
        <v>Kolumbien</v>
      </c>
      <c r="N89" s="1" t="str">
        <f>P75</f>
        <v>S13</v>
      </c>
      <c r="O89" s="1" t="str">
        <f>P78</f>
        <v>S16</v>
      </c>
      <c r="P89" s="14" t="s">
        <v>58</v>
      </c>
      <c r="Q89" s="3"/>
      <c r="R89" s="3"/>
      <c r="S89" s="62"/>
      <c r="T89" s="62"/>
      <c r="U89" s="62"/>
      <c r="V89" s="62"/>
      <c r="W89" s="62"/>
      <c r="Y89" s="206"/>
      <c r="Z89" s="206"/>
      <c r="AA89" s="206"/>
      <c r="AB89" s="206"/>
      <c r="AC89" s="206"/>
      <c r="AI89" s="206"/>
      <c r="AJ89" s="206"/>
      <c r="AK89" s="206"/>
      <c r="AL89" s="206"/>
      <c r="AM89" s="206"/>
      <c r="AN89" s="206"/>
      <c r="AO89" s="206"/>
      <c r="AP89" s="206"/>
      <c r="AX89" s="17">
        <f ca="1">IF(AY89="",0,IF($CX$97="",2*(D89=Ergebnisse!D89)+2*(F89=Ergebnisse!F89)+(SIGN(H89-J89)=SIGN(Ergebnisse!H89-Ergebnisse!J89))*7+(H89=Ergebnisse!H89)+(J89=Ergebnisse!J89),INT(RAND()*14)))</f>
        <v>0</v>
      </c>
      <c r="AY89" s="17" t="str">
        <f ca="1">IF(Ergebnisse!K89=Ergebnisse!$B$98,Ergebnisse!K89,"")</f>
        <v>ok</v>
      </c>
      <c r="AZ89" s="206"/>
      <c r="BA89" s="2">
        <f>BA85+1</f>
        <v>101</v>
      </c>
      <c r="BB89" s="6">
        <f>VLOOKUP(BA89,Spiele!$A$1:$L$116,2,FALSE)</f>
        <v>46217.583333333336</v>
      </c>
      <c r="BC89" s="6" t="str">
        <f>VLOOKUP(BA89,Spiele!$A$1:$L$116,9,FALSE)</f>
        <v>Dallas</v>
      </c>
      <c r="BD89" s="18" t="str">
        <f ca="1">INDEX($BM$82:$BM$85, MATCH(BN89, $BP$82:$BP$85, 0))</f>
        <v>Türkei</v>
      </c>
      <c r="BE89" s="15" t="s">
        <v>24</v>
      </c>
      <c r="BF89" s="71" t="str">
        <f ca="1">INDEX($BM$82:$BM$85, MATCH(BO89, $BP$82:$BP$85, 0))</f>
        <v>Mexiko</v>
      </c>
      <c r="BG89" s="17"/>
      <c r="BH89" s="107">
        <f ca="1">IF($B$99="",2,INT(RAND()*5)+INT(RAND()*3)*INT(RAND()*2))</f>
        <v>5</v>
      </c>
      <c r="BI89" s="11" t="s">
        <v>25</v>
      </c>
      <c r="BJ89" s="107">
        <f ca="1">IF($B$99="",1, BH89 + IF(BH89=0, 1, IF(BH89=9, -1, CHOOSE(INT(RAND()*2)+1, 1, -1))))</f>
        <v>4</v>
      </c>
      <c r="BK89" s="7" t="s">
        <v>26</v>
      </c>
      <c r="BL89" s="1"/>
      <c r="BM89" s="68" t="str">
        <f ca="1">IF(BJ89="","",IF(BJ89=BH89,"falsch!!! K.Remis",IF(BH89&gt;BJ89,BD89,BF89)))</f>
        <v>Türkei</v>
      </c>
      <c r="BN89" s="1" t="str">
        <f>BP82</f>
        <v>VF1</v>
      </c>
      <c r="BO89" s="1" t="str">
        <f>BP83</f>
        <v>VF2</v>
      </c>
      <c r="BP89" s="1" t="s">
        <v>57</v>
      </c>
      <c r="BQ89" s="1"/>
      <c r="BR89" s="1"/>
      <c r="BS89" s="62"/>
      <c r="BT89" s="62"/>
      <c r="BU89" s="62"/>
      <c r="BV89" s="62"/>
      <c r="BW89" s="62"/>
      <c r="BX89" s="62"/>
      <c r="BY89" s="206"/>
      <c r="BZ89" s="206"/>
      <c r="CA89" s="206"/>
      <c r="CB89" s="206"/>
      <c r="CC89" s="206"/>
      <c r="CD89" s="206"/>
      <c r="CE89" s="206"/>
      <c r="CF89" s="206"/>
      <c r="CG89" s="206"/>
      <c r="CH89" s="206"/>
      <c r="CI89" s="206"/>
      <c r="CJ89" s="206"/>
      <c r="CK89" s="206"/>
      <c r="CL89" s="206"/>
      <c r="CM89" s="206"/>
      <c r="CN89" s="206"/>
      <c r="CO89" s="206"/>
      <c r="CP89" s="55"/>
      <c r="CQ89" s="55"/>
      <c r="CR89" s="55"/>
      <c r="CS89" s="55"/>
      <c r="CT89" s="55"/>
      <c r="CU89" s="55"/>
      <c r="CV89" s="55"/>
      <c r="CW89" s="55"/>
      <c r="CX89" s="17">
        <f ca="1">IF(CY89="",0,IF($CX$97="",IF(BD89=Ergebnisse!BD89,4,IF(COUNTIF(Ergebnisse!$BD$89:$BF$90,BD89)&gt;0,2,0))+IF(BF89=Ergebnisse!BF89,4,IF(COUNTIF(Ergebnisse!$BD$89:$BF$90,BF89)&gt;0,2,0))+(SIGN(BH89-BJ89)=SIGN(Ergebnisse!BH89-Ergebnisse!BJ89))*7+(BH89=Ergebnisse!BH89)+(BJ89=Ergebnisse!BJ89),INT(RAND()*18)))</f>
        <v>7</v>
      </c>
      <c r="CY89" s="17" t="str">
        <f ca="1">IF(Ergebnisse!BK89=Ergebnisse!$B$98,Ergebnisse!BK89,"")</f>
        <v>ok</v>
      </c>
      <c r="CZ89" s="206"/>
    </row>
    <row r="90" spans="1:104">
      <c r="E90" s="15"/>
      <c r="H90" s="2"/>
      <c r="I90" s="2"/>
      <c r="J90" s="2"/>
      <c r="K90" s="2"/>
      <c r="M90" s="2"/>
      <c r="S90" s="62"/>
      <c r="T90" s="62"/>
      <c r="U90" s="62"/>
      <c r="V90" s="62"/>
      <c r="W90" s="62"/>
      <c r="Y90" s="206"/>
      <c r="Z90" s="206"/>
      <c r="AA90" s="206"/>
      <c r="AB90" s="206"/>
      <c r="AC90" s="206"/>
      <c r="AI90" s="206"/>
      <c r="AJ90" s="206"/>
      <c r="AK90" s="206"/>
      <c r="AL90" s="206"/>
      <c r="AM90" s="206"/>
      <c r="AN90" s="206"/>
      <c r="AO90" s="206"/>
      <c r="AP90" s="206"/>
      <c r="AZ90" s="206"/>
      <c r="BA90" s="2">
        <f>BA89+1</f>
        <v>102</v>
      </c>
      <c r="BB90" s="6">
        <f>VLOOKUP(BA90,Spiele!$A$1:$L$116,2,FALSE)</f>
        <v>46218.625</v>
      </c>
      <c r="BC90" s="6" t="str">
        <f>VLOOKUP(BA90,Spiele!$A$1:$L$116,9,FALSE)</f>
        <v>Atlanta</v>
      </c>
      <c r="BD90" s="49" t="str">
        <f ca="1">INDEX($BM$82:$BM$85, MATCH(BN90, $BP$82:$BP$85, 0))</f>
        <v>Irak</v>
      </c>
      <c r="BE90" s="15" t="s">
        <v>24</v>
      </c>
      <c r="BF90" s="48" t="str">
        <f ca="1">INDEX($BM$82:$BM$85, MATCH(BO90, $BP$82:$BP$85, 0))</f>
        <v>Paraguay</v>
      </c>
      <c r="BG90" s="17"/>
      <c r="BH90" s="107">
        <f ca="1">IF($B$99="",2,INT(RAND()*5)+INT(RAND()*3)*INT(RAND()*2))</f>
        <v>2</v>
      </c>
      <c r="BI90" s="11" t="s">
        <v>25</v>
      </c>
      <c r="BJ90" s="107">
        <f ca="1">IF($B$99="",1, BH90 + IF(BH90=0, 1, IF(BH90=9, -1, CHOOSE(INT(RAND()*2)+1, 1, -1))))</f>
        <v>1</v>
      </c>
      <c r="BK90" s="7" t="s">
        <v>26</v>
      </c>
      <c r="BL90" s="1"/>
      <c r="BM90" s="68" t="str">
        <f ca="1">IF(BJ90="","",IF(BJ90=BH90,"falsch!!! K.Remis",IF(BH90&gt;BJ90,BD90,BF90)))</f>
        <v>Irak</v>
      </c>
      <c r="BN90" s="1" t="str">
        <f>BP84</f>
        <v>VF3</v>
      </c>
      <c r="BO90" s="1" t="str">
        <f>BP85</f>
        <v>VF4</v>
      </c>
      <c r="BP90" s="1" t="s">
        <v>59</v>
      </c>
      <c r="BQ90" s="1"/>
      <c r="BR90" s="1"/>
      <c r="BS90" s="62"/>
      <c r="BT90" s="62"/>
      <c r="BU90" s="62"/>
      <c r="BV90" s="62"/>
      <c r="BW90" s="62"/>
      <c r="BX90" s="62"/>
      <c r="BY90" s="206"/>
      <c r="BZ90" s="206"/>
      <c r="CA90" s="206"/>
      <c r="CB90" s="206"/>
      <c r="CC90" s="206"/>
      <c r="CD90" s="206"/>
      <c r="CE90" s="206"/>
      <c r="CF90" s="206"/>
      <c r="CG90" s="206"/>
      <c r="CH90" s="206"/>
      <c r="CI90" s="206"/>
      <c r="CJ90" s="206"/>
      <c r="CK90" s="206"/>
      <c r="CL90" s="206"/>
      <c r="CM90" s="206"/>
      <c r="CN90" s="206"/>
      <c r="CO90" s="206"/>
      <c r="CP90" s="55"/>
      <c r="CQ90" s="55"/>
      <c r="CR90" s="55"/>
      <c r="CS90" s="55"/>
      <c r="CT90" s="55"/>
      <c r="CU90" s="55"/>
      <c r="CV90" s="55"/>
      <c r="CW90" s="55"/>
      <c r="CX90" s="17">
        <f ca="1">IF(CY90="",0,IF($CX$97="",IF(BD90=Ergebnisse!BD90,4,IF(COUNTIF(Ergebnisse!$BD$89:$BF$90,BD90)&gt;0,2,0))+IF(BF90=Ergebnisse!BF90,4,IF(COUNTIF(Ergebnisse!$BD$89:$BF$90,BF90)&gt;0,2,0))+(SIGN(BH90-BJ90)=SIGN(Ergebnisse!BH90-Ergebnisse!BJ90))*7+(BH90=Ergebnisse!BH90)+(BJ90=Ergebnisse!BJ90),INT(RAND()*18)))</f>
        <v>9</v>
      </c>
      <c r="CY90" s="17" t="str">
        <f ca="1">IF(Ergebnisse!BK90=Ergebnisse!$B$98,Ergebnisse!BK90,"")</f>
        <v>ok</v>
      </c>
      <c r="CZ90" s="206"/>
    </row>
    <row r="91" spans="1:104">
      <c r="H91" s="2"/>
      <c r="I91" s="2"/>
      <c r="J91" s="2"/>
      <c r="K91" s="2"/>
      <c r="M91" s="2"/>
      <c r="S91" s="2"/>
      <c r="T91" s="2"/>
      <c r="U91" s="2"/>
      <c r="V91" s="2"/>
      <c r="W91" s="2"/>
      <c r="X91" s="2"/>
      <c r="Y91" s="2"/>
      <c r="Z91" s="2"/>
      <c r="AA91" s="2"/>
      <c r="AB91" s="2"/>
      <c r="AC91" s="2"/>
      <c r="AI91" s="2"/>
      <c r="AJ91" s="2"/>
      <c r="AK91" s="2"/>
      <c r="AL91" s="2"/>
      <c r="AM91" s="2"/>
      <c r="AN91" s="2"/>
      <c r="AO91" s="2"/>
      <c r="AP91" s="2"/>
      <c r="AQ91" s="2"/>
      <c r="AR91" s="2"/>
      <c r="AS91" s="2"/>
      <c r="AT91" s="2"/>
      <c r="AU91" s="2"/>
      <c r="AV91" s="2"/>
      <c r="AY91" s="17"/>
      <c r="AZ91" s="206"/>
      <c r="BB91" s="1"/>
      <c r="BC91" s="3"/>
      <c r="BD91" s="14"/>
      <c r="BE91" s="14"/>
      <c r="BF91" s="14"/>
      <c r="BG91" s="17"/>
      <c r="BH91" s="20"/>
      <c r="BI91" s="11"/>
      <c r="BJ91" s="20"/>
      <c r="BK91" s="181"/>
      <c r="BL91" s="1"/>
      <c r="BM91" s="50" t="str">
        <f ca="1">IF(BD89=BM89,BF89,BD89)</f>
        <v>Mexiko</v>
      </c>
      <c r="BN91" s="1"/>
      <c r="BO91" s="1"/>
      <c r="BP91" s="1" t="s">
        <v>60</v>
      </c>
      <c r="BQ91" s="1"/>
      <c r="BR91" s="1"/>
      <c r="BS91" s="62"/>
      <c r="BT91" s="62"/>
      <c r="BU91" s="62"/>
      <c r="BV91" s="62"/>
      <c r="BW91" s="62"/>
      <c r="BX91" s="62"/>
      <c r="BY91" s="206"/>
      <c r="BZ91" s="206"/>
      <c r="CA91" s="206"/>
      <c r="CB91" s="206"/>
      <c r="CC91" s="206"/>
      <c r="CD91" s="206"/>
      <c r="CE91" s="206"/>
      <c r="CF91" s="206"/>
      <c r="CG91" s="206"/>
      <c r="CH91" s="206"/>
      <c r="CI91" s="206"/>
      <c r="CJ91" s="206"/>
      <c r="CK91" s="206"/>
      <c r="CL91" s="206"/>
      <c r="CM91" s="206"/>
      <c r="CN91" s="206"/>
      <c r="CO91" s="206"/>
      <c r="CP91" s="55"/>
      <c r="CQ91" s="55"/>
      <c r="CR91" s="55"/>
      <c r="CS91" s="55"/>
      <c r="CT91" s="55"/>
      <c r="CU91" s="55"/>
      <c r="CV91" s="55"/>
      <c r="CW91" s="55"/>
      <c r="CX91" s="1"/>
      <c r="CZ91" s="206"/>
    </row>
    <row r="92" spans="1:104">
      <c r="B92" s="51" t="s">
        <v>62</v>
      </c>
      <c r="C92" s="3"/>
      <c r="D92" s="10"/>
      <c r="E92" s="16"/>
      <c r="F92" s="10"/>
      <c r="G92" s="10"/>
      <c r="H92" s="23"/>
      <c r="J92" s="23"/>
      <c r="K92" s="181"/>
      <c r="M92" s="2"/>
      <c r="P92" s="1"/>
      <c r="AY92" s="17" t="str">
        <f>IF(Ergebnisse!K59=Ergebnisse!$B$98,Ergebnisse!K59,"")</f>
        <v/>
      </c>
      <c r="AZ92" s="206"/>
      <c r="BB92" s="51" t="s">
        <v>64</v>
      </c>
      <c r="BC92" s="3"/>
      <c r="BD92" s="10"/>
      <c r="BE92" s="16"/>
      <c r="BF92" s="10"/>
      <c r="BG92" s="10"/>
      <c r="BH92" s="23"/>
      <c r="BJ92" s="23"/>
      <c r="BK92" s="181"/>
      <c r="BM92" s="50" t="str">
        <f ca="1">IF(BD90=BM90,BF90,BD90)</f>
        <v>Paraguay</v>
      </c>
      <c r="BP92" s="1" t="s">
        <v>61</v>
      </c>
      <c r="BS92" s="55"/>
      <c r="BT92" s="55"/>
      <c r="BU92" s="55"/>
      <c r="BV92" s="55"/>
      <c r="BW92" s="55"/>
      <c r="BX92" s="55"/>
      <c r="BY92" s="206"/>
      <c r="BZ92" s="206"/>
      <c r="CA92" s="206"/>
      <c r="CB92" s="206"/>
      <c r="CC92" s="206"/>
      <c r="CD92" s="206"/>
      <c r="CE92" s="206"/>
      <c r="CF92" s="206"/>
      <c r="CG92" s="206"/>
      <c r="CH92" s="206"/>
      <c r="CI92" s="206"/>
      <c r="CJ92" s="206"/>
      <c r="CK92" s="206"/>
      <c r="CL92" s="206"/>
      <c r="CM92" s="206"/>
      <c r="CN92" s="206"/>
      <c r="CO92" s="206"/>
      <c r="CP92" s="55"/>
      <c r="CQ92" s="55"/>
      <c r="CR92" s="55"/>
      <c r="CS92" s="55"/>
      <c r="CT92" s="55"/>
      <c r="CU92" s="55"/>
      <c r="CV92" s="55"/>
      <c r="CW92" s="55"/>
      <c r="CY92" s="17"/>
      <c r="CZ92" s="206"/>
    </row>
    <row r="93" spans="1:104">
      <c r="B93" s="3" t="s">
        <v>22</v>
      </c>
      <c r="C93" s="3" t="s">
        <v>23</v>
      </c>
      <c r="D93" s="10"/>
      <c r="E93" s="16"/>
      <c r="F93" s="10"/>
      <c r="G93" s="10"/>
      <c r="H93" s="64"/>
      <c r="J93" s="64"/>
      <c r="K93" s="181"/>
      <c r="M93" s="2" t="s">
        <v>63</v>
      </c>
      <c r="P93" s="1"/>
      <c r="Q93" s="1"/>
      <c r="R93" s="1"/>
      <c r="S93" s="62"/>
      <c r="T93" s="62"/>
      <c r="U93" s="62"/>
      <c r="V93" s="62"/>
      <c r="W93" s="62"/>
      <c r="AO93" s="62"/>
      <c r="AX93" s="17">
        <f ca="1">IF(M94=Ergebnisse!M94,24,0)</f>
        <v>0</v>
      </c>
      <c r="AY93" s="17" t="str">
        <f ca="1">IF(Ergebnisse!K94=Ergebnisse!$B$98,Ergebnisse!K94,"")</f>
        <v>ok</v>
      </c>
      <c r="AZ93" s="206"/>
      <c r="BB93" s="3" t="s">
        <v>22</v>
      </c>
      <c r="BC93" s="3" t="s">
        <v>23</v>
      </c>
      <c r="BD93" s="10"/>
      <c r="BE93" s="16"/>
      <c r="BF93" s="10"/>
      <c r="BG93" s="10"/>
      <c r="BH93" s="23"/>
      <c r="BJ93" s="64"/>
      <c r="BK93" s="181"/>
      <c r="BM93" s="2"/>
      <c r="BP93" s="1"/>
      <c r="BQ93" s="1"/>
      <c r="BR93" s="1"/>
      <c r="BS93" s="62"/>
      <c r="BT93" s="62"/>
      <c r="BU93" s="62"/>
      <c r="BV93" s="62"/>
      <c r="BW93" s="62"/>
      <c r="BX93" s="55"/>
      <c r="BZ93" s="55"/>
      <c r="CA93" s="55"/>
      <c r="CB93" s="55"/>
      <c r="CC93" s="55"/>
      <c r="CD93" s="206"/>
      <c r="CE93" s="206"/>
      <c r="CF93" s="204"/>
      <c r="CG93" s="62"/>
      <c r="CH93" s="62"/>
      <c r="CI93" s="55"/>
      <c r="CJ93" s="55"/>
      <c r="CK93" s="55"/>
      <c r="CL93" s="55"/>
      <c r="CM93" s="55"/>
      <c r="CN93" s="55"/>
      <c r="CO93" s="62"/>
      <c r="CP93" s="55"/>
      <c r="CQ93" s="55"/>
      <c r="CR93" s="55"/>
      <c r="CS93" s="55"/>
      <c r="CT93" s="55"/>
      <c r="CU93" s="55"/>
      <c r="CV93" s="55"/>
      <c r="CW93" s="55"/>
      <c r="CY93" s="17"/>
      <c r="CZ93" s="206"/>
    </row>
    <row r="94" spans="1:104">
      <c r="A94" s="2">
        <f>BA94+1</f>
        <v>104</v>
      </c>
      <c r="B94" s="6">
        <f>VLOOKUP(A94,Spiele!$A$1:$L$116,2,FALSE)</f>
        <v>46222.625</v>
      </c>
      <c r="C94" s="6" t="str">
        <f>VLOOKUP(A94,Spiele!$A$1:$L$116,9,FALSE)</f>
        <v>New York</v>
      </c>
      <c r="D94" s="33" t="str">
        <f ca="1">BM89</f>
        <v>Türkei</v>
      </c>
      <c r="E94" s="21" t="s">
        <v>24</v>
      </c>
      <c r="F94" s="33" t="str">
        <f ca="1">BM90</f>
        <v>Irak</v>
      </c>
      <c r="G94" s="17"/>
      <c r="H94" s="107">
        <f ca="1">IF($B$99="",2,INT(RAND()*5)+INT(RAND()*3)*INT(RAND()*2))</f>
        <v>2</v>
      </c>
      <c r="I94" s="11" t="s">
        <v>25</v>
      </c>
      <c r="J94" s="107">
        <f ca="1">IF($B$99="",1, H94 + IF(H94=0, 1, IF(H94=9, -1, CHOOSE(INT(RAND()*2)+1, 1, -1))))</f>
        <v>3</v>
      </c>
      <c r="K94" s="7" t="s">
        <v>26</v>
      </c>
      <c r="L94" s="1"/>
      <c r="M94" s="52" t="str">
        <f ca="1">IF(J94="","",IF(J94=H94,"falsch!!! K.Remis",IF(H94&gt;J94,D94,F94)))</f>
        <v>Irak</v>
      </c>
      <c r="N94" s="1" t="str">
        <f>BP89</f>
        <v>F1</v>
      </c>
      <c r="O94" s="1" t="str">
        <f>BP90</f>
        <v>F2</v>
      </c>
      <c r="Q94" s="1"/>
      <c r="R94" s="1"/>
      <c r="S94" s="62"/>
      <c r="T94" s="62"/>
      <c r="U94" s="62"/>
      <c r="V94" s="62"/>
      <c r="W94" s="62"/>
      <c r="AO94" s="62"/>
      <c r="AX94" s="17">
        <f ca="1">IF(AY94="",0,IF($CX$97="",  4*(D94=Ergebnisse!D94) + 4*(F94=Ergebnisse!F94) + (SIGN(H94-J94)=SIGN(Ergebnisse!H94-Ergebnisse!J94))*7 + (H94=Ergebnisse!H94) + (J94=Ergebnisse!J94), INT(RAND()*18)))</f>
        <v>7</v>
      </c>
      <c r="AY94" s="17" t="str">
        <f ca="1">IF(Ergebnisse!K94=Ergebnisse!$B$98,Ergebnisse!K94,"")</f>
        <v>ok</v>
      </c>
      <c r="AZ94" s="206"/>
      <c r="BA94" s="2">
        <f>BA90+1</f>
        <v>103</v>
      </c>
      <c r="BB94" s="6">
        <f>VLOOKUP(BA94,Spiele!$A$1:$L$116,2,FALSE)</f>
        <v>46221.708333333336</v>
      </c>
      <c r="BC94" s="6" t="str">
        <f>VLOOKUP(BA94,Spiele!$A$1:$L$116,9,FALSE)</f>
        <v>Miami</v>
      </c>
      <c r="BD94" s="22" t="str">
        <f ca="1">BM91</f>
        <v>Mexiko</v>
      </c>
      <c r="BE94" s="21" t="s">
        <v>24</v>
      </c>
      <c r="BF94" s="22" t="str">
        <f ca="1">BM92</f>
        <v>Paraguay</v>
      </c>
      <c r="BG94" s="17"/>
      <c r="BH94" s="107">
        <f ca="1">IF($B$99="",2,INT(RAND()*5)+INT(RAND()*3)*INT(RAND()*2))</f>
        <v>2</v>
      </c>
      <c r="BI94" s="11" t="s">
        <v>25</v>
      </c>
      <c r="BJ94" s="107">
        <f ca="1">IF($B$99="",1, BH94 + IF(BH94=0, 1, IF(BH94=9, -1, CHOOSE(INT(RAND()*2)+1, 1, -1))))</f>
        <v>3</v>
      </c>
      <c r="BK94" s="7" t="s">
        <v>26</v>
      </c>
      <c r="BL94" s="1"/>
      <c r="BM94" s="3" t="str">
        <f ca="1">IF(BJ94="","",IF(BJ94=BH94,"falsch!!! K.Remis",IF(BH94&gt;BJ94,BD94,BF94)))</f>
        <v>Paraguay</v>
      </c>
      <c r="BN94" s="1" t="str">
        <f>BP91</f>
        <v>HF1</v>
      </c>
      <c r="BO94" s="1" t="str">
        <f>BP92</f>
        <v>HF2</v>
      </c>
      <c r="BQ94" s="1"/>
      <c r="BR94" s="1"/>
      <c r="BS94" s="62"/>
      <c r="BT94" s="62"/>
      <c r="BU94" s="62"/>
      <c r="BV94" s="62"/>
      <c r="BW94" s="62"/>
      <c r="BX94" s="55"/>
      <c r="BZ94" s="55"/>
      <c r="CA94" s="55"/>
      <c r="CB94" s="55"/>
      <c r="CC94" s="55"/>
      <c r="CD94" s="206"/>
      <c r="CE94" s="206"/>
      <c r="CF94" s="204"/>
      <c r="CG94" s="62"/>
      <c r="CH94" s="62"/>
      <c r="CI94" s="55"/>
      <c r="CJ94" s="55"/>
      <c r="CK94" s="55"/>
      <c r="CL94" s="55"/>
      <c r="CM94" s="55"/>
      <c r="CN94" s="55"/>
      <c r="CO94" s="62"/>
      <c r="CP94" s="55"/>
      <c r="CQ94" s="55"/>
      <c r="CR94" s="55"/>
      <c r="CS94" s="55"/>
      <c r="CT94" s="55"/>
      <c r="CU94" s="55"/>
      <c r="CV94" s="55"/>
      <c r="CW94" s="55"/>
      <c r="CX94" s="17">
        <f ca="1">IF(CY94="",0,IF($CX$97="",  4*(BD94=Ergebnisse!BD94) + 4*(BF94=Ergebnisse!BF94) + (SIGN(BH94-BJ94)=SIGN(Ergebnisse!BH94-Ergebnisse!BJ94))*7 + (BH94=Ergebnisse!BH94) + (BJ94=Ergebnisse!BJ94), INT(RAND()*18)))</f>
        <v>0</v>
      </c>
      <c r="CY94" s="17" t="str">
        <f ca="1">IF(Ergebnisse!BK94=Ergebnisse!$B$98,Ergebnisse!BK94,"")</f>
        <v>ok</v>
      </c>
      <c r="CZ94" s="206"/>
    </row>
    <row r="95" spans="1:104">
      <c r="H95" s="2"/>
      <c r="I95" s="2"/>
      <c r="J95" s="2"/>
      <c r="K95" s="2"/>
      <c r="M95" s="2"/>
      <c r="S95" s="2"/>
      <c r="T95" s="2"/>
      <c r="U95" s="2"/>
      <c r="V95" s="2"/>
      <c r="W95" s="2"/>
      <c r="X95" s="2"/>
      <c r="Y95" s="2"/>
      <c r="Z95" s="2"/>
      <c r="AA95" s="2"/>
      <c r="AB95" s="2"/>
      <c r="AC95" s="2"/>
      <c r="AD95" s="2"/>
      <c r="AI95" s="2"/>
      <c r="AJ95" s="2"/>
      <c r="AK95" s="2"/>
      <c r="AL95" s="2"/>
      <c r="AM95" s="2"/>
      <c r="AN95" s="2"/>
      <c r="AO95" s="2"/>
      <c r="AP95" s="2"/>
      <c r="AQ95" s="2"/>
      <c r="AR95" s="2"/>
      <c r="AS95" s="2"/>
      <c r="AT95" s="2"/>
      <c r="AU95" s="2"/>
      <c r="AV95" s="2"/>
      <c r="AZ95" s="206"/>
      <c r="BD95" s="10"/>
      <c r="BE95" s="16"/>
      <c r="BF95" s="10"/>
      <c r="BG95" s="10"/>
      <c r="BH95" s="23"/>
      <c r="BJ95" s="23"/>
      <c r="BK95" s="181"/>
      <c r="BM95" s="2"/>
      <c r="BQ95" s="1"/>
      <c r="BR95" s="1"/>
      <c r="BS95" s="62"/>
      <c r="BT95" s="62"/>
      <c r="BU95" s="62"/>
      <c r="BV95" s="62"/>
      <c r="BW95" s="62"/>
      <c r="BX95" s="55"/>
      <c r="BZ95" s="55"/>
      <c r="CA95" s="55"/>
      <c r="CB95" s="55"/>
      <c r="CC95" s="55"/>
      <c r="CD95" s="206"/>
      <c r="CE95" s="206"/>
      <c r="CF95" s="204"/>
      <c r="CG95" s="62"/>
      <c r="CH95" s="62"/>
      <c r="CI95" s="55"/>
      <c r="CJ95" s="55"/>
      <c r="CK95" s="55"/>
      <c r="CL95" s="55"/>
      <c r="CM95" s="55"/>
      <c r="CN95" s="55"/>
      <c r="CO95" s="62"/>
      <c r="CP95" s="55"/>
      <c r="CQ95" s="55"/>
      <c r="CR95" s="55"/>
      <c r="CS95" s="55"/>
      <c r="CT95" s="55"/>
      <c r="CU95" s="55"/>
      <c r="CV95" s="55"/>
      <c r="CW95" s="55"/>
      <c r="CZ95" s="206"/>
    </row>
    <row r="96" spans="1:104" ht="15.75">
      <c r="H96" s="2"/>
      <c r="I96" s="2"/>
      <c r="J96" s="2"/>
      <c r="K96" s="2"/>
      <c r="M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78">
        <f ca="1">SUMIF(AY1:AY94,Ergebnisse!$B$98,AX1:AX94)</f>
        <v>163</v>
      </c>
      <c r="AZ96" s="2"/>
      <c r="BA96"/>
      <c r="BB96"/>
      <c r="BC96"/>
      <c r="BD96"/>
      <c r="BE96"/>
      <c r="BF96"/>
      <c r="BG96"/>
      <c r="BH96"/>
      <c r="BI96"/>
      <c r="BJ96"/>
      <c r="BK96"/>
      <c r="BL96"/>
      <c r="BM96"/>
      <c r="BN96"/>
      <c r="BO96"/>
      <c r="BP96"/>
      <c r="BQ96"/>
      <c r="BR96"/>
      <c r="BS96"/>
      <c r="BT96"/>
      <c r="BU96"/>
      <c r="BV96"/>
      <c r="BW96"/>
      <c r="BX96"/>
      <c r="BY96"/>
      <c r="BZ96"/>
      <c r="CA96"/>
      <c r="CB96"/>
      <c r="CC96"/>
      <c r="CD96"/>
      <c r="CE96"/>
      <c r="CF96"/>
      <c r="CG96" s="206"/>
      <c r="CH96" s="206"/>
      <c r="CI96" s="206"/>
      <c r="CJ96" s="206"/>
      <c r="CK96" s="206"/>
      <c r="CL96" s="206"/>
      <c r="CM96" s="206"/>
      <c r="CN96" s="206"/>
      <c r="CO96" s="206"/>
      <c r="CX96" s="78">
        <f ca="1">SUMIF(CY1:CY94,Ergebnisse!$B$98,CX1:CX94)</f>
        <v>102</v>
      </c>
    </row>
    <row r="97" spans="1:103" ht="13.5" thickBot="1">
      <c r="H97" s="8"/>
      <c r="I97" s="8"/>
      <c r="J97" s="8"/>
      <c r="K97" s="8"/>
      <c r="M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17">
        <f>IF(ISNA(Historie!B172),0,Historie!B172)</f>
        <v>0</v>
      </c>
      <c r="AY97" s="2" t="s">
        <v>200</v>
      </c>
      <c r="AZ97" s="2"/>
      <c r="BH97" s="8"/>
      <c r="BI97" s="8"/>
      <c r="BJ97" s="8"/>
      <c r="BK97" s="8"/>
      <c r="BM97" s="2"/>
      <c r="BY97" s="2"/>
      <c r="CY97" s="1" t="s">
        <v>85</v>
      </c>
    </row>
    <row r="98" spans="1:103" ht="17.25" thickTop="1" thickBot="1">
      <c r="B98" s="202" t="s">
        <v>26</v>
      </c>
      <c r="C98" s="1" t="s">
        <v>20</v>
      </c>
      <c r="D98" s="3"/>
      <c r="E98" s="3"/>
      <c r="F98" s="3"/>
      <c r="G98" s="82"/>
      <c r="H98" s="178"/>
      <c r="AD98" s="63"/>
      <c r="AX98" s="77">
        <f ca="1">AX96+CX96+AX97</f>
        <v>265</v>
      </c>
      <c r="AY98" s="1" t="s">
        <v>86</v>
      </c>
      <c r="BH98" s="8"/>
      <c r="BI98" s="8"/>
      <c r="BJ98" s="8"/>
      <c r="BK98" s="8"/>
      <c r="CD98" s="3"/>
      <c r="CY98" s="17"/>
    </row>
    <row r="99" spans="1:103" ht="14.25" thickTop="1" thickBot="1">
      <c r="B99" s="179" t="s">
        <v>457</v>
      </c>
      <c r="C99" s="1" t="s">
        <v>115</v>
      </c>
      <c r="E99" s="3"/>
      <c r="F99" s="3"/>
      <c r="AD99" s="63"/>
      <c r="BH99" s="8"/>
      <c r="BI99" s="8"/>
      <c r="BJ99" s="8"/>
      <c r="BK99" s="8"/>
      <c r="CD99" s="3"/>
    </row>
    <row r="100" spans="1:103" ht="14.25" thickTop="1" thickBot="1">
      <c r="A100" s="82"/>
      <c r="B100" s="179">
        <f ca="1">IF($B$99="",1,INT(RAND()*5)+INT(RAND()*3)*INT(RAND()*2))</f>
        <v>3</v>
      </c>
      <c r="C100" s="1" t="s">
        <v>65</v>
      </c>
      <c r="E100" s="3"/>
      <c r="F100" s="3"/>
      <c r="AD100" s="63"/>
      <c r="BH100" s="8"/>
      <c r="BI100" s="8"/>
      <c r="BJ100" s="8"/>
      <c r="BK100" s="8"/>
      <c r="CD100" s="3"/>
    </row>
    <row r="101" spans="1:103" ht="13.5" thickTop="1"/>
    <row r="104" spans="1:103">
      <c r="AX104" s="13"/>
      <c r="AY104" s="13"/>
      <c r="CY104" s="1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D104"/>
  <sheetViews>
    <sheetView topLeftCell="A58" workbookViewId="0">
      <selection activeCell="H98" sqref="H98"/>
    </sheetView>
  </sheetViews>
  <sheetFormatPr baseColWidth="10" defaultRowHeight="12.75"/>
  <cols>
    <col min="1" max="1" width="4.28515625" style="2" customWidth="1"/>
    <col min="2" max="2" width="15.28515625" style="2" customWidth="1"/>
    <col min="3" max="4" width="14.28515625" style="2" customWidth="1"/>
    <col min="5" max="5" width="2" style="2" customWidth="1"/>
    <col min="6" max="6" width="14.28515625" style="2" customWidth="1"/>
    <col min="7" max="7" width="1.5703125" style="2" customWidth="1"/>
    <col min="8" max="8" width="3.5703125" style="12" customWidth="1"/>
    <col min="9" max="9" width="1.5703125" style="12" customWidth="1"/>
    <col min="10" max="10" width="3.5703125" style="12" customWidth="1"/>
    <col min="11" max="11" width="3" style="7" customWidth="1"/>
    <col min="12" max="12" width="2" style="2" customWidth="1"/>
    <col min="13" max="13" width="14.28515625" style="9" customWidth="1"/>
    <col min="14" max="17" width="4.28515625" style="2" hidden="1" customWidth="1"/>
    <col min="18" max="18" width="3.85546875" style="2" hidden="1" customWidth="1"/>
    <col min="19" max="22" width="2" style="55" hidden="1" customWidth="1"/>
    <col min="23" max="23" width="1.7109375" style="55" hidden="1" customWidth="1"/>
    <col min="24" max="24" width="3" style="55" hidden="1" customWidth="1"/>
    <col min="25" max="25" width="14.28515625" style="55" hidden="1" customWidth="1"/>
    <col min="26" max="26" width="2.28515625" style="55" hidden="1" customWidth="1"/>
    <col min="27" max="27" width="3.28515625" style="55" hidden="1" customWidth="1"/>
    <col min="28" max="28" width="3" style="55" hidden="1" customWidth="1"/>
    <col min="29" max="29" width="4.42578125" style="55" hidden="1" customWidth="1"/>
    <col min="30" max="30" width="19.28515625" style="55" hidden="1" customWidth="1"/>
    <col min="31" max="31" width="3.140625" style="55" hidden="1" customWidth="1"/>
    <col min="32" max="32" width="3.5703125" style="55" hidden="1" customWidth="1"/>
    <col min="33" max="36" width="2.85546875" style="55" hidden="1" customWidth="1"/>
    <col min="37" max="37" width="3.140625" style="55" hidden="1" customWidth="1"/>
    <col min="38" max="38" width="6.42578125" style="55" hidden="1" customWidth="1"/>
    <col min="39" max="42" width="2.85546875" style="55" hidden="1" customWidth="1"/>
    <col min="43" max="43" width="7.7109375" style="55" hidden="1" customWidth="1"/>
    <col min="44" max="47" width="3" style="55" hidden="1" customWidth="1"/>
    <col min="48" max="48" width="3.140625" style="55" hidden="1" customWidth="1"/>
    <col min="49" max="49" width="11.42578125" style="55" customWidth="1"/>
    <col min="50" max="50" width="8.85546875" style="1" customWidth="1"/>
    <col min="51" max="51" width="7.140625" style="1" customWidth="1"/>
    <col min="52" max="52" width="11.42578125" style="55" customWidth="1"/>
    <col min="53" max="53" width="5" style="2" customWidth="1"/>
    <col min="54" max="54" width="15.28515625" style="2" customWidth="1"/>
    <col min="55" max="56" width="14.28515625" style="2" customWidth="1"/>
    <col min="57" max="57" width="2" style="2" customWidth="1"/>
    <col min="58" max="58" width="14.28515625" style="2" customWidth="1"/>
    <col min="59" max="59" width="1.5703125" style="2" customWidth="1"/>
    <col min="60" max="60" width="3.5703125" style="12" customWidth="1"/>
    <col min="61" max="61" width="1.5703125" style="12" customWidth="1"/>
    <col min="62" max="62" width="3.5703125" style="12" customWidth="1"/>
    <col min="63" max="63" width="3" style="7" customWidth="1"/>
    <col min="64" max="64" width="2" style="2" customWidth="1"/>
    <col min="65" max="65" width="14.28515625" style="9" customWidth="1"/>
    <col min="66" max="69" width="4.28515625" style="2" hidden="1" customWidth="1"/>
    <col min="70" max="70" width="3.85546875" style="2" hidden="1" customWidth="1"/>
    <col min="71" max="74" width="2" style="2" hidden="1" customWidth="1"/>
    <col min="75" max="75" width="1.7109375" style="2" hidden="1" customWidth="1"/>
    <col min="76" max="76" width="3" style="2" hidden="1" customWidth="1"/>
    <col min="77" max="77" width="14.28515625" style="55" hidden="1" customWidth="1"/>
    <col min="78" max="78" width="2.28515625" style="2" hidden="1" customWidth="1"/>
    <col min="79" max="79" width="3.28515625" style="2" hidden="1" customWidth="1"/>
    <col min="80" max="80" width="3" style="2" hidden="1" customWidth="1"/>
    <col min="81" max="81" width="4.42578125" style="2" hidden="1" customWidth="1"/>
    <col min="82" max="82" width="19.28515625" style="2" hidden="1" customWidth="1"/>
    <col min="83" max="100" width="5" style="2" hidden="1" customWidth="1"/>
    <col min="101" max="101" width="11.42578125" style="2" customWidth="1"/>
    <col min="102" max="102" width="8.85546875" style="17" customWidth="1"/>
    <col min="103" max="103" width="7.28515625" style="1" customWidth="1"/>
    <col min="104" max="104" width="11.42578125" style="2"/>
    <col min="105" max="105" width="36.7109375" style="2" bestFit="1" customWidth="1"/>
    <col min="106" max="106" width="9.140625" style="2" customWidth="1"/>
    <col min="107" max="108" width="10.7109375" customWidth="1"/>
    <col min="109" max="16384" width="11.42578125" style="2"/>
  </cols>
  <sheetData>
    <row r="1" spans="1:106" s="10" customFormat="1" ht="14.25" thickTop="1" thickBot="1">
      <c r="A1" s="10" t="s">
        <v>72</v>
      </c>
      <c r="B1" s="28" t="s">
        <v>0</v>
      </c>
      <c r="C1" s="26" t="s">
        <v>1</v>
      </c>
      <c r="D1" s="17" t="s">
        <v>2</v>
      </c>
      <c r="E1" s="14"/>
      <c r="F1" s="17"/>
      <c r="G1" s="172"/>
      <c r="H1" s="173"/>
      <c r="I1" s="19"/>
      <c r="J1" s="20"/>
      <c r="K1" s="180"/>
      <c r="L1" s="17"/>
      <c r="M1" s="35"/>
      <c r="N1" s="17"/>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X1" s="28">
        <f ca="1">IF($CX$97="",2*COUNTIF(Ergebnisse!$D$63:'Ergebnisse'!$F$78,M7),2*INT(RAND()*2))</f>
        <v>0</v>
      </c>
      <c r="AY1" s="17" t="str">
        <f ca="1">IF(COUNTIF(Ergebnisse!K3:'Ergebnisse'!K8,Ergebnisse!$B$98)=6,"ok","")</f>
        <v>ok</v>
      </c>
      <c r="BA1" s="10" t="s">
        <v>72</v>
      </c>
      <c r="BB1" s="76" t="s">
        <v>0</v>
      </c>
      <c r="BC1" s="177" t="s">
        <v>40</v>
      </c>
      <c r="BD1" s="53" t="s">
        <v>2</v>
      </c>
      <c r="BE1" s="54"/>
      <c r="BF1" s="53"/>
      <c r="BG1" s="53"/>
      <c r="BH1" s="20"/>
      <c r="BI1" s="19"/>
      <c r="BJ1" s="20"/>
      <c r="BK1" s="180"/>
      <c r="BL1" s="17"/>
      <c r="BM1" s="35"/>
      <c r="BN1" s="17"/>
      <c r="BO1" s="17"/>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76">
        <f ca="1">IF($CX$97="",2*COUNTIF(Ergebnisse!$D$63:'Ergebnisse'!$F$78,BM7),2*INT(RAND()*2))</f>
        <v>0</v>
      </c>
      <c r="CY1" s="17" t="str">
        <f ca="1">IF(COUNTIF(Ergebnisse!BK3:'Ergebnisse'!BK8,Ergebnisse!$B$98)=6,"ok","")</f>
        <v>ok</v>
      </c>
      <c r="DA1" s="163" t="s">
        <v>124</v>
      </c>
      <c r="DB1" s="164"/>
    </row>
    <row r="2" spans="1:106" ht="13.5" thickTop="1">
      <c r="B2" s="3" t="s">
        <v>22</v>
      </c>
      <c r="C2" s="3" t="s">
        <v>23</v>
      </c>
      <c r="L2" s="1"/>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8">
        <f ca="1">IF($CX$97="",2*COUNTIF(Ergebnisse!$D$63:'Ergebnisse'!$F$78,M8),2*INT(RAND()*2))</f>
        <v>2</v>
      </c>
      <c r="AY2" s="17" t="str">
        <f ca="1">IF(COUNTIF(Ergebnisse!K3:'Ergebnisse'!K8,Ergebnisse!$B$98)=6,"ok","")</f>
        <v>ok</v>
      </c>
      <c r="AZ2" s="2"/>
      <c r="BB2" s="3" t="s">
        <v>22</v>
      </c>
      <c r="BC2" s="3" t="s">
        <v>23</v>
      </c>
      <c r="BD2" s="55"/>
      <c r="BE2" s="55"/>
      <c r="BF2" s="55"/>
      <c r="BG2" s="55"/>
      <c r="BL2" s="1"/>
      <c r="BY2" s="2"/>
      <c r="CX2" s="76">
        <f ca="1">IF($CX$97="",2*COUNTIF(Ergebnisse!$D$63:'Ergebnisse'!$F$78,BM8),2*INT(RAND()*2))</f>
        <v>2</v>
      </c>
      <c r="CY2" s="17" t="str">
        <f ca="1">IF(COUNTIF(Ergebnisse!BK3:'Ergebnisse'!BK8,Ergebnisse!$B$98)=6,"ok","")</f>
        <v>ok</v>
      </c>
      <c r="DA2" s="163"/>
      <c r="DB2" s="164"/>
    </row>
    <row r="3" spans="1:106">
      <c r="A3" s="2">
        <f>IF(Ergebnisse!A3="","",Ergebnisse!A3)</f>
        <v>1</v>
      </c>
      <c r="B3" s="6">
        <f>IF(Ergebnisse!B3="","",Ergebnisse!B3)</f>
        <v>46184.583333333336</v>
      </c>
      <c r="C3" s="6" t="str">
        <f>IF(Ergebnisse!C3="","",Ergebnisse!C3)</f>
        <v>Mexico City</v>
      </c>
      <c r="D3" s="56" t="str">
        <f>IF(Ergebnisse!D3="","",Ergebnisse!D3)</f>
        <v>Mexiko</v>
      </c>
      <c r="E3" s="40"/>
      <c r="F3" s="56" t="str">
        <f>IF(Ergebnisse!F3="","",Ergebnisse!F3)</f>
        <v>Südafrika</v>
      </c>
      <c r="G3" s="53"/>
      <c r="H3" s="57">
        <v>4</v>
      </c>
      <c r="I3" s="11" t="s">
        <v>25</v>
      </c>
      <c r="J3" s="57">
        <v>3</v>
      </c>
      <c r="L3" s="1"/>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17">
        <f ca="1">IF($CX$97="",IF(OR(Ergebnisse!H3="",Ergebnisse!J3=""),0,IF(AND(H3=Ergebnisse!H3,J3=Ergebnisse!J3),7,MIN(7,(H3-J3=Ergebnisse!H3-Ergebnisse!J3)*4+(AND(H3-J3&lt;&gt;Ergebnisse!H3-Ergebnisse!J3,SIGN(H3-J3)=SIGN(Ergebnisse!H3-Ergebnisse!J3)))*2+(H3=Ergebnisse!H3)+(J3=Ergebnisse!J3)))),INT(RAND()*8))</f>
        <v>4</v>
      </c>
      <c r="AY3" s="17" t="str">
        <f ca="1">IF(Ergebnisse!K3=Ergebnisse!$B$98,Ergebnisse!K3,"")</f>
        <v>ok</v>
      </c>
      <c r="AZ3" s="2"/>
      <c r="BA3" s="2">
        <f>IF(Ergebnisse!BA3="","",Ergebnisse!BA3)</f>
        <v>4</v>
      </c>
      <c r="BB3" s="6">
        <f>IF(Ergebnisse!BB3="","",Ergebnisse!BB3)</f>
        <v>46185.75</v>
      </c>
      <c r="BC3" s="6" t="str">
        <f>IF(Ergebnisse!BC3="","",Ergebnisse!BC3)</f>
        <v>Los Angeles</v>
      </c>
      <c r="BD3" s="56" t="str">
        <f>IF(Ergebnisse!BD3="","",Ergebnisse!BD3)</f>
        <v>USA</v>
      </c>
      <c r="BE3" s="40"/>
      <c r="BF3" s="56" t="str">
        <f>IF(Ergebnisse!BF3="","",Ergebnisse!BF3)</f>
        <v>Paraguay</v>
      </c>
      <c r="BG3" s="53"/>
      <c r="BH3" s="57">
        <v>2</v>
      </c>
      <c r="BI3" s="11" t="s">
        <v>25</v>
      </c>
      <c r="BJ3" s="57">
        <v>1</v>
      </c>
      <c r="BL3" s="1"/>
      <c r="BY3" s="2"/>
      <c r="CX3" s="17">
        <f ca="1">IF($CX$97="",IF(OR(Ergebnisse!BH3="",Ergebnisse!BJ3=""),0,IF(AND(BH3=Ergebnisse!BH3,BJ3=Ergebnisse!BJ3),7,MIN(7,(BH3-BJ3=Ergebnisse!BH3-Ergebnisse!BJ3)*4+(AND(BH3-BJ3&lt;&gt;Ergebnisse!BH3-Ergebnisse!BJ3,SIGN(BH3-BJ3)=SIGN(Ergebnisse!BH3-Ergebnisse!BJ3)))*2+(BH3=Ergebnisse!BH3)+(BJ3=Ergebnisse!BJ3)))),INT(RAND()*8))</f>
        <v>1</v>
      </c>
      <c r="CY3" s="17" t="str">
        <f ca="1">IF(Ergebnisse!BK3=Ergebnisse!$B$98,Ergebnisse!BK3,"")</f>
        <v>ok</v>
      </c>
      <c r="DA3" s="165" t="s">
        <v>73</v>
      </c>
      <c r="DB3" s="166">
        <f>DB7*DB4</f>
        <v>504</v>
      </c>
    </row>
    <row r="4" spans="1:106">
      <c r="A4" s="2">
        <f>IF(Ergebnisse!A4="","",Ergebnisse!A4)</f>
        <v>2</v>
      </c>
      <c r="B4" s="6">
        <f>IF(Ergebnisse!B4="","",Ergebnisse!B4)</f>
        <v>46184.875</v>
      </c>
      <c r="C4" s="6" t="str">
        <f>IF(Ergebnisse!C4="","",Ergebnisse!C4)</f>
        <v>Guadalajara</v>
      </c>
      <c r="D4" s="56" t="str">
        <f>IF(Ergebnisse!D4="","",Ergebnisse!D4)</f>
        <v>Südkorea</v>
      </c>
      <c r="E4" s="40"/>
      <c r="F4" s="56" t="str">
        <f>IF(Ergebnisse!F4="","",Ergebnisse!F4)</f>
        <v>Tschechien</v>
      </c>
      <c r="G4" s="53"/>
      <c r="H4" s="57">
        <v>2</v>
      </c>
      <c r="I4" s="11" t="s">
        <v>25</v>
      </c>
      <c r="J4" s="57">
        <v>2</v>
      </c>
      <c r="L4" s="1"/>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17">
        <f ca="1">IF($CX$97="",IF(OR(Ergebnisse!H4="",Ergebnisse!J4=""),0,IF(AND(H4=Ergebnisse!H4,J4=Ergebnisse!J4),7,MIN(7,(H4-J4=Ergebnisse!H4-Ergebnisse!J4)*4+(AND(H4-J4&lt;&gt;Ergebnisse!H4-Ergebnisse!J4,SIGN(H4-J4)=SIGN(Ergebnisse!H4-Ergebnisse!J4)))*2+(H4=Ergebnisse!H4)+(J4=Ergebnisse!J4)))),INT(RAND()*8))</f>
        <v>0</v>
      </c>
      <c r="AY4" s="17" t="str">
        <f ca="1">IF(Ergebnisse!K4=Ergebnisse!$B$98,Ergebnisse!K4,"")</f>
        <v>ok</v>
      </c>
      <c r="AZ4" s="2"/>
      <c r="BA4" s="2">
        <f>IF(Ergebnisse!BA4="","",Ergebnisse!BA4)</f>
        <v>6</v>
      </c>
      <c r="BB4" s="6">
        <f>IF(Ergebnisse!BB4="","",Ergebnisse!BB4)</f>
        <v>46186.875</v>
      </c>
      <c r="BC4" s="6" t="str">
        <f>IF(Ergebnisse!BC4="","",Ergebnisse!BC4)</f>
        <v>Vancouver</v>
      </c>
      <c r="BD4" s="56" t="str">
        <f>IF(Ergebnisse!BD4="","",Ergebnisse!BD4)</f>
        <v>Australien</v>
      </c>
      <c r="BE4" s="40"/>
      <c r="BF4" s="56" t="str">
        <f>IF(Ergebnisse!BF4="","",Ergebnisse!BF4)</f>
        <v>Türkei</v>
      </c>
      <c r="BG4" s="53"/>
      <c r="BH4" s="57">
        <v>1</v>
      </c>
      <c r="BI4" s="11" t="s">
        <v>25</v>
      </c>
      <c r="BJ4" s="57">
        <v>1</v>
      </c>
      <c r="BL4" s="1"/>
      <c r="BY4" s="2"/>
      <c r="CX4" s="17">
        <f ca="1">IF($CX$97="",IF(OR(Ergebnisse!BH4="",Ergebnisse!BJ4=""),0,IF(AND(BH4=Ergebnisse!BH4,BJ4=Ergebnisse!BJ4),7,MIN(7,(BH4-BJ4=Ergebnisse!BH4-Ergebnisse!BJ4)*4+(AND(BH4-BJ4&lt;&gt;Ergebnisse!BH4-Ergebnisse!BJ4,SIGN(BH4-BJ4)=SIGN(Ergebnisse!BH4-Ergebnisse!BJ4)))*2+(BH4=Ergebnisse!BH4)+(BJ4=Ergebnisse!BJ4)))),INT(RAND()*8))</f>
        <v>0</v>
      </c>
      <c r="CY4" s="17" t="str">
        <f ca="1">IF(Ergebnisse!BK4=Ergebnisse!$B$98,Ergebnisse!BK4,"")</f>
        <v>ok</v>
      </c>
      <c r="DA4" s="167" t="s">
        <v>78</v>
      </c>
      <c r="DB4" s="270">
        <v>7</v>
      </c>
    </row>
    <row r="5" spans="1:106">
      <c r="A5" s="2">
        <f>IF(Ergebnisse!A5="","",Ergebnisse!A5)</f>
        <v>28</v>
      </c>
      <c r="B5" s="6">
        <f>IF(Ergebnisse!B5="","",Ergebnisse!B5)</f>
        <v>46191.833333333336</v>
      </c>
      <c r="C5" s="6" t="str">
        <f>IF(Ergebnisse!C5="","",Ergebnisse!C5)</f>
        <v>Guadalajara</v>
      </c>
      <c r="D5" s="56" t="str">
        <f>IF(Ergebnisse!D5="","",Ergebnisse!D5)</f>
        <v>Mexiko</v>
      </c>
      <c r="E5" s="40"/>
      <c r="F5" s="56" t="str">
        <f>IF(Ergebnisse!F5="","",Ergebnisse!F5)</f>
        <v>Südkorea</v>
      </c>
      <c r="G5" s="53"/>
      <c r="H5" s="57">
        <v>2</v>
      </c>
      <c r="I5" s="11" t="s">
        <v>25</v>
      </c>
      <c r="J5" s="57">
        <v>2</v>
      </c>
      <c r="L5" s="1"/>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17">
        <f ca="1">IF($CX$97="",IF(OR(Ergebnisse!H5="",Ergebnisse!J5=""),0,IF(AND(H5=Ergebnisse!H5,J5=Ergebnisse!J5),7,MIN(7,(H5-J5=Ergebnisse!H5-Ergebnisse!J5)*4+(AND(H5-J5&lt;&gt;Ergebnisse!H5-Ergebnisse!J5,SIGN(H5-J5)=SIGN(Ergebnisse!H5-Ergebnisse!J5)))*2+(H5=Ergebnisse!H5)+(J5=Ergebnisse!J5)))),INT(RAND()*8))</f>
        <v>0</v>
      </c>
      <c r="AY5" s="17" t="str">
        <f ca="1">IF(Ergebnisse!K5=Ergebnisse!$B$98,Ergebnisse!K5,"")</f>
        <v>ok</v>
      </c>
      <c r="AZ5" s="2"/>
      <c r="BA5" s="2">
        <f>IF(Ergebnisse!BA5="","",Ergebnisse!BA5)</f>
        <v>32</v>
      </c>
      <c r="BB5" s="6">
        <f>IF(Ergebnisse!BB5="","",Ergebnisse!BB5)</f>
        <v>46192.5</v>
      </c>
      <c r="BC5" s="6" t="str">
        <f>IF(Ergebnisse!BC5="","",Ergebnisse!BC5)</f>
        <v>Seattle</v>
      </c>
      <c r="BD5" s="56" t="str">
        <f>IF(Ergebnisse!BD5="","",Ergebnisse!BD5)</f>
        <v>USA</v>
      </c>
      <c r="BE5" s="40"/>
      <c r="BF5" s="56" t="str">
        <f>IF(Ergebnisse!BF5="","",Ergebnisse!BF5)</f>
        <v>Australien</v>
      </c>
      <c r="BG5" s="53"/>
      <c r="BH5" s="57">
        <v>2</v>
      </c>
      <c r="BI5" s="11" t="s">
        <v>25</v>
      </c>
      <c r="BJ5" s="57">
        <v>2</v>
      </c>
      <c r="BL5" s="1"/>
      <c r="BY5" s="2"/>
      <c r="CX5" s="17">
        <f ca="1">IF($CX$97="",IF(OR(Ergebnisse!BH5="",Ergebnisse!BJ5=""),0,IF(AND(BH5=Ergebnisse!BH5,BJ5=Ergebnisse!BJ5),7,MIN(7,(BH5-BJ5=Ergebnisse!BH5-Ergebnisse!BJ5)*4+(AND(BH5-BJ5&lt;&gt;Ergebnisse!BH5-Ergebnisse!BJ5,SIGN(BH5-BJ5)=SIGN(Ergebnisse!BH5-Ergebnisse!BJ5)))*2+(BH5=Ergebnisse!BH5)+(BJ5=Ergebnisse!BJ5)))),INT(RAND()*8))</f>
        <v>4</v>
      </c>
      <c r="CY5" s="17" t="str">
        <f ca="1">IF(Ergebnisse!BK5=Ergebnisse!$B$98,Ergebnisse!BK5,"")</f>
        <v>ok</v>
      </c>
      <c r="DA5" s="167" t="s">
        <v>79</v>
      </c>
      <c r="DB5" s="270">
        <v>4</v>
      </c>
    </row>
    <row r="6" spans="1:106">
      <c r="A6" s="2">
        <f>IF(Ergebnisse!A6="","",Ergebnisse!A6)</f>
        <v>25</v>
      </c>
      <c r="B6" s="6">
        <f>IF(Ergebnisse!B6="","",Ergebnisse!B6)</f>
        <v>46191.5</v>
      </c>
      <c r="C6" s="6" t="str">
        <f>IF(Ergebnisse!C6="","",Ergebnisse!C6)</f>
        <v>Atlanta</v>
      </c>
      <c r="D6" s="56" t="str">
        <f>IF(Ergebnisse!D6="","",Ergebnisse!D6)</f>
        <v>Tschechien</v>
      </c>
      <c r="E6" s="40"/>
      <c r="F6" s="56" t="str">
        <f>IF(Ergebnisse!F6="","",Ergebnisse!F6)</f>
        <v>Südafrika</v>
      </c>
      <c r="G6" s="53"/>
      <c r="H6" s="57">
        <v>2</v>
      </c>
      <c r="I6" s="11" t="s">
        <v>25</v>
      </c>
      <c r="J6" s="57">
        <v>2</v>
      </c>
      <c r="L6" s="1"/>
      <c r="N6" s="1"/>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17">
        <f ca="1">IF($CX$97="",IF(OR(Ergebnisse!H6="",Ergebnisse!J6=""),0,IF(AND(H6=Ergebnisse!H6,J6=Ergebnisse!J6),7,MIN(7,(H6-J6=Ergebnisse!H6-Ergebnisse!J6)*4+(AND(H6-J6&lt;&gt;Ergebnisse!H6-Ergebnisse!J6,SIGN(H6-J6)=SIGN(Ergebnisse!H6-Ergebnisse!J6)))*2+(H6=Ergebnisse!H6)+(J6=Ergebnisse!J6)))),INT(RAND()*8))</f>
        <v>1</v>
      </c>
      <c r="AY6" s="17" t="str">
        <f ca="1">IF(Ergebnisse!K6=Ergebnisse!$B$98,Ergebnisse!K6,"")</f>
        <v>ok</v>
      </c>
      <c r="AZ6" s="2"/>
      <c r="BA6" s="2">
        <f>IF(Ergebnisse!BA6="","",Ergebnisse!BA6)</f>
        <v>31</v>
      </c>
      <c r="BB6" s="6">
        <f>IF(Ergebnisse!BB6="","",Ergebnisse!BB6)</f>
        <v>46192.875</v>
      </c>
      <c r="BC6" s="6" t="str">
        <f>IF(Ergebnisse!BC6="","",Ergebnisse!BC6)</f>
        <v>San Francisco</v>
      </c>
      <c r="BD6" s="56" t="str">
        <f>IF(Ergebnisse!BD6="","",Ergebnisse!BD6)</f>
        <v>Türkei</v>
      </c>
      <c r="BE6" s="40"/>
      <c r="BF6" s="56" t="str">
        <f>IF(Ergebnisse!BF6="","",Ergebnisse!BF6)</f>
        <v>Paraguay</v>
      </c>
      <c r="BG6" s="53"/>
      <c r="BH6" s="57">
        <v>2</v>
      </c>
      <c r="BI6" s="11" t="s">
        <v>25</v>
      </c>
      <c r="BJ6" s="57">
        <v>2</v>
      </c>
      <c r="BL6" s="1"/>
      <c r="BN6" s="1"/>
      <c r="BY6" s="2"/>
      <c r="CX6" s="17">
        <f ca="1">IF($CX$97="",IF(OR(Ergebnisse!BH6="",Ergebnisse!BJ6=""),0,IF(AND(BH6=Ergebnisse!BH6,BJ6=Ergebnisse!BJ6),7,MIN(7,(BH6-BJ6=Ergebnisse!BH6-Ergebnisse!BJ6)*4+(AND(BH6-BJ6&lt;&gt;Ergebnisse!BH6-Ergebnisse!BJ6,SIGN(BH6-BJ6)=SIGN(Ergebnisse!BH6-Ergebnisse!BJ6)))*2+(BH6=Ergebnisse!BH6)+(BJ6=Ergebnisse!BJ6)))),INT(RAND()*8))</f>
        <v>0</v>
      </c>
      <c r="CY6" s="17" t="str">
        <f ca="1">IF(Ergebnisse!BK6=Ergebnisse!$B$98,Ergebnisse!BK6,"")</f>
        <v>ok</v>
      </c>
      <c r="DA6" s="167" t="s">
        <v>80</v>
      </c>
      <c r="DB6" s="270">
        <v>2</v>
      </c>
    </row>
    <row r="7" spans="1:106">
      <c r="A7" s="2">
        <f>IF(Ergebnisse!A7="","",Ergebnisse!A7)</f>
        <v>53</v>
      </c>
      <c r="B7" s="6">
        <f>IF(Ergebnisse!B7="","",Ergebnisse!B7)</f>
        <v>46197.833333333336</v>
      </c>
      <c r="C7" s="6" t="str">
        <f>IF(Ergebnisse!C7="","",Ergebnisse!C7)</f>
        <v>Mexico City</v>
      </c>
      <c r="D7" s="56" t="str">
        <f>IF(Ergebnisse!D7="","",Ergebnisse!D7)</f>
        <v>Tschechien</v>
      </c>
      <c r="E7" s="40"/>
      <c r="F7" s="56" t="str">
        <f>IF(Ergebnisse!F7="","",Ergebnisse!F7)</f>
        <v>Mexiko</v>
      </c>
      <c r="G7" s="55"/>
      <c r="H7" s="57">
        <v>3</v>
      </c>
      <c r="I7" s="11" t="s">
        <v>25</v>
      </c>
      <c r="J7" s="57">
        <v>3</v>
      </c>
      <c r="M7" s="36" t="s">
        <v>201</v>
      </c>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17">
        <f ca="1">IF($CX$97="",IF(OR(Ergebnisse!H7="",Ergebnisse!J7=""),0,IF(AND(H7=Ergebnisse!H7,J7=Ergebnisse!J7),7,MIN(7,(H7-J7=Ergebnisse!H7-Ergebnisse!J7)*4+(AND(H7-J7&lt;&gt;Ergebnisse!H7-Ergebnisse!J7,SIGN(H7-J7)=SIGN(Ergebnisse!H7-Ergebnisse!J7)))*2+(H7=Ergebnisse!H7)+(J7=Ergebnisse!J7)))),INT(RAND()*8))</f>
        <v>0</v>
      </c>
      <c r="AY7" s="17" t="str">
        <f ca="1">IF(Ergebnisse!K7=Ergebnisse!$B$98,Ergebnisse!K7,"")</f>
        <v>ok</v>
      </c>
      <c r="AZ7" s="2"/>
      <c r="BA7" s="2">
        <f>IF(Ergebnisse!BA7="","",Ergebnisse!BA7)</f>
        <v>59</v>
      </c>
      <c r="BB7" s="6">
        <f>IF(Ergebnisse!BB7="","",Ergebnisse!BB7)</f>
        <v>46198.791666666664</v>
      </c>
      <c r="BC7" s="6" t="str">
        <f>IF(Ergebnisse!BC7="","",Ergebnisse!BC7)</f>
        <v>Los Angeles</v>
      </c>
      <c r="BD7" s="56" t="str">
        <f>IF(Ergebnisse!BD7="","",Ergebnisse!BD7)</f>
        <v>Türkei</v>
      </c>
      <c r="BE7" s="40"/>
      <c r="BF7" s="56" t="str">
        <f>IF(Ergebnisse!BF7="","",Ergebnisse!BF7)</f>
        <v>USA</v>
      </c>
      <c r="BG7" s="55"/>
      <c r="BH7" s="57">
        <v>1</v>
      </c>
      <c r="BI7" s="11" t="s">
        <v>25</v>
      </c>
      <c r="BJ7" s="57">
        <v>2</v>
      </c>
      <c r="BM7" s="177" t="s">
        <v>202</v>
      </c>
      <c r="BY7" s="2"/>
      <c r="CX7" s="17">
        <f ca="1">IF($CX$97="",IF(OR(Ergebnisse!BH7="",Ergebnisse!BJ7=""),0,IF(AND(BH7=Ergebnisse!BH7,BJ7=Ergebnisse!BJ7),7,MIN(7,(BH7-BJ7=Ergebnisse!BH7-Ergebnisse!BJ7)*4+(AND(BH7-BJ7&lt;&gt;Ergebnisse!BH7-Ergebnisse!BJ7,SIGN(BH7-BJ7)=SIGN(Ergebnisse!BH7-Ergebnisse!BJ7)))*2+(BH7=Ergebnisse!BH7)+(BJ7=Ergebnisse!BJ7)))),INT(RAND()*8))</f>
        <v>0</v>
      </c>
      <c r="CY7" s="17" t="str">
        <f ca="1">IF(Ergebnisse!BK7=Ergebnisse!$B$98,Ergebnisse!BK7,"")</f>
        <v>ok</v>
      </c>
      <c r="DA7" s="168" t="s">
        <v>452</v>
      </c>
      <c r="DB7" s="169">
        <v>72</v>
      </c>
    </row>
    <row r="8" spans="1:106">
      <c r="A8" s="2">
        <f>IF(Ergebnisse!A8="","",Ergebnisse!A8)</f>
        <v>54</v>
      </c>
      <c r="B8" s="6">
        <f>IF(Ergebnisse!B8="","",Ergebnisse!B8)</f>
        <v>46197.833333333336</v>
      </c>
      <c r="C8" s="6" t="str">
        <f>IF(Ergebnisse!C8="","",Ergebnisse!C8)</f>
        <v>Monterrey</v>
      </c>
      <c r="D8" s="56" t="str">
        <f>IF(Ergebnisse!D8="","",Ergebnisse!D8)</f>
        <v>Südafrika</v>
      </c>
      <c r="E8" s="40"/>
      <c r="F8" s="56" t="str">
        <f>IF(Ergebnisse!F8="","",Ergebnisse!F8)</f>
        <v>Südkorea</v>
      </c>
      <c r="G8" s="55"/>
      <c r="H8" s="57">
        <v>3</v>
      </c>
      <c r="I8" s="11" t="s">
        <v>25</v>
      </c>
      <c r="J8" s="57">
        <v>3</v>
      </c>
      <c r="M8" s="36" t="s">
        <v>205</v>
      </c>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17">
        <f ca="1">IF($CX$97="",IF(OR(Ergebnisse!H8="",Ergebnisse!J8=""),0,IF(AND(H8=Ergebnisse!H8,J8=Ergebnisse!J8),7,MIN(7,(H8-J8=Ergebnisse!H8-Ergebnisse!J8)*4+(AND(H8-J8&lt;&gt;Ergebnisse!H8-Ergebnisse!J8,SIGN(H8-J8)=SIGN(Ergebnisse!H8-Ergebnisse!J8)))*2+(H8=Ergebnisse!H8)+(J8=Ergebnisse!J8)))),INT(RAND()*8))</f>
        <v>1</v>
      </c>
      <c r="AY8" s="17" t="str">
        <f ca="1">IF(Ergebnisse!K8=Ergebnisse!$B$98,Ergebnisse!K8,"")</f>
        <v>ok</v>
      </c>
      <c r="AZ8" s="2"/>
      <c r="BA8" s="2">
        <f>IF(Ergebnisse!BA8="","",Ergebnisse!BA8)</f>
        <v>60</v>
      </c>
      <c r="BB8" s="6">
        <f>IF(Ergebnisse!BB8="","",Ergebnisse!BB8)</f>
        <v>46198.791666666664</v>
      </c>
      <c r="BC8" s="6" t="str">
        <f>IF(Ergebnisse!BC8="","",Ergebnisse!BC8)</f>
        <v>San Francisco</v>
      </c>
      <c r="BD8" s="56" t="str">
        <f>IF(Ergebnisse!BD8="","",Ergebnisse!BD8)</f>
        <v>Paraguay</v>
      </c>
      <c r="BE8" s="40"/>
      <c r="BF8" s="56" t="str">
        <f>IF(Ergebnisse!BF8="","",Ergebnisse!BF8)</f>
        <v>Australien</v>
      </c>
      <c r="BG8" s="55"/>
      <c r="BH8" s="57">
        <v>1</v>
      </c>
      <c r="BI8" s="11" t="s">
        <v>25</v>
      </c>
      <c r="BJ8" s="57">
        <v>2</v>
      </c>
      <c r="BM8" s="177" t="s">
        <v>206</v>
      </c>
      <c r="BY8" s="2"/>
      <c r="CX8" s="17">
        <f ca="1">IF($CX$97="",IF(OR(Ergebnisse!BH8="",Ergebnisse!BJ8=""),0,IF(AND(BH8=Ergebnisse!BH8,BJ8=Ergebnisse!BJ8),7,MIN(7,(BH8-BJ8=Ergebnisse!BH8-Ergebnisse!BJ8)*4+(AND(BH8-BJ8&lt;&gt;Ergebnisse!BH8-Ergebnisse!BJ8,SIGN(BH8-BJ8)=SIGN(Ergebnisse!BH8-Ergebnisse!BJ8)))*2+(BH8=Ergebnisse!BH8)+(BJ8=Ergebnisse!BJ8)))),INT(RAND()*8))</f>
        <v>0</v>
      </c>
      <c r="CY8" s="17" t="str">
        <f ca="1">IF(Ergebnisse!BK8=Ergebnisse!$B$98,Ergebnisse!BK8,"")</f>
        <v>ok</v>
      </c>
      <c r="DA8" s="163"/>
      <c r="DB8" s="164"/>
    </row>
    <row r="9" spans="1:106">
      <c r="E9" s="55"/>
      <c r="F9" s="55"/>
      <c r="G9" s="55"/>
      <c r="M9" s="36" t="s">
        <v>189</v>
      </c>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8">
        <f ca="1">IF($CX$97="",2*COUNTIF(Ergebnisse!$D$63:'Ergebnisse'!$F$78,M9),2*INT(RAND()*2))</f>
        <v>2</v>
      </c>
      <c r="AY9" s="17" t="str">
        <f ca="1">IF(COUNTIF(Ergebnisse!K3:'Ergebnisse'!K8,Ergebnisse!$B$98)=6,"ok","")</f>
        <v>ok</v>
      </c>
      <c r="AZ9" s="2"/>
      <c r="BE9" s="55"/>
      <c r="BF9" s="55"/>
      <c r="BG9" s="55"/>
      <c r="BM9" s="177" t="s">
        <v>185</v>
      </c>
      <c r="BY9" s="2"/>
      <c r="CX9" s="76">
        <f ca="1">IF($CX$97="",2*COUNTIF(Ergebnisse!$D$63:'Ergebnisse'!$F$78,BM9),2*INT(RAND()*2))</f>
        <v>2</v>
      </c>
      <c r="CY9" s="17" t="str">
        <f ca="1">IF(COUNTIF(Ergebnisse!BK3:'Ergebnisse'!BK8,Ergebnisse!$B$98)=6,"ok","")</f>
        <v>ok</v>
      </c>
      <c r="DA9" s="165" t="s">
        <v>81</v>
      </c>
      <c r="DB9" s="166">
        <f>DB12*DB11</f>
        <v>64</v>
      </c>
    </row>
    <row r="10" spans="1:106" ht="6" customHeight="1">
      <c r="D10" s="55"/>
      <c r="E10" s="58"/>
      <c r="F10" s="59"/>
      <c r="G10" s="59"/>
      <c r="H10" s="55"/>
      <c r="I10" s="55"/>
      <c r="J10" s="55"/>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17"/>
      <c r="AZ10" s="2"/>
      <c r="BD10" s="55"/>
      <c r="BE10" s="58"/>
      <c r="BF10" s="59"/>
      <c r="BG10" s="59"/>
      <c r="BH10" s="55"/>
      <c r="BI10" s="55"/>
      <c r="BJ10" s="55"/>
      <c r="BY10" s="2"/>
      <c r="DA10" s="163"/>
      <c r="DB10" s="164"/>
    </row>
    <row r="11" spans="1:106" s="10" customFormat="1">
      <c r="B11" s="31" t="s">
        <v>0</v>
      </c>
      <c r="C11" s="32" t="s">
        <v>31</v>
      </c>
      <c r="D11" s="53" t="s">
        <v>2</v>
      </c>
      <c r="E11" s="54"/>
      <c r="F11" s="53"/>
      <c r="G11" s="53"/>
      <c r="H11" s="20"/>
      <c r="I11" s="19"/>
      <c r="J11" s="20"/>
      <c r="K11" s="180"/>
      <c r="L11" s="17"/>
      <c r="M11" s="35"/>
      <c r="N11" s="17"/>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X11" s="31">
        <f ca="1">IF($CX$97="",2*COUNTIF(Ergebnisse!$D$63:'Ergebnisse'!$F$78,M17),2*INT(RAND()*2))</f>
        <v>2</v>
      </c>
      <c r="AY11" s="17" t="str">
        <f ca="1">IF(COUNTIF(Ergebnisse!K13:'Ergebnisse'!K18,Ergebnisse!$B$98)=6,"ok","")</f>
        <v>ok</v>
      </c>
      <c r="BB11" s="72" t="s">
        <v>0</v>
      </c>
      <c r="BC11" s="73" t="s">
        <v>21</v>
      </c>
      <c r="BD11" s="53" t="s">
        <v>2</v>
      </c>
      <c r="BE11" s="54"/>
      <c r="BF11" s="53"/>
      <c r="BG11" s="53"/>
      <c r="BH11" s="20"/>
      <c r="BI11" s="19"/>
      <c r="BJ11" s="20"/>
      <c r="BK11" s="180"/>
      <c r="BL11" s="17"/>
      <c r="BM11" s="35"/>
      <c r="BN11" s="17"/>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72">
        <f ca="1">IF($CX$97="",2*COUNTIF(Ergebnisse!$D$63:'Ergebnisse'!$F$78,BM17),2*INT(RAND()*2))</f>
        <v>0</v>
      </c>
      <c r="CY11" s="17" t="str">
        <f ca="1">IF(COUNTIF(Ergebnisse!BK13:'Ergebnisse'!BK18,Ergebnisse!$B$98)=6,"ok","")</f>
        <v>ok</v>
      </c>
      <c r="DA11" s="163" t="s">
        <v>157</v>
      </c>
      <c r="DB11" s="270">
        <v>2</v>
      </c>
    </row>
    <row r="12" spans="1:106">
      <c r="B12" s="3" t="s">
        <v>22</v>
      </c>
      <c r="C12" s="3" t="s">
        <v>23</v>
      </c>
      <c r="D12" s="55"/>
      <c r="E12" s="55"/>
      <c r="F12" s="55"/>
      <c r="G12" s="55"/>
      <c r="L12" s="1"/>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31">
        <f ca="1">IF($CX$97="",2*COUNTIF(Ergebnisse!$D$63:'Ergebnisse'!$F$78,M18),2*INT(RAND()*2))</f>
        <v>2</v>
      </c>
      <c r="AY12" s="17" t="str">
        <f ca="1">IF(COUNTIF(Ergebnisse!K13:'Ergebnisse'!K18,Ergebnisse!$B$98)=6,"ok","")</f>
        <v>ok</v>
      </c>
      <c r="AZ12" s="2"/>
      <c r="BB12" s="3" t="s">
        <v>22</v>
      </c>
      <c r="BC12" s="3" t="s">
        <v>23</v>
      </c>
      <c r="BD12" s="55"/>
      <c r="BE12" s="55"/>
      <c r="BF12" s="55"/>
      <c r="BG12" s="55"/>
      <c r="BL12" s="1"/>
      <c r="BY12" s="2"/>
      <c r="CX12" s="72">
        <f ca="1">IF($CX$97="",2*COUNTIF(Ergebnisse!$D$63:'Ergebnisse'!$F$78,BM18),2*INT(RAND()*2))</f>
        <v>2</v>
      </c>
      <c r="CY12" s="17" t="str">
        <f ca="1">IF(COUNTIF(Ergebnisse!BK13:'Ergebnisse'!BK18,Ergebnisse!$B$98)=6,"ok","")</f>
        <v>ok</v>
      </c>
      <c r="DA12" s="168" t="s">
        <v>453</v>
      </c>
      <c r="DB12" s="188">
        <v>32</v>
      </c>
    </row>
    <row r="13" spans="1:106">
      <c r="A13" s="16">
        <f>IF(Ergebnisse!A13="","",Ergebnisse!A13)</f>
        <v>3</v>
      </c>
      <c r="B13" s="6">
        <f>IF(Ergebnisse!B13="","",Ergebnisse!B13)</f>
        <v>46185.625</v>
      </c>
      <c r="C13" s="6" t="str">
        <f>IF(Ergebnisse!C13="","",Ergebnisse!C13)</f>
        <v>Toronto</v>
      </c>
      <c r="D13" s="56" t="str">
        <f>IF(Ergebnisse!D13="","",Ergebnisse!D13)</f>
        <v>Kanada</v>
      </c>
      <c r="E13" s="40"/>
      <c r="F13" s="56" t="str">
        <f>IF(Ergebnisse!F13="","",Ergebnisse!F13)</f>
        <v>Bosnien/Herzg.</v>
      </c>
      <c r="G13" s="53"/>
      <c r="H13" s="57">
        <v>3</v>
      </c>
      <c r="I13" s="11" t="s">
        <v>25</v>
      </c>
      <c r="J13" s="57">
        <v>2</v>
      </c>
      <c r="L13" s="1"/>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17">
        <f ca="1">IF($CX$97="",IF(OR(Ergebnisse!H13="",Ergebnisse!J13=""),0,IF(AND(H13=Ergebnisse!H13,J13=Ergebnisse!J13),7,MIN(7,(H13-J13=Ergebnisse!H13-Ergebnisse!J13)*4+(AND(H13-J13&lt;&gt;Ergebnisse!H13-Ergebnisse!J13,SIGN(H13-J13)=SIGN(Ergebnisse!H13-Ergebnisse!J13)))*2+(H13=Ergebnisse!H13)+(J13=Ergebnisse!J13)))),INT(RAND()*8))</f>
        <v>0</v>
      </c>
      <c r="AY13" s="17" t="str">
        <f ca="1">IF(Ergebnisse!K13=Ergebnisse!$B$98,Ergebnisse!K13,"")</f>
        <v>ok</v>
      </c>
      <c r="AZ13" s="2"/>
      <c r="BA13" s="2">
        <f>IF(Ergebnisse!BA13="","",Ergebnisse!BA13)</f>
        <v>10</v>
      </c>
      <c r="BB13" s="6">
        <f>IF(Ergebnisse!BB13="","",Ergebnisse!BB13)</f>
        <v>46187.5</v>
      </c>
      <c r="BC13" s="6" t="str">
        <f>IF(Ergebnisse!BC13="","",Ergebnisse!BC13)</f>
        <v>Houston</v>
      </c>
      <c r="BD13" s="56" t="str">
        <f>IF(Ergebnisse!BD13="","",Ergebnisse!BD13)</f>
        <v>Deutschland</v>
      </c>
      <c r="BE13" s="40"/>
      <c r="BF13" s="56" t="str">
        <f>IF(Ergebnisse!BF13="","",Ergebnisse!BF13)</f>
        <v>Curaçao</v>
      </c>
      <c r="BG13" s="53"/>
      <c r="BH13" s="57">
        <v>4</v>
      </c>
      <c r="BI13" s="11" t="s">
        <v>25</v>
      </c>
      <c r="BJ13" s="57">
        <v>2</v>
      </c>
      <c r="BL13" s="1"/>
      <c r="BY13" s="2"/>
      <c r="CX13" s="17">
        <f ca="1">IF($CX$97="",IF(OR(Ergebnisse!BH13="",Ergebnisse!BJ13=""),0,IF(AND(BH13=Ergebnisse!BH13,BJ13=Ergebnisse!BJ13),7,MIN(7,(BH13-BJ13=Ergebnisse!BH13-Ergebnisse!BJ13)*4+(AND(BH13-BJ13&lt;&gt;Ergebnisse!BH13-Ergebnisse!BJ13,SIGN(BH13-BJ13)=SIGN(Ergebnisse!BH13-Ergebnisse!BJ13)))*2+(BH13=Ergebnisse!BH13)+(BJ13=Ergebnisse!BJ13)))),INT(RAND()*8))</f>
        <v>0</v>
      </c>
      <c r="CY13" s="17" t="str">
        <f ca="1">IF(Ergebnisse!BK13=Ergebnisse!$B$98,Ergebnisse!BK13,"")</f>
        <v>ok</v>
      </c>
      <c r="DA13" s="168"/>
      <c r="DB13" s="164"/>
    </row>
    <row r="14" spans="1:106">
      <c r="A14" s="2">
        <f>IF(Ergebnisse!A14="","",Ergebnisse!A14)</f>
        <v>8</v>
      </c>
      <c r="B14" s="6">
        <f>IF(Ergebnisse!B14="","",Ergebnisse!B14)</f>
        <v>46186.5</v>
      </c>
      <c r="C14" s="6" t="str">
        <f>IF(Ergebnisse!C14="","",Ergebnisse!C14)</f>
        <v>San Francisco</v>
      </c>
      <c r="D14" s="56" t="str">
        <f>IF(Ergebnisse!D14="","",Ergebnisse!D14)</f>
        <v>Katar</v>
      </c>
      <c r="E14" s="40"/>
      <c r="F14" s="56" t="str">
        <f>IF(Ergebnisse!F14="","",Ergebnisse!F14)</f>
        <v>Schweiz</v>
      </c>
      <c r="G14" s="53"/>
      <c r="H14" s="57">
        <v>3</v>
      </c>
      <c r="I14" s="11" t="s">
        <v>25</v>
      </c>
      <c r="J14" s="57">
        <v>4</v>
      </c>
      <c r="L14" s="1"/>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17">
        <f ca="1">IF($CX$97="",IF(OR(Ergebnisse!H14="",Ergebnisse!J14=""),0,IF(AND(H14=Ergebnisse!H14,J14=Ergebnisse!J14),7,MIN(7,(H14-J14=Ergebnisse!H14-Ergebnisse!J14)*4+(AND(H14-J14&lt;&gt;Ergebnisse!H14-Ergebnisse!J14,SIGN(H14-J14)=SIGN(Ergebnisse!H14-Ergebnisse!J14)))*2+(H14=Ergebnisse!H14)+(J14=Ergebnisse!J14)))),INT(RAND()*8))</f>
        <v>3</v>
      </c>
      <c r="AY14" s="17" t="str">
        <f ca="1">IF(Ergebnisse!K14=Ergebnisse!$B$98,Ergebnisse!K14,"")</f>
        <v>ok</v>
      </c>
      <c r="AZ14" s="2"/>
      <c r="BA14" s="2">
        <f>IF(Ergebnisse!BA14="","",Ergebnisse!BA14)</f>
        <v>9</v>
      </c>
      <c r="BB14" s="6">
        <f>IF(Ergebnisse!BB14="","",Ergebnisse!BB14)</f>
        <v>46187.791666666664</v>
      </c>
      <c r="BC14" s="6" t="str">
        <f>IF(Ergebnisse!BC14="","",Ergebnisse!BC14)</f>
        <v>Philadelphia</v>
      </c>
      <c r="BD14" s="56" t="str">
        <f>IF(Ergebnisse!BD14="","",Ergebnisse!BD14)</f>
        <v>Elfenbeinküste</v>
      </c>
      <c r="BE14" s="40"/>
      <c r="BF14" s="56" t="str">
        <f>IF(Ergebnisse!BF14="","",Ergebnisse!BF14)</f>
        <v>Ecuador</v>
      </c>
      <c r="BG14" s="53"/>
      <c r="BH14" s="57">
        <v>1</v>
      </c>
      <c r="BI14" s="11" t="s">
        <v>25</v>
      </c>
      <c r="BJ14" s="57">
        <v>2</v>
      </c>
      <c r="BL14" s="1"/>
      <c r="BY14" s="2"/>
      <c r="CX14" s="17">
        <f ca="1">IF($CX$97="",IF(OR(Ergebnisse!BH14="",Ergebnisse!BJ14=""),0,IF(AND(BH14=Ergebnisse!BH14,BJ14=Ergebnisse!BJ14),7,MIN(7,(BH14-BJ14=Ergebnisse!BH14-Ergebnisse!BJ14)*4+(AND(BH14-BJ14&lt;&gt;Ergebnisse!BH14-Ergebnisse!BJ14,SIGN(BH14-BJ14)=SIGN(Ergebnisse!BH14-Ergebnisse!BJ14)))*2+(BH14=Ergebnisse!BH14)+(BJ14=Ergebnisse!BJ14)))),INT(RAND()*8))</f>
        <v>3</v>
      </c>
      <c r="CY14" s="17" t="str">
        <f ca="1">IF(Ergebnisse!BK14=Ergebnisse!$B$98,Ergebnisse!BK14,"")</f>
        <v>ok</v>
      </c>
      <c r="DA14" s="170" t="s">
        <v>454</v>
      </c>
      <c r="DB14" s="166">
        <f>DB17*(DB16+2*DB15)</f>
        <v>144</v>
      </c>
    </row>
    <row r="15" spans="1:106">
      <c r="A15" s="2">
        <f>IF(Ergebnisse!A15="","",Ergebnisse!A15)</f>
        <v>27</v>
      </c>
      <c r="B15" s="6">
        <f>IF(Ergebnisse!B15="","",Ergebnisse!B15)</f>
        <v>46191.625</v>
      </c>
      <c r="C15" s="6" t="str">
        <f>IF(Ergebnisse!C15="","",Ergebnisse!C15)</f>
        <v>Vancouver</v>
      </c>
      <c r="D15" s="56" t="str">
        <f>IF(Ergebnisse!D15="","",Ergebnisse!D15)</f>
        <v>Kanada</v>
      </c>
      <c r="E15" s="40"/>
      <c r="F15" s="56" t="str">
        <f>IF(Ergebnisse!F15="","",Ergebnisse!F15)</f>
        <v>Katar</v>
      </c>
      <c r="G15" s="53"/>
      <c r="H15" s="57">
        <v>1</v>
      </c>
      <c r="I15" s="11" t="s">
        <v>25</v>
      </c>
      <c r="J15" s="57">
        <v>0</v>
      </c>
      <c r="L15" s="1"/>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17">
        <f ca="1">IF($CX$97="",IF(OR(Ergebnisse!H15="",Ergebnisse!J15=""),0,IF(AND(H15=Ergebnisse!H15,J15=Ergebnisse!J15),7,MIN(7,(H15-J15=Ergebnisse!H15-Ergebnisse!J15)*4+(AND(H15-J15&lt;&gt;Ergebnisse!H15-Ergebnisse!J15,SIGN(H15-J15)=SIGN(Ergebnisse!H15-Ergebnisse!J15)))*2+(H15=Ergebnisse!H15)+(J15=Ergebnisse!J15)))),INT(RAND()*8))</f>
        <v>2</v>
      </c>
      <c r="AY15" s="17" t="str">
        <f ca="1">IF(Ergebnisse!K15=Ergebnisse!$B$98,Ergebnisse!K15,"")</f>
        <v>ok</v>
      </c>
      <c r="AZ15" s="2"/>
      <c r="BA15" s="2">
        <f>IF(Ergebnisse!BA15="","",Ergebnisse!BA15)</f>
        <v>33</v>
      </c>
      <c r="BB15" s="6">
        <f>IF(Ergebnisse!BB15="","",Ergebnisse!BB15)</f>
        <v>46193.666666666664</v>
      </c>
      <c r="BC15" s="6" t="str">
        <f>IF(Ergebnisse!BC15="","",Ergebnisse!BC15)</f>
        <v>Toronto</v>
      </c>
      <c r="BD15" s="56" t="str">
        <f>IF(Ergebnisse!BD15="","",Ergebnisse!BD15)</f>
        <v>Deutschland</v>
      </c>
      <c r="BE15" s="40"/>
      <c r="BF15" s="56" t="str">
        <f>IF(Ergebnisse!BF15="","",Ergebnisse!BF15)</f>
        <v>Elfenbeinküste</v>
      </c>
      <c r="BG15" s="53"/>
      <c r="BH15" s="57">
        <v>3</v>
      </c>
      <c r="BI15" s="11" t="s">
        <v>25</v>
      </c>
      <c r="BJ15" s="57">
        <v>2</v>
      </c>
      <c r="BL15" s="1"/>
      <c r="BY15" s="2"/>
      <c r="CX15" s="17">
        <f ca="1">IF($CX$97="",IF(OR(Ergebnisse!BH15="",Ergebnisse!BJ15=""),0,IF(AND(BH15=Ergebnisse!BH15,BJ15=Ergebnisse!BJ15),7,MIN(7,(BH15-BJ15=Ergebnisse!BH15-Ergebnisse!BJ15)*4+(AND(BH15-BJ15&lt;&gt;Ergebnisse!BH15-Ergebnisse!BJ15,SIGN(BH15-BJ15)=SIGN(Ergebnisse!BH15-Ergebnisse!BJ15)))*2+(BH15=Ergebnisse!BH15)+(BJ15=Ergebnisse!BJ15)))),INT(RAND()*8))</f>
        <v>0</v>
      </c>
      <c r="CY15" s="17" t="str">
        <f ca="1">IF(Ergebnisse!BK15=Ergebnisse!$B$98,Ergebnisse!BK15,"")</f>
        <v>ok</v>
      </c>
      <c r="DA15" s="167" t="s">
        <v>455</v>
      </c>
      <c r="DB15" s="270">
        <v>1</v>
      </c>
    </row>
    <row r="16" spans="1:106">
      <c r="A16" s="2">
        <f>IF(Ergebnisse!A16="","",Ergebnisse!A16)</f>
        <v>26</v>
      </c>
      <c r="B16" s="6">
        <f>IF(Ergebnisse!B16="","",Ergebnisse!B16)</f>
        <v>46191.5</v>
      </c>
      <c r="C16" s="6" t="str">
        <f>IF(Ergebnisse!C16="","",Ergebnisse!C16)</f>
        <v>Los Angeles</v>
      </c>
      <c r="D16" s="56" t="str">
        <f>IF(Ergebnisse!D16="","",Ergebnisse!D16)</f>
        <v>Schweiz</v>
      </c>
      <c r="E16" s="40"/>
      <c r="F16" s="56" t="str">
        <f>IF(Ergebnisse!F16="","",Ergebnisse!F16)</f>
        <v>Bosnien/Herzg.</v>
      </c>
      <c r="G16" s="53"/>
      <c r="H16" s="57">
        <v>5</v>
      </c>
      <c r="I16" s="11" t="s">
        <v>25</v>
      </c>
      <c r="J16" s="57">
        <v>4</v>
      </c>
      <c r="L16" s="1"/>
      <c r="N16" s="1"/>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17">
        <f ca="1">IF($CX$97="",IF(OR(Ergebnisse!H16="",Ergebnisse!J16=""),0,IF(AND(H16=Ergebnisse!H16,J16=Ergebnisse!J16),7,MIN(7,(H16-J16=Ergebnisse!H16-Ergebnisse!J16)*4+(AND(H16-J16&lt;&gt;Ergebnisse!H16-Ergebnisse!J16,SIGN(H16-J16)=SIGN(Ergebnisse!H16-Ergebnisse!J16)))*2+(H16=Ergebnisse!H16)+(J16=Ergebnisse!J16)))),INT(RAND()*8))</f>
        <v>0</v>
      </c>
      <c r="AY16" s="17" t="str">
        <f ca="1">IF(Ergebnisse!K16=Ergebnisse!$B$98,Ergebnisse!K16,"")</f>
        <v>ok</v>
      </c>
      <c r="AZ16" s="2"/>
      <c r="BA16" s="2">
        <f>IF(Ergebnisse!BA16="","",Ergebnisse!BA16)</f>
        <v>34</v>
      </c>
      <c r="BB16" s="6">
        <f>IF(Ergebnisse!BB16="","",Ergebnisse!BB16)</f>
        <v>46193.791666666672</v>
      </c>
      <c r="BC16" s="6" t="str">
        <f>IF(Ergebnisse!BC16="","",Ergebnisse!BC16)</f>
        <v>Kansas City</v>
      </c>
      <c r="BD16" s="56" t="str">
        <f>IF(Ergebnisse!BD16="","",Ergebnisse!BD16)</f>
        <v>Ecuador</v>
      </c>
      <c r="BE16" s="40"/>
      <c r="BF16" s="56" t="str">
        <f>IF(Ergebnisse!BF16="","",Ergebnisse!BF16)</f>
        <v>Curaçao</v>
      </c>
      <c r="BG16" s="53"/>
      <c r="BH16" s="57">
        <v>5</v>
      </c>
      <c r="BI16" s="11" t="s">
        <v>25</v>
      </c>
      <c r="BJ16" s="57">
        <v>5</v>
      </c>
      <c r="BL16" s="1"/>
      <c r="BN16" s="1"/>
      <c r="BY16" s="2"/>
      <c r="CX16" s="17">
        <f ca="1">IF($CX$97="",IF(OR(Ergebnisse!BH16="",Ergebnisse!BJ16=""),0,IF(AND(BH16=Ergebnisse!BH16,BJ16=Ergebnisse!BJ16),7,MIN(7,(BH16-BJ16=Ergebnisse!BH16-Ergebnisse!BJ16)*4+(AND(BH16-BJ16&lt;&gt;Ergebnisse!BH16-Ergebnisse!BJ16,SIGN(BH16-BJ16)=SIGN(Ergebnisse!BH16-Ergebnisse!BJ16)))*2+(BH16=Ergebnisse!BH16)+(BJ16=Ergebnisse!BJ16)))),INT(RAND()*8))</f>
        <v>1</v>
      </c>
      <c r="CY16" s="17" t="str">
        <f ca="1">IF(Ergebnisse!BK16=Ergebnisse!$B$98,Ergebnisse!BK16,"")</f>
        <v>ok</v>
      </c>
      <c r="DA16" s="171" t="s">
        <v>83</v>
      </c>
      <c r="DB16" s="270">
        <v>7</v>
      </c>
    </row>
    <row r="17" spans="1:106">
      <c r="A17" s="2">
        <f>IF(Ergebnisse!A17="","",Ergebnisse!A17)</f>
        <v>51</v>
      </c>
      <c r="B17" s="6">
        <f>IF(Ergebnisse!B17="","",Ergebnisse!B17)</f>
        <v>46197.5</v>
      </c>
      <c r="C17" s="6" t="str">
        <f>IF(Ergebnisse!C17="","",Ergebnisse!C17)</f>
        <v>Vancouver</v>
      </c>
      <c r="D17" s="56" t="str">
        <f>IF(Ergebnisse!D17="","",Ergebnisse!D17)</f>
        <v>Schweiz</v>
      </c>
      <c r="E17" s="40"/>
      <c r="F17" s="56" t="str">
        <f>IF(Ergebnisse!F17="","",Ergebnisse!F17)</f>
        <v>Kanada</v>
      </c>
      <c r="G17" s="55"/>
      <c r="H17" s="57">
        <v>2</v>
      </c>
      <c r="I17" s="11" t="s">
        <v>25</v>
      </c>
      <c r="J17" s="57">
        <v>2</v>
      </c>
      <c r="M17" s="37" t="s">
        <v>68</v>
      </c>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17">
        <f ca="1">IF($CX$97="",IF(OR(Ergebnisse!H17="",Ergebnisse!J17=""),0,IF(AND(H17=Ergebnisse!H17,J17=Ergebnisse!J17),7,MIN(7,(H17-J17=Ergebnisse!H17-Ergebnisse!J17)*4+(AND(H17-J17&lt;&gt;Ergebnisse!H17-Ergebnisse!J17,SIGN(H17-J17)=SIGN(Ergebnisse!H17-Ergebnisse!J17)))*2+(H17=Ergebnisse!H17)+(J17=Ergebnisse!J17)))),INT(RAND()*8))</f>
        <v>0</v>
      </c>
      <c r="AY17" s="17" t="str">
        <f ca="1">IF(Ergebnisse!K17=Ergebnisse!$B$98,Ergebnisse!K17,"")</f>
        <v>ok</v>
      </c>
      <c r="AZ17" s="2"/>
      <c r="BA17" s="2">
        <f>IF(Ergebnisse!BA17="","",Ergebnisse!BA17)</f>
        <v>57</v>
      </c>
      <c r="BB17" s="6">
        <f>IF(Ergebnisse!BB17="","",Ergebnisse!BB17)</f>
        <v>46198.75</v>
      </c>
      <c r="BC17" s="6" t="str">
        <f>IF(Ergebnisse!BC17="","",Ergebnisse!BC17)</f>
        <v>Dallas</v>
      </c>
      <c r="BD17" s="56" t="str">
        <f>IF(Ergebnisse!BD17="","",Ergebnisse!BD17)</f>
        <v>Ecuador</v>
      </c>
      <c r="BE17" s="40"/>
      <c r="BF17" s="56" t="str">
        <f>IF(Ergebnisse!BF17="","",Ergebnisse!BF17)</f>
        <v>Deutschland</v>
      </c>
      <c r="BG17" s="55"/>
      <c r="BH17" s="57">
        <v>2</v>
      </c>
      <c r="BI17" s="11" t="s">
        <v>25</v>
      </c>
      <c r="BJ17" s="57">
        <v>3</v>
      </c>
      <c r="BM17" s="73" t="s">
        <v>67</v>
      </c>
      <c r="BY17" s="2"/>
      <c r="CX17" s="17">
        <f ca="1">IF($CX$97="",IF(OR(Ergebnisse!BH17="",Ergebnisse!BJ17=""),0,IF(AND(BH17=Ergebnisse!BH17,BJ17=Ergebnisse!BJ17),7,MIN(7,(BH17-BJ17=Ergebnisse!BH17-Ergebnisse!BJ17)*4+(AND(BH17-BJ17&lt;&gt;Ergebnisse!BH17-Ergebnisse!BJ17,SIGN(BH17-BJ17)=SIGN(Ergebnisse!BH17-Ergebnisse!BJ17)))*2+(BH17=Ergebnisse!BH17)+(BJ17=Ergebnisse!BJ17)))),INT(RAND()*8))</f>
        <v>1</v>
      </c>
      <c r="CY17" s="17" t="str">
        <f ca="1">IF(Ergebnisse!BK17=Ergebnisse!$B$98,Ergebnisse!BK17,"")</f>
        <v>ok</v>
      </c>
      <c r="DA17" s="168" t="s">
        <v>76</v>
      </c>
      <c r="DB17" s="169">
        <v>16</v>
      </c>
    </row>
    <row r="18" spans="1:106">
      <c r="A18" s="2">
        <f>IF(Ergebnisse!A18="","",Ergebnisse!A18)</f>
        <v>52</v>
      </c>
      <c r="B18" s="6">
        <f>IF(Ergebnisse!B18="","",Ergebnisse!B18)</f>
        <v>46197.5</v>
      </c>
      <c r="C18" s="6" t="str">
        <f>IF(Ergebnisse!C18="","",Ergebnisse!C18)</f>
        <v>Seattle</v>
      </c>
      <c r="D18" s="56" t="str">
        <f>IF(Ergebnisse!D18="","",Ergebnisse!D18)</f>
        <v>Bosnien/Herzg.</v>
      </c>
      <c r="E18" s="40"/>
      <c r="F18" s="56" t="str">
        <f>IF(Ergebnisse!F18="","",Ergebnisse!F18)</f>
        <v>Katar</v>
      </c>
      <c r="G18" s="55"/>
      <c r="H18" s="57">
        <v>1</v>
      </c>
      <c r="I18" s="11" t="s">
        <v>25</v>
      </c>
      <c r="J18" s="57">
        <v>2</v>
      </c>
      <c r="M18" s="37" t="s">
        <v>207</v>
      </c>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17">
        <f ca="1">IF($CX$97="",IF(OR(Ergebnisse!H18="",Ergebnisse!J18=""),0,IF(AND(H18=Ergebnisse!H18,J18=Ergebnisse!J18),7,MIN(7,(H18-J18=Ergebnisse!H18-Ergebnisse!J18)*4+(AND(H18-J18&lt;&gt;Ergebnisse!H18-Ergebnisse!J18,SIGN(H18-J18)=SIGN(Ergebnisse!H18-Ergebnisse!J18)))*2+(H18=Ergebnisse!H18)+(J18=Ergebnisse!J18)))),INT(RAND()*8))</f>
        <v>4</v>
      </c>
      <c r="AY18" s="17" t="str">
        <f ca="1">IF(Ergebnisse!K18=Ergebnisse!$B$98,Ergebnisse!K18,"")</f>
        <v>ok</v>
      </c>
      <c r="AZ18" s="2"/>
      <c r="BA18" s="2">
        <f>IF(Ergebnisse!BA18="","",Ergebnisse!BA18)</f>
        <v>58</v>
      </c>
      <c r="BB18" s="6">
        <f>IF(Ergebnisse!BB18="","",Ergebnisse!BB18)</f>
        <v>46198.75</v>
      </c>
      <c r="BC18" s="6" t="str">
        <f>IF(Ergebnisse!BC18="","",Ergebnisse!BC18)</f>
        <v>Kansas City</v>
      </c>
      <c r="BD18" s="56" t="str">
        <f>IF(Ergebnisse!BD18="","",Ergebnisse!BD18)</f>
        <v>Curaçao</v>
      </c>
      <c r="BE18" s="40"/>
      <c r="BF18" s="56" t="str">
        <f>IF(Ergebnisse!BF18="","",Ergebnisse!BF18)</f>
        <v>Elfenbeinküste</v>
      </c>
      <c r="BG18" s="55"/>
      <c r="BH18" s="57">
        <v>4</v>
      </c>
      <c r="BI18" s="11" t="s">
        <v>25</v>
      </c>
      <c r="BJ18" s="57">
        <v>4</v>
      </c>
      <c r="BM18" s="73" t="s">
        <v>212</v>
      </c>
      <c r="BY18" s="2"/>
      <c r="CX18" s="17">
        <f ca="1">IF($CX$97="",IF(OR(Ergebnisse!BH18="",Ergebnisse!BJ18=""),0,IF(AND(BH18=Ergebnisse!BH18,BJ18=Ergebnisse!BJ18),7,MIN(7,(BH18-BJ18=Ergebnisse!BH18-Ergebnisse!BJ18)*4+(AND(BH18-BJ18&lt;&gt;Ergebnisse!BH18-Ergebnisse!BJ18,SIGN(BH18-BJ18)=SIGN(Ergebnisse!BH18-Ergebnisse!BJ18)))*2+(BH18=Ergebnisse!BH18)+(BJ18=Ergebnisse!BJ18)))),INT(RAND()*8))</f>
        <v>0</v>
      </c>
      <c r="CY18" s="17" t="str">
        <f ca="1">IF(Ergebnisse!BK18=Ergebnisse!$B$98,Ergebnisse!BK18,"")</f>
        <v>ok</v>
      </c>
      <c r="DA18" s="163"/>
      <c r="DB18" s="164"/>
    </row>
    <row r="19" spans="1:106">
      <c r="D19" s="55"/>
      <c r="E19" s="55"/>
      <c r="G19" s="55"/>
      <c r="M19" s="37" t="s">
        <v>210</v>
      </c>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31">
        <f ca="1">IF($CX$97="",2*COUNTIF(Ergebnisse!$D$63:'Ergebnisse'!$F$78,M19),2*INT(RAND()*2))</f>
        <v>0</v>
      </c>
      <c r="AY19" s="17" t="str">
        <f ca="1">IF(COUNTIF(Ergebnisse!K13:'Ergebnisse'!K18,Ergebnisse!$B$98)=6,"ok","")</f>
        <v>ok</v>
      </c>
      <c r="AZ19" s="2"/>
      <c r="BE19" s="55"/>
      <c r="BF19" s="55"/>
      <c r="BG19" s="55"/>
      <c r="BM19" s="73" t="s">
        <v>209</v>
      </c>
      <c r="BY19" s="2"/>
      <c r="CX19" s="72">
        <f ca="1">IF($CX$97="",2*COUNTIF(Ergebnisse!$D$63:'Ergebnisse'!$F$78,BM19),2*INT(RAND()*2))</f>
        <v>2</v>
      </c>
      <c r="CY19" s="17" t="str">
        <f ca="1">IF(COUNTIF(Ergebnisse!BK13:'Ergebnisse'!BK18,Ergebnisse!$B$98)=6,"ok","")</f>
        <v>ok</v>
      </c>
      <c r="DA19" s="170" t="s">
        <v>82</v>
      </c>
      <c r="DB19" s="166">
        <f>DB23*(DB22+2*DB21)</f>
        <v>88</v>
      </c>
    </row>
    <row r="20" spans="1:106" ht="6" customHeight="1">
      <c r="D20" s="55"/>
      <c r="E20" s="58"/>
      <c r="F20" s="59"/>
      <c r="G20" s="59"/>
      <c r="H20" s="55"/>
      <c r="I20" s="55"/>
      <c r="J20" s="55"/>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17"/>
      <c r="AZ20" s="2"/>
      <c r="BD20" s="55"/>
      <c r="BE20" s="58"/>
      <c r="BF20" s="59"/>
      <c r="BG20" s="59"/>
      <c r="BH20" s="55"/>
      <c r="BI20" s="55"/>
      <c r="BJ20" s="55"/>
      <c r="BY20" s="2"/>
    </row>
    <row r="21" spans="1:106" s="10" customFormat="1">
      <c r="B21" s="27" t="s">
        <v>0</v>
      </c>
      <c r="C21" s="25" t="s">
        <v>37</v>
      </c>
      <c r="D21" s="53" t="s">
        <v>2</v>
      </c>
      <c r="E21" s="54"/>
      <c r="F21" s="53"/>
      <c r="G21" s="53"/>
      <c r="H21" s="20"/>
      <c r="I21" s="19"/>
      <c r="J21" s="20"/>
      <c r="K21" s="180"/>
      <c r="L21" s="17"/>
      <c r="M21" s="35"/>
      <c r="N21" s="17"/>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X21" s="27">
        <f ca="1">IF($CX$97="",2*COUNTIF(Ergebnisse!$D$63:'Ergebnisse'!$F$78,M27),2*INT(RAND()*2))</f>
        <v>2</v>
      </c>
      <c r="AY21" s="17" t="str">
        <f ca="1">IF(COUNTIF(Ergebnisse!K23:'Ergebnisse'!K28,Ergebnisse!$B$98)=6,"ok","")</f>
        <v>ok</v>
      </c>
      <c r="BB21" s="221" t="s">
        <v>0</v>
      </c>
      <c r="BC21" s="222" t="s">
        <v>32</v>
      </c>
      <c r="BD21" s="53" t="s">
        <v>2</v>
      </c>
      <c r="BE21" s="54"/>
      <c r="BF21" s="53"/>
      <c r="BG21" s="53"/>
      <c r="BH21" s="20"/>
      <c r="BI21" s="19"/>
      <c r="BJ21" s="20"/>
      <c r="BK21" s="180"/>
      <c r="BL21" s="17"/>
      <c r="BM21" s="35"/>
      <c r="BN21" s="17"/>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21">
        <f ca="1">IF($CX$97="",2*COUNTIF(Ergebnisse!$D$63:'Ergebnisse'!$F$78,BM27),2*INT(RAND()*2))</f>
        <v>2</v>
      </c>
      <c r="CY21" s="17" t="str">
        <f ca="1">IF(COUNTIF(Ergebnisse!BK23:'Ergebnisse'!BK28,Ergebnisse!$B$98)=6,"ok","")</f>
        <v>ok</v>
      </c>
      <c r="DA21" s="167" t="s">
        <v>125</v>
      </c>
      <c r="DB21" s="164">
        <v>2</v>
      </c>
    </row>
    <row r="22" spans="1:106">
      <c r="B22" s="3" t="s">
        <v>22</v>
      </c>
      <c r="C22" s="3" t="s">
        <v>23</v>
      </c>
      <c r="D22" s="55"/>
      <c r="E22" s="55"/>
      <c r="F22" s="55"/>
      <c r="G22" s="55"/>
      <c r="L22" s="1"/>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7">
        <f ca="1">IF($CX$97="",2*COUNTIF(Ergebnisse!$D$63:'Ergebnisse'!$F$78,M28),2*INT(RAND()*2))</f>
        <v>0</v>
      </c>
      <c r="AY22" s="17" t="str">
        <f ca="1">IF(COUNTIF(Ergebnisse!K23:'Ergebnisse'!K28,Ergebnisse!$B$98)=6,"ok","")</f>
        <v>ok</v>
      </c>
      <c r="AZ22" s="2"/>
      <c r="BB22" s="3" t="s">
        <v>22</v>
      </c>
      <c r="BC22" s="3" t="s">
        <v>23</v>
      </c>
      <c r="BD22" s="55"/>
      <c r="BE22" s="55"/>
      <c r="BF22" s="55"/>
      <c r="BG22" s="55"/>
      <c r="BL22" s="1"/>
      <c r="BY22" s="2"/>
      <c r="CX22" s="221">
        <f ca="1">IF($CX$97="",2*COUNTIF(Ergebnisse!$D$63:'Ergebnisse'!$F$78,BM28),2*INT(RAND()*2))</f>
        <v>0</v>
      </c>
      <c r="CY22" s="17" t="str">
        <f ca="1">IF(COUNTIF(Ergebnisse!BK23:'Ergebnisse'!BK28,Ergebnisse!$B$98)=6,"ok","")</f>
        <v>ok</v>
      </c>
      <c r="DA22" s="171" t="s">
        <v>83</v>
      </c>
      <c r="DB22" s="270">
        <v>7</v>
      </c>
    </row>
    <row r="23" spans="1:106">
      <c r="A23" s="2">
        <f>IF(Ergebnisse!A23="","",Ergebnisse!A23)</f>
        <v>7</v>
      </c>
      <c r="B23" s="6">
        <f>IF(Ergebnisse!B23="","",Ergebnisse!B23)</f>
        <v>46186.75</v>
      </c>
      <c r="C23" s="6" t="str">
        <f>IF(Ergebnisse!C23="","",Ergebnisse!C23)</f>
        <v>New York</v>
      </c>
      <c r="D23" s="56" t="str">
        <f>IF(Ergebnisse!D23="","",Ergebnisse!D23)</f>
        <v>Brasilien</v>
      </c>
      <c r="E23" s="40"/>
      <c r="F23" s="56" t="str">
        <f>IF(Ergebnisse!F23="","",Ergebnisse!F23)</f>
        <v>Marokko</v>
      </c>
      <c r="G23" s="53"/>
      <c r="H23" s="57">
        <v>1</v>
      </c>
      <c r="I23" s="11" t="s">
        <v>25</v>
      </c>
      <c r="J23" s="57">
        <v>1</v>
      </c>
      <c r="L23" s="1"/>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17">
        <f ca="1">IF($CX$97="",IF(OR(Ergebnisse!H23="",Ergebnisse!J23=""),0,IF(AND(H23=Ergebnisse!H23,J23=Ergebnisse!J23),7,MIN(7,(H23-J23=Ergebnisse!H23-Ergebnisse!J23)*4+(AND(H23-J23&lt;&gt;Ergebnisse!H23-Ergebnisse!J23,SIGN(H23-J23)=SIGN(Ergebnisse!H23-Ergebnisse!J23)))*2+(H23=Ergebnisse!H23)+(J23=Ergebnisse!J23)))),INT(RAND()*8))</f>
        <v>1</v>
      </c>
      <c r="AY23" s="17" t="str">
        <f ca="1">IF(Ergebnisse!K23=Ergebnisse!$B$98,Ergebnisse!K23,"")</f>
        <v>ok</v>
      </c>
      <c r="AZ23" s="2"/>
      <c r="BA23" s="2">
        <f>IF(Ergebnisse!BA23="","",Ergebnisse!BA23)</f>
        <v>11</v>
      </c>
      <c r="BB23" s="6">
        <f>IF(Ergebnisse!BB23="","",Ergebnisse!BB23)</f>
        <v>46187.625</v>
      </c>
      <c r="BC23" s="6" t="str">
        <f>IF(Ergebnisse!BC23="","",Ergebnisse!BC23)</f>
        <v>Dallas</v>
      </c>
      <c r="BD23" s="56" t="str">
        <f>IF(Ergebnisse!BD23="","",Ergebnisse!BD23)</f>
        <v>Niederlande</v>
      </c>
      <c r="BE23" s="40"/>
      <c r="BF23" s="56" t="str">
        <f>IF(Ergebnisse!BF23="","",Ergebnisse!BF23)</f>
        <v>Japan</v>
      </c>
      <c r="BG23" s="53"/>
      <c r="BH23" s="57">
        <v>2</v>
      </c>
      <c r="BI23" s="11" t="s">
        <v>25</v>
      </c>
      <c r="BJ23" s="57">
        <v>2</v>
      </c>
      <c r="BL23" s="1"/>
      <c r="BY23" s="2"/>
      <c r="CX23" s="17">
        <f ca="1">IF($CX$97="",IF(OR(Ergebnisse!BH23="",Ergebnisse!BJ23=""),0,IF(AND(BH23=Ergebnisse!BH23,BJ23=Ergebnisse!BJ23),7,MIN(7,(BH23-BJ23=Ergebnisse!BH23-Ergebnisse!BJ23)*4+(AND(BH23-BJ23&lt;&gt;Ergebnisse!BH23-Ergebnisse!BJ23,SIGN(BH23-BJ23)=SIGN(Ergebnisse!BH23-Ergebnisse!BJ23)))*2+(BH23=Ergebnisse!BH23)+(BJ23=Ergebnisse!BJ23)))),INT(RAND()*8))</f>
        <v>1</v>
      </c>
      <c r="CY23" s="17" t="str">
        <f ca="1">IF(Ergebnisse!BK23=Ergebnisse!$B$98,Ergebnisse!BK23,"")</f>
        <v>ok</v>
      </c>
      <c r="DA23" s="168" t="s">
        <v>76</v>
      </c>
      <c r="DB23" s="169">
        <v>8</v>
      </c>
    </row>
    <row r="24" spans="1:106">
      <c r="A24" s="2">
        <f>IF(Ergebnisse!A24="","",Ergebnisse!A24)</f>
        <v>5</v>
      </c>
      <c r="B24" s="6">
        <f>IF(Ergebnisse!B24="","",Ergebnisse!B24)</f>
        <v>46186.875</v>
      </c>
      <c r="C24" s="6" t="str">
        <f>IF(Ergebnisse!C24="","",Ergebnisse!C24)</f>
        <v>Boston</v>
      </c>
      <c r="D24" s="56" t="str">
        <f>IF(Ergebnisse!D24="","",Ergebnisse!D24)</f>
        <v>Haiti</v>
      </c>
      <c r="E24" s="40"/>
      <c r="F24" s="56" t="str">
        <f>IF(Ergebnisse!F24="","",Ergebnisse!F24)</f>
        <v>Schottland</v>
      </c>
      <c r="G24" s="53"/>
      <c r="H24" s="57">
        <v>3</v>
      </c>
      <c r="I24" s="11" t="s">
        <v>25</v>
      </c>
      <c r="J24" s="57">
        <v>4</v>
      </c>
      <c r="L24" s="1"/>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17">
        <f ca="1">IF($CX$97="",IF(OR(Ergebnisse!H24="",Ergebnisse!J24=""),0,IF(AND(H24=Ergebnisse!H24,J24=Ergebnisse!J24),7,MIN(7,(H24-J24=Ergebnisse!H24-Ergebnisse!J24)*4+(AND(H24-J24&lt;&gt;Ergebnisse!H24-Ergebnisse!J24,SIGN(H24-J24)=SIGN(Ergebnisse!H24-Ergebnisse!J24)))*2+(H24=Ergebnisse!H24)+(J24=Ergebnisse!J24)))),INT(RAND()*8))</f>
        <v>2</v>
      </c>
      <c r="AY24" s="17" t="str">
        <f ca="1">IF(Ergebnisse!K24=Ergebnisse!$B$98,Ergebnisse!K24,"")</f>
        <v>ok</v>
      </c>
      <c r="AZ24" s="2"/>
      <c r="BA24" s="2">
        <f>IF(Ergebnisse!BA24="","",Ergebnisse!BA24)</f>
        <v>12</v>
      </c>
      <c r="BB24" s="6">
        <f>IF(Ergebnisse!BB24="","",Ergebnisse!BB24)</f>
        <v>46187.875</v>
      </c>
      <c r="BC24" s="6" t="str">
        <f>IF(Ergebnisse!BC24="","",Ergebnisse!BC24)</f>
        <v>Monterrey</v>
      </c>
      <c r="BD24" s="56" t="str">
        <f>IF(Ergebnisse!BD24="","",Ergebnisse!BD24)</f>
        <v>Schweden</v>
      </c>
      <c r="BE24" s="40"/>
      <c r="BF24" s="56" t="str">
        <f>IF(Ergebnisse!BF24="","",Ergebnisse!BF24)</f>
        <v>Tunesien</v>
      </c>
      <c r="BG24" s="53"/>
      <c r="BH24" s="57">
        <v>0</v>
      </c>
      <c r="BI24" s="11" t="s">
        <v>25</v>
      </c>
      <c r="BJ24" s="57">
        <v>0</v>
      </c>
      <c r="BL24" s="1"/>
      <c r="BY24" s="2"/>
      <c r="CX24" s="17">
        <f ca="1">IF($CX$97="",IF(OR(Ergebnisse!BH24="",Ergebnisse!BJ24=""),0,IF(AND(BH24=Ergebnisse!BH24,BJ24=Ergebnisse!BJ24),7,MIN(7,(BH24-BJ24=Ergebnisse!BH24-Ergebnisse!BJ24)*4+(AND(BH24-BJ24&lt;&gt;Ergebnisse!BH24-Ergebnisse!BJ24,SIGN(BH24-BJ24)=SIGN(Ergebnisse!BH24-Ergebnisse!BJ24)))*2+(BH24=Ergebnisse!BH24)+(BJ24=Ergebnisse!BJ24)))),INT(RAND()*8))</f>
        <v>0</v>
      </c>
      <c r="CY24" s="17" t="str">
        <f ca="1">IF(Ergebnisse!BK24=Ergebnisse!$B$98,Ergebnisse!BK24,"")</f>
        <v>ok</v>
      </c>
    </row>
    <row r="25" spans="1:106">
      <c r="A25" s="2">
        <f>IF(Ergebnisse!A25="","",Ergebnisse!A25)</f>
        <v>29</v>
      </c>
      <c r="B25" s="6">
        <f>IF(Ergebnisse!B25="","",Ergebnisse!B25)</f>
        <v>46192.875</v>
      </c>
      <c r="C25" s="6" t="str">
        <f>IF(Ergebnisse!C25="","",Ergebnisse!C25)</f>
        <v>Philadelphia</v>
      </c>
      <c r="D25" s="56" t="str">
        <f>IF(Ergebnisse!D25="","",Ergebnisse!D25)</f>
        <v>Brasilien</v>
      </c>
      <c r="E25" s="40"/>
      <c r="F25" s="56" t="str">
        <f>IF(Ergebnisse!F25="","",Ergebnisse!F25)</f>
        <v>Haiti</v>
      </c>
      <c r="G25" s="53"/>
      <c r="H25" s="57">
        <v>5</v>
      </c>
      <c r="I25" s="11" t="s">
        <v>25</v>
      </c>
      <c r="J25" s="57">
        <v>3</v>
      </c>
      <c r="L25" s="1"/>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17">
        <f ca="1">IF($CX$97="",IF(OR(Ergebnisse!H25="",Ergebnisse!J25=""),0,IF(AND(H25=Ergebnisse!H25,J25=Ergebnisse!J25),7,MIN(7,(H25-J25=Ergebnisse!H25-Ergebnisse!J25)*4+(AND(H25-J25&lt;&gt;Ergebnisse!H25-Ergebnisse!J25,SIGN(H25-J25)=SIGN(Ergebnisse!H25-Ergebnisse!J25)))*2+(H25=Ergebnisse!H25)+(J25=Ergebnisse!J25)))),INT(RAND()*8))</f>
        <v>0</v>
      </c>
      <c r="AY25" s="17" t="str">
        <f ca="1">IF(Ergebnisse!K25=Ergebnisse!$B$98,Ergebnisse!K25,"")</f>
        <v>ok</v>
      </c>
      <c r="AZ25" s="2"/>
      <c r="BA25" s="2">
        <f>IF(Ergebnisse!BA25="","",Ergebnisse!BA25)</f>
        <v>35</v>
      </c>
      <c r="BB25" s="6">
        <f>IF(Ergebnisse!BB25="","",Ergebnisse!BB25)</f>
        <v>46193.5</v>
      </c>
      <c r="BC25" s="6" t="str">
        <f>IF(Ergebnisse!BC25="","",Ergebnisse!BC25)</f>
        <v>Houston</v>
      </c>
      <c r="BD25" s="56" t="str">
        <f>IF(Ergebnisse!BD25="","",Ergebnisse!BD25)</f>
        <v>Niederlande</v>
      </c>
      <c r="BE25" s="40"/>
      <c r="BF25" s="56" t="str">
        <f>IF(Ergebnisse!BF25="","",Ergebnisse!BF25)</f>
        <v>Schweden</v>
      </c>
      <c r="BG25" s="53"/>
      <c r="BH25" s="57">
        <v>4</v>
      </c>
      <c r="BI25" s="11" t="s">
        <v>25</v>
      </c>
      <c r="BJ25" s="57">
        <v>3</v>
      </c>
      <c r="BL25" s="1"/>
      <c r="BY25" s="2"/>
      <c r="CX25" s="17">
        <f ca="1">IF($CX$97="",IF(OR(Ergebnisse!BH25="",Ergebnisse!BJ25=""),0,IF(AND(BH25=Ergebnisse!BH25,BJ25=Ergebnisse!BJ25),7,MIN(7,(BH25-BJ25=Ergebnisse!BH25-Ergebnisse!BJ25)*4+(AND(BH25-BJ25&lt;&gt;Ergebnisse!BH25-Ergebnisse!BJ25,SIGN(BH25-BJ25)=SIGN(Ergebnisse!BH25-Ergebnisse!BJ25)))*2+(BH25=Ergebnisse!BH25)+(BJ25=Ergebnisse!BJ25)))),INT(RAND()*8))</f>
        <v>2</v>
      </c>
      <c r="CY25" s="17" t="str">
        <f ca="1">IF(Ergebnisse!BK25=Ergebnisse!$B$98,Ergebnisse!BK25,"")</f>
        <v>ok</v>
      </c>
      <c r="DA25" s="170" t="s">
        <v>75</v>
      </c>
      <c r="DB25" s="166">
        <f>DB29*(DB28+2*DB26)</f>
        <v>52</v>
      </c>
    </row>
    <row r="26" spans="1:106">
      <c r="A26" s="2">
        <f>IF(Ergebnisse!A26="","",Ergebnisse!A26)</f>
        <v>30</v>
      </c>
      <c r="B26" s="6">
        <f>IF(Ergebnisse!B26="","",Ergebnisse!B26)</f>
        <v>46192.75</v>
      </c>
      <c r="C26" s="6" t="str">
        <f>IF(Ergebnisse!C26="","",Ergebnisse!C26)</f>
        <v>Boston</v>
      </c>
      <c r="D26" s="56" t="str">
        <f>IF(Ergebnisse!D26="","",Ergebnisse!D26)</f>
        <v>Schottland</v>
      </c>
      <c r="E26" s="40"/>
      <c r="F26" s="56" t="str">
        <f>IF(Ergebnisse!F26="","",Ergebnisse!F26)</f>
        <v>Marokko</v>
      </c>
      <c r="G26" s="53"/>
      <c r="H26" s="57">
        <v>4</v>
      </c>
      <c r="I26" s="11" t="s">
        <v>25</v>
      </c>
      <c r="J26" s="57">
        <v>4</v>
      </c>
      <c r="L26" s="1"/>
      <c r="N26" s="1"/>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17">
        <f ca="1">IF($CX$97="",IF(OR(Ergebnisse!H26="",Ergebnisse!J26=""),0,IF(AND(H26=Ergebnisse!H26,J26=Ergebnisse!J26),7,MIN(7,(H26-J26=Ergebnisse!H26-Ergebnisse!J26)*4+(AND(H26-J26&lt;&gt;Ergebnisse!H26-Ergebnisse!J26,SIGN(H26-J26)=SIGN(Ergebnisse!H26-Ergebnisse!J26)))*2+(H26=Ergebnisse!H26)+(J26=Ergebnisse!J26)))),INT(RAND()*8))</f>
        <v>0</v>
      </c>
      <c r="AY26" s="17" t="str">
        <f ca="1">IF(Ergebnisse!K26=Ergebnisse!$B$98,Ergebnisse!K26,"")</f>
        <v>ok</v>
      </c>
      <c r="AZ26" s="2"/>
      <c r="BA26" s="2">
        <f>IF(Ergebnisse!BA26="","",Ergebnisse!BA26)</f>
        <v>36</v>
      </c>
      <c r="BB26" s="6">
        <f>IF(Ergebnisse!BB26="","",Ergebnisse!BB26)</f>
        <v>46193.958333333336</v>
      </c>
      <c r="BC26" s="6" t="str">
        <f>IF(Ergebnisse!BC26="","",Ergebnisse!BC26)</f>
        <v>Monterrey</v>
      </c>
      <c r="BD26" s="56" t="str">
        <f>IF(Ergebnisse!BD26="","",Ergebnisse!BD26)</f>
        <v>Tunesien</v>
      </c>
      <c r="BE26" s="40"/>
      <c r="BF26" s="56" t="str">
        <f>IF(Ergebnisse!BF26="","",Ergebnisse!BF26)</f>
        <v>Japan</v>
      </c>
      <c r="BG26" s="53"/>
      <c r="BH26" s="57">
        <v>3</v>
      </c>
      <c r="BI26" s="11" t="s">
        <v>25</v>
      </c>
      <c r="BJ26" s="57">
        <v>3</v>
      </c>
      <c r="BL26" s="1"/>
      <c r="BN26" s="1"/>
      <c r="BY26" s="2"/>
      <c r="CX26" s="17">
        <f ca="1">IF($CX$97="",IF(OR(Ergebnisse!BH26="",Ergebnisse!BJ26=""),0,IF(AND(BH26=Ergebnisse!BH26,BJ26=Ergebnisse!BJ26),7,MIN(7,(BH26-BJ26=Ergebnisse!BH26-Ergebnisse!BJ26)*4+(AND(BH26-BJ26&lt;&gt;Ergebnisse!BH26-Ergebnisse!BJ26,SIGN(BH26-BJ26)=SIGN(Ergebnisse!BH26-Ergebnisse!BJ26)))*2+(BH26=Ergebnisse!BH26)+(BJ26=Ergebnisse!BJ26)))),INT(RAND()*8))</f>
        <v>1</v>
      </c>
      <c r="CY26" s="17" t="str">
        <f ca="1">IF(Ergebnisse!BK26=Ergebnisse!$B$98,Ergebnisse!BK26,"")</f>
        <v>ok</v>
      </c>
      <c r="DA26" s="167" t="s">
        <v>126</v>
      </c>
      <c r="DB26" s="164">
        <v>3</v>
      </c>
    </row>
    <row r="27" spans="1:106">
      <c r="A27" s="2">
        <f>IF(Ergebnisse!A27="","",Ergebnisse!A27)</f>
        <v>49</v>
      </c>
      <c r="B27" s="6">
        <f>IF(Ergebnisse!B27="","",Ergebnisse!B27)</f>
        <v>46197.75</v>
      </c>
      <c r="C27" s="6" t="str">
        <f>IF(Ergebnisse!C27="","",Ergebnisse!C27)</f>
        <v>Miami</v>
      </c>
      <c r="D27" s="56" t="str">
        <f>IF(Ergebnisse!D27="","",Ergebnisse!D27)</f>
        <v>Schottland</v>
      </c>
      <c r="E27" s="40"/>
      <c r="F27" s="56" t="str">
        <f>IF(Ergebnisse!F27="","",Ergebnisse!F27)</f>
        <v>Brasilien</v>
      </c>
      <c r="G27" s="55"/>
      <c r="H27" s="57">
        <v>4</v>
      </c>
      <c r="I27" s="11" t="s">
        <v>25</v>
      </c>
      <c r="J27" s="57">
        <v>5</v>
      </c>
      <c r="M27" s="38" t="s">
        <v>213</v>
      </c>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17">
        <f ca="1">IF($CX$97="",IF(OR(Ergebnisse!H27="",Ergebnisse!J27=""),0,IF(AND(H27=Ergebnisse!H27,J27=Ergebnisse!J27),7,MIN(7,(H27-J27=Ergebnisse!H27-Ergebnisse!J27)*4+(AND(H27-J27&lt;&gt;Ergebnisse!H27-Ergebnisse!J27,SIGN(H27-J27)=SIGN(Ergebnisse!H27-Ergebnisse!J27)))*2+(H27=Ergebnisse!H27)+(J27=Ergebnisse!J27)))),INT(RAND()*8))</f>
        <v>0</v>
      </c>
      <c r="AY27" s="17" t="str">
        <f ca="1">IF(Ergebnisse!K27=Ergebnisse!$B$98,Ergebnisse!K27,"")</f>
        <v>ok</v>
      </c>
      <c r="AZ27" s="2"/>
      <c r="BA27" s="2">
        <f>IF(Ergebnisse!BA27="","",Ergebnisse!BA27)</f>
        <v>55</v>
      </c>
      <c r="BB27" s="6">
        <f>IF(Ergebnisse!BB27="","",Ergebnisse!BB27)</f>
        <v>46198.666666666664</v>
      </c>
      <c r="BC27" s="6" t="str">
        <f>IF(Ergebnisse!BC27="","",Ergebnisse!BC27)</f>
        <v>Philadelphia</v>
      </c>
      <c r="BD27" s="56" t="str">
        <f>IF(Ergebnisse!BD27="","",Ergebnisse!BD27)</f>
        <v>Tunesien</v>
      </c>
      <c r="BE27" s="40"/>
      <c r="BF27" s="56" t="str">
        <f>IF(Ergebnisse!BF27="","",Ergebnisse!BF27)</f>
        <v>Niederlande</v>
      </c>
      <c r="BG27" s="55"/>
      <c r="BH27" s="57">
        <v>4</v>
      </c>
      <c r="BI27" s="11" t="s">
        <v>25</v>
      </c>
      <c r="BJ27" s="57">
        <v>5</v>
      </c>
      <c r="BM27" s="223" t="s">
        <v>71</v>
      </c>
      <c r="BY27" s="2"/>
      <c r="CX27" s="17">
        <f ca="1">IF($CX$97="",IF(OR(Ergebnisse!BH27="",Ergebnisse!BJ27=""),0,IF(AND(BH27=Ergebnisse!BH27,BJ27=Ergebnisse!BJ27),7,MIN(7,(BH27-BJ27=Ergebnisse!BH27-Ergebnisse!BJ27)*4+(AND(BH27-BJ27&lt;&gt;Ergebnisse!BH27-Ergebnisse!BJ27,SIGN(BH27-BJ27)=SIGN(Ergebnisse!BH27-Ergebnisse!BJ27)))*2+(BH27=Ergebnisse!BH27)+(BJ27=Ergebnisse!BJ27)))),INT(RAND()*8))</f>
        <v>0</v>
      </c>
      <c r="CY27" s="17" t="str">
        <f ca="1">IF(Ergebnisse!BK27=Ergebnisse!$B$98,Ergebnisse!BK27,"")</f>
        <v>ok</v>
      </c>
      <c r="DA27" s="167" t="s">
        <v>122</v>
      </c>
      <c r="DB27" s="164">
        <v>1</v>
      </c>
    </row>
    <row r="28" spans="1:106">
      <c r="A28" s="2">
        <f>IF(Ergebnisse!A28="","",Ergebnisse!A28)</f>
        <v>50</v>
      </c>
      <c r="B28" s="6">
        <f>IF(Ergebnisse!B28="","",Ergebnisse!B28)</f>
        <v>46197.75</v>
      </c>
      <c r="C28" s="6" t="str">
        <f>IF(Ergebnisse!C28="","",Ergebnisse!C28)</f>
        <v>Atlanta</v>
      </c>
      <c r="D28" s="56" t="str">
        <f>IF(Ergebnisse!D28="","",Ergebnisse!D28)</f>
        <v>Marokko</v>
      </c>
      <c r="E28" s="40"/>
      <c r="F28" s="56" t="str">
        <f>IF(Ergebnisse!F28="","",Ergebnisse!F28)</f>
        <v>Haiti</v>
      </c>
      <c r="G28" s="55"/>
      <c r="H28" s="57">
        <v>5</v>
      </c>
      <c r="I28" s="11" t="s">
        <v>25</v>
      </c>
      <c r="J28" s="57">
        <v>3</v>
      </c>
      <c r="M28" s="38" t="s">
        <v>214</v>
      </c>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17">
        <f ca="1">IF($CX$97="",IF(OR(Ergebnisse!H28="",Ergebnisse!J28=""),0,IF(AND(H28=Ergebnisse!H28,J28=Ergebnisse!J28),7,MIN(7,(H28-J28=Ergebnisse!H28-Ergebnisse!J28)*4+(AND(H28-J28&lt;&gt;Ergebnisse!H28-Ergebnisse!J28,SIGN(H28-J28)=SIGN(Ergebnisse!H28-Ergebnisse!J28)))*2+(H28=Ergebnisse!H28)+(J28=Ergebnisse!J28)))),INT(RAND()*8))</f>
        <v>0</v>
      </c>
      <c r="AY28" s="17" t="str">
        <f ca="1">IF(Ergebnisse!K28=Ergebnisse!$B$98,Ergebnisse!K28,"")</f>
        <v>ok</v>
      </c>
      <c r="AZ28" s="2"/>
      <c r="BA28" s="2">
        <f>IF(Ergebnisse!BA28="","",Ergebnisse!BA28)</f>
        <v>56</v>
      </c>
      <c r="BB28" s="6">
        <f>IF(Ergebnisse!BB28="","",Ergebnisse!BB28)</f>
        <v>46198.666666666664</v>
      </c>
      <c r="BC28" s="6" t="str">
        <f>IF(Ergebnisse!BC28="","",Ergebnisse!BC28)</f>
        <v>New York</v>
      </c>
      <c r="BD28" s="56" t="str">
        <f>IF(Ergebnisse!BD28="","",Ergebnisse!BD28)</f>
        <v>Japan</v>
      </c>
      <c r="BE28" s="40"/>
      <c r="BF28" s="56" t="str">
        <f>IF(Ergebnisse!BF28="","",Ergebnisse!BF28)</f>
        <v>Schweden</v>
      </c>
      <c r="BG28" s="55"/>
      <c r="BH28" s="57">
        <v>2</v>
      </c>
      <c r="BI28" s="11" t="s">
        <v>25</v>
      </c>
      <c r="BJ28" s="57">
        <v>1</v>
      </c>
      <c r="BM28" s="223" t="s">
        <v>215</v>
      </c>
      <c r="BY28" s="2"/>
      <c r="CX28" s="17">
        <f ca="1">IF($CX$97="",IF(OR(Ergebnisse!BH28="",Ergebnisse!BJ28=""),0,IF(AND(BH28=Ergebnisse!BH28,BJ28=Ergebnisse!BJ28),7,MIN(7,(BH28-BJ28=Ergebnisse!BH28-Ergebnisse!BJ28)*4+(AND(BH28-BJ28&lt;&gt;Ergebnisse!BH28-Ergebnisse!BJ28,SIGN(BH28-BJ28)=SIGN(Ergebnisse!BH28-Ergebnisse!BJ28)))*2+(BH28=Ergebnisse!BH28)+(BJ28=Ergebnisse!BJ28)))),INT(RAND()*8))</f>
        <v>0</v>
      </c>
      <c r="CY28" s="17" t="str">
        <f ca="1">IF(Ergebnisse!BK28=Ergebnisse!$B$98,Ergebnisse!BK28,"")</f>
        <v>ok</v>
      </c>
      <c r="DA28" s="171" t="s">
        <v>83</v>
      </c>
      <c r="DB28" s="270">
        <v>7</v>
      </c>
    </row>
    <row r="29" spans="1:106">
      <c r="D29" s="55"/>
      <c r="E29" s="55"/>
      <c r="G29" s="55"/>
      <c r="M29" s="38" t="s">
        <v>184</v>
      </c>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7">
        <f ca="1">IF($CX$97="",2*COUNTIF(Ergebnisse!$D$63:'Ergebnisse'!$F$78,M29),2*INT(RAND()*2))</f>
        <v>2</v>
      </c>
      <c r="AY29" s="17" t="str">
        <f ca="1">IF(COUNTIF(Ergebnisse!K23:'Ergebnisse'!K28,Ergebnisse!$B$98)=6,"ok","")</f>
        <v>ok</v>
      </c>
      <c r="AZ29" s="2"/>
      <c r="BE29" s="55"/>
      <c r="BF29" s="55"/>
      <c r="BG29" s="55"/>
      <c r="BM29" s="223" t="s">
        <v>218</v>
      </c>
      <c r="BY29" s="2"/>
      <c r="CX29" s="221">
        <f ca="1">IF($CX$97="",2*COUNTIF(Ergebnisse!$D$63:'Ergebnisse'!$F$78,BM29),2*INT(RAND()*2))</f>
        <v>2</v>
      </c>
      <c r="CY29" s="17" t="str">
        <f ca="1">IF(COUNTIF(Ergebnisse!BK23:'Ergebnisse'!BK28,Ergebnisse!$B$98)=6,"ok","")</f>
        <v>ok</v>
      </c>
      <c r="DA29" s="168" t="s">
        <v>76</v>
      </c>
      <c r="DB29" s="169">
        <v>4</v>
      </c>
    </row>
    <row r="30" spans="1:106" ht="6" customHeight="1">
      <c r="D30" s="55"/>
      <c r="E30" s="58"/>
      <c r="F30" s="59"/>
      <c r="G30" s="59"/>
      <c r="H30" s="55"/>
      <c r="I30" s="55"/>
      <c r="J30" s="55"/>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17"/>
      <c r="AZ30" s="2"/>
      <c r="BD30" s="55"/>
      <c r="BE30" s="58"/>
      <c r="BF30" s="59"/>
      <c r="BG30" s="59"/>
      <c r="BH30" s="55"/>
      <c r="BI30" s="55"/>
      <c r="BJ30" s="55"/>
      <c r="BY30" s="2"/>
      <c r="DA30" s="163"/>
      <c r="DB30" s="164"/>
    </row>
    <row r="31" spans="1:106">
      <c r="A31" s="10"/>
      <c r="B31" s="224" t="s">
        <v>0</v>
      </c>
      <c r="C31" s="225" t="s">
        <v>219</v>
      </c>
      <c r="D31" s="17" t="s">
        <v>2</v>
      </c>
      <c r="E31" s="14"/>
      <c r="F31" s="17"/>
      <c r="G31" s="17"/>
      <c r="H31" s="17"/>
      <c r="I31" s="19"/>
      <c r="J31" s="20"/>
      <c r="K31" s="180"/>
      <c r="L31" s="17"/>
      <c r="M31" s="35"/>
      <c r="N31" s="17"/>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10"/>
      <c r="AX31" s="224">
        <f ca="1">IF($CX$97="",2*COUNTIF(Ergebnisse!$D$63:'Ergebnisse'!$F$78,M37),2*INT(RAND()*2))</f>
        <v>2</v>
      </c>
      <c r="AY31" s="17" t="str">
        <f ca="1">IF(COUNTIF(Ergebnisse!K33:'Ergebnisse'!K38,Ergebnisse!$B$98)=6,"ok","")</f>
        <v>ok</v>
      </c>
      <c r="AZ31" s="10"/>
      <c r="BA31" s="10"/>
      <c r="BB31" s="226" t="s">
        <v>0</v>
      </c>
      <c r="BC31" s="227" t="s">
        <v>220</v>
      </c>
      <c r="BD31" s="17" t="s">
        <v>2</v>
      </c>
      <c r="BE31" s="14"/>
      <c r="BF31" s="17"/>
      <c r="BG31" s="17"/>
      <c r="BH31" s="17"/>
      <c r="BI31" s="19"/>
      <c r="BJ31" s="20"/>
      <c r="BK31" s="180"/>
      <c r="BL31" s="17"/>
      <c r="BM31" s="35"/>
      <c r="BN31" s="17"/>
      <c r="BY31" s="2"/>
      <c r="CX31" s="226">
        <f ca="1">IF($CX$97="",2*COUNTIF(Ergebnisse!$D$63:'Ergebnisse'!$F$78,BM37),2*INT(RAND()*2))</f>
        <v>2</v>
      </c>
      <c r="CY31" s="17" t="str">
        <f ca="1">IF(COUNTIF(Ergebnisse!BK33:'Ergebnisse'!BK38,Ergebnisse!$B$98)=6,"ok","")</f>
        <v>ok</v>
      </c>
    </row>
    <row r="32" spans="1:106">
      <c r="B32" s="3" t="s">
        <v>22</v>
      </c>
      <c r="C32" s="3" t="s">
        <v>23</v>
      </c>
      <c r="L32" s="1"/>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24">
        <f ca="1">IF($CX$97="",2*COUNTIF(Ergebnisse!$D$63:'Ergebnisse'!$F$78,M38),2*INT(RAND()*2))</f>
        <v>2</v>
      </c>
      <c r="AY32" s="17" t="str">
        <f ca="1">IF(COUNTIF(Ergebnisse!K33:'Ergebnisse'!K38,Ergebnisse!$B$98)=6,"ok","")</f>
        <v>ok</v>
      </c>
      <c r="AZ32" s="2"/>
      <c r="BB32" s="3" t="s">
        <v>22</v>
      </c>
      <c r="BC32" s="3" t="s">
        <v>23</v>
      </c>
      <c r="BL32" s="1"/>
      <c r="BY32" s="2"/>
      <c r="CX32" s="226">
        <f ca="1">IF($CX$97="",2*COUNTIF(Ergebnisse!$D$63:'Ergebnisse'!$F$78,BM38),2*INT(RAND()*2))</f>
        <v>0</v>
      </c>
      <c r="CY32" s="17" t="str">
        <f ca="1">IF(COUNTIF(Ergebnisse!BK33:'Ergebnisse'!BK38,Ergebnisse!$B$98)=6,"ok","")</f>
        <v>ok</v>
      </c>
      <c r="DA32" s="170" t="s">
        <v>77</v>
      </c>
      <c r="DB32" s="166">
        <f>DB36*(DB35+2*DB33)</f>
        <v>30</v>
      </c>
    </row>
    <row r="33" spans="1:106">
      <c r="A33" s="2">
        <f>IF(Ergebnisse!A33="","",Ergebnisse!A33)</f>
        <v>16</v>
      </c>
      <c r="B33" s="6">
        <f>IF(Ergebnisse!B33="","",Ergebnisse!B33)</f>
        <v>46188.5</v>
      </c>
      <c r="C33" s="6" t="str">
        <f>IF(Ergebnisse!C33="","",Ergebnisse!C33)</f>
        <v>Seattle</v>
      </c>
      <c r="D33" s="56" t="str">
        <f>IF(Ergebnisse!D33="","",Ergebnisse!D33)</f>
        <v>Belgien</v>
      </c>
      <c r="E33" s="40"/>
      <c r="F33" s="56" t="str">
        <f>IF(Ergebnisse!F33="","",Ergebnisse!F33)</f>
        <v>Ägypten</v>
      </c>
      <c r="G33" s="53"/>
      <c r="H33" s="57">
        <v>2</v>
      </c>
      <c r="I33" s="11" t="s">
        <v>25</v>
      </c>
      <c r="J33" s="57">
        <v>1</v>
      </c>
      <c r="L33" s="1"/>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17">
        <f ca="1">IF($CX$97="",IF(OR(Ergebnisse!H33="",Ergebnisse!J33=""),0,IF(AND(H33=Ergebnisse!H33,J33=Ergebnisse!J33),7,MIN(7,(H33-J33=Ergebnisse!H33-Ergebnisse!J33)*4+(AND(H33-J33&lt;&gt;Ergebnisse!H33-Ergebnisse!J33,SIGN(H33-J33)=SIGN(Ergebnisse!H33-Ergebnisse!J33)))*2+(H33=Ergebnisse!H33)+(J33=Ergebnisse!J33)))),INT(RAND()*8))</f>
        <v>3</v>
      </c>
      <c r="AY33" s="17" t="str">
        <f ca="1">IF(Ergebnisse!K33=Ergebnisse!$B$98,Ergebnisse!K33,"")</f>
        <v>ok</v>
      </c>
      <c r="AZ33" s="2"/>
      <c r="BA33" s="2">
        <f>IF(Ergebnisse!BA33="","",Ergebnisse!BA33)</f>
        <v>17</v>
      </c>
      <c r="BB33" s="6">
        <f>IF(Ergebnisse!BB33="","",Ergebnisse!BB33)</f>
        <v>46189.625</v>
      </c>
      <c r="BC33" s="6" t="str">
        <f>IF(Ergebnisse!BC33="","",Ergebnisse!BC33)</f>
        <v>New York</v>
      </c>
      <c r="BD33" s="56" t="str">
        <f>IF(Ergebnisse!BD33="","",Ergebnisse!BD33)</f>
        <v>Argentinien</v>
      </c>
      <c r="BE33" s="40"/>
      <c r="BF33" s="56" t="str">
        <f>IF(Ergebnisse!BF33="","",Ergebnisse!BF33)</f>
        <v>Algerien</v>
      </c>
      <c r="BG33" s="53"/>
      <c r="BH33" s="57">
        <v>5</v>
      </c>
      <c r="BI33" s="11" t="s">
        <v>25</v>
      </c>
      <c r="BJ33" s="57">
        <v>5</v>
      </c>
      <c r="BL33" s="1"/>
      <c r="BY33" s="2"/>
      <c r="CX33" s="17">
        <f ca="1">IF($CX$97="",IF(OR(Ergebnisse!BH33="",Ergebnisse!BJ33=""),0,IF(AND(BH33=Ergebnisse!BH33,BJ33=Ergebnisse!BJ33),7,MIN(7,(BH33-BJ33=Ergebnisse!BH33-Ergebnisse!BJ33)*4+(AND(BH33-BJ33&lt;&gt;Ergebnisse!BH33-Ergebnisse!BJ33,SIGN(BH33-BJ33)=SIGN(Ergebnisse!BH33-Ergebnisse!BJ33)))*2+(BH33=Ergebnisse!BH33)+(BJ33=Ergebnisse!BJ33)))),INT(RAND()*8))</f>
        <v>4</v>
      </c>
      <c r="CY33" s="17" t="str">
        <f ca="1">IF(Ergebnisse!BK33=Ergebnisse!$B$98,Ergebnisse!BK33,"")</f>
        <v>ok</v>
      </c>
      <c r="DA33" s="167" t="s">
        <v>127</v>
      </c>
      <c r="DB33" s="164">
        <v>4</v>
      </c>
    </row>
    <row r="34" spans="1:106" s="10" customFormat="1">
      <c r="A34" s="2">
        <f>IF(Ergebnisse!A34="","",Ergebnisse!A34)</f>
        <v>15</v>
      </c>
      <c r="B34" s="6">
        <f>IF(Ergebnisse!B34="","",Ergebnisse!B34)</f>
        <v>46188.75</v>
      </c>
      <c r="C34" s="6" t="str">
        <f>IF(Ergebnisse!C34="","",Ergebnisse!C34)</f>
        <v>Los Angeles</v>
      </c>
      <c r="D34" s="56" t="str">
        <f>IF(Ergebnisse!D34="","",Ergebnisse!D34)</f>
        <v>IR Iran</v>
      </c>
      <c r="E34" s="40"/>
      <c r="F34" s="56" t="str">
        <f>IF(Ergebnisse!F34="","",Ergebnisse!F34)</f>
        <v>Neuseeland</v>
      </c>
      <c r="G34" s="53"/>
      <c r="H34" s="57">
        <v>5</v>
      </c>
      <c r="I34" s="11" t="s">
        <v>25</v>
      </c>
      <c r="J34" s="57">
        <v>5</v>
      </c>
      <c r="K34" s="7"/>
      <c r="L34" s="1"/>
      <c r="M34" s="9"/>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17">
        <f ca="1">IF($CX$97="",IF(OR(Ergebnisse!H34="",Ergebnisse!J34=""),0,IF(AND(H34=Ergebnisse!H34,J34=Ergebnisse!J34),7,MIN(7,(H34-J34=Ergebnisse!H34-Ergebnisse!J34)*4+(AND(H34-J34&lt;&gt;Ergebnisse!H34-Ergebnisse!J34,SIGN(H34-J34)=SIGN(Ergebnisse!H34-Ergebnisse!J34)))*2+(H34=Ergebnisse!H34)+(J34=Ergebnisse!J34)))),INT(RAND()*8))</f>
        <v>0</v>
      </c>
      <c r="AY34" s="17" t="str">
        <f ca="1">IF(Ergebnisse!K34=Ergebnisse!$B$98,Ergebnisse!K34,"")</f>
        <v>ok</v>
      </c>
      <c r="AZ34" s="2"/>
      <c r="BA34" s="2">
        <f>IF(Ergebnisse!BA34="","",Ergebnisse!BA34)</f>
        <v>18</v>
      </c>
      <c r="BB34" s="6">
        <f>IF(Ergebnisse!BB34="","",Ergebnisse!BB34)</f>
        <v>46189.75</v>
      </c>
      <c r="BC34" s="6" t="str">
        <f>IF(Ergebnisse!BC34="","",Ergebnisse!BC34)</f>
        <v>Boston</v>
      </c>
      <c r="BD34" s="56" t="str">
        <f>IF(Ergebnisse!BD34="","",Ergebnisse!BD34)</f>
        <v>Österreich</v>
      </c>
      <c r="BE34" s="40"/>
      <c r="BF34" s="56" t="str">
        <f>IF(Ergebnisse!BF34="","",Ergebnisse!BF34)</f>
        <v>Jordanien</v>
      </c>
      <c r="BG34" s="53"/>
      <c r="BH34" s="57">
        <v>3</v>
      </c>
      <c r="BI34" s="11" t="s">
        <v>25</v>
      </c>
      <c r="BJ34" s="57">
        <v>2</v>
      </c>
      <c r="BK34" s="7"/>
      <c r="BL34" s="1"/>
      <c r="BM34" s="9"/>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17">
        <f ca="1">IF($CX$97="",IF(OR(Ergebnisse!BH34="",Ergebnisse!BJ34=""),0,IF(AND(BH34=Ergebnisse!BH34,BJ34=Ergebnisse!BJ34),7,MIN(7,(BH34-BJ34=Ergebnisse!BH34-Ergebnisse!BJ34)*4+(AND(BH34-BJ34&lt;&gt;Ergebnisse!BH34-Ergebnisse!BJ34,SIGN(BH34-BJ34)=SIGN(Ergebnisse!BH34-Ergebnisse!BJ34)))*2+(BH34=Ergebnisse!BH34)+(BJ34=Ergebnisse!BJ34)))),INT(RAND()*8))</f>
        <v>0</v>
      </c>
      <c r="CY34" s="17" t="str">
        <f ca="1">IF(Ergebnisse!BK34=Ergebnisse!$B$98,Ergebnisse!BK34,"")</f>
        <v>ok</v>
      </c>
      <c r="DA34" s="167" t="s">
        <v>123</v>
      </c>
      <c r="DB34" s="164">
        <v>2</v>
      </c>
    </row>
    <row r="35" spans="1:106">
      <c r="A35" s="2">
        <f>IF(Ergebnisse!A35="","",Ergebnisse!A35)</f>
        <v>39</v>
      </c>
      <c r="B35" s="6">
        <f>IF(Ergebnisse!B35="","",Ergebnisse!B35)</f>
        <v>46194.5</v>
      </c>
      <c r="C35" s="6" t="str">
        <f>IF(Ergebnisse!C35="","",Ergebnisse!C35)</f>
        <v>Los Angeles</v>
      </c>
      <c r="D35" s="56" t="str">
        <f>IF(Ergebnisse!D35="","",Ergebnisse!D35)</f>
        <v>Belgien</v>
      </c>
      <c r="E35" s="40"/>
      <c r="F35" s="56" t="str">
        <f>IF(Ergebnisse!F35="","",Ergebnisse!F35)</f>
        <v>IR Iran</v>
      </c>
      <c r="G35" s="53"/>
      <c r="H35" s="57">
        <v>1</v>
      </c>
      <c r="I35" s="11" t="s">
        <v>25</v>
      </c>
      <c r="J35" s="57">
        <v>0</v>
      </c>
      <c r="L35" s="1"/>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17">
        <f ca="1">IF($CX$97="",IF(OR(Ergebnisse!H35="",Ergebnisse!J35=""),0,IF(AND(H35=Ergebnisse!H35,J35=Ergebnisse!J35),7,MIN(7,(H35-J35=Ergebnisse!H35-Ergebnisse!J35)*4+(AND(H35-J35&lt;&gt;Ergebnisse!H35-Ergebnisse!J35,SIGN(H35-J35)=SIGN(Ergebnisse!H35-Ergebnisse!J35)))*2+(H35=Ergebnisse!H35)+(J35=Ergebnisse!J35)))),INT(RAND()*8))</f>
        <v>0</v>
      </c>
      <c r="AY35" s="17" t="str">
        <f ca="1">IF(Ergebnisse!K35=Ergebnisse!$B$98,Ergebnisse!K35,"")</f>
        <v>ok</v>
      </c>
      <c r="AZ35" s="2"/>
      <c r="BA35" s="2">
        <f>IF(Ergebnisse!BA35="","",Ergebnisse!BA35)</f>
        <v>43</v>
      </c>
      <c r="BB35" s="6">
        <f>IF(Ergebnisse!BB35="","",Ergebnisse!BB35)</f>
        <v>46195.5</v>
      </c>
      <c r="BC35" s="6" t="str">
        <f>IF(Ergebnisse!BC35="","",Ergebnisse!BC35)</f>
        <v>Dallas</v>
      </c>
      <c r="BD35" s="56" t="str">
        <f>IF(Ergebnisse!BD35="","",Ergebnisse!BD35)</f>
        <v>Argentinien</v>
      </c>
      <c r="BE35" s="40"/>
      <c r="BF35" s="56" t="str">
        <f>IF(Ergebnisse!BF35="","",Ergebnisse!BF35)</f>
        <v>Österreich</v>
      </c>
      <c r="BG35" s="53"/>
      <c r="BH35" s="57">
        <v>5</v>
      </c>
      <c r="BI35" s="11" t="s">
        <v>25</v>
      </c>
      <c r="BJ35" s="57">
        <v>4</v>
      </c>
      <c r="BL35" s="1"/>
      <c r="BY35" s="2"/>
      <c r="CX35" s="17">
        <f ca="1">IF($CX$97="",IF(OR(Ergebnisse!BH35="",Ergebnisse!BJ35=""),0,IF(AND(BH35=Ergebnisse!BH35,BJ35=Ergebnisse!BJ35),7,MIN(7,(BH35-BJ35=Ergebnisse!BH35-Ergebnisse!BJ35)*4+(AND(BH35-BJ35&lt;&gt;Ergebnisse!BH35-Ergebnisse!BJ35,SIGN(BH35-BJ35)=SIGN(Ergebnisse!BH35-Ergebnisse!BJ35)))*2+(BH35=Ergebnisse!BH35)+(BJ35=Ergebnisse!BJ35)))),INT(RAND()*8))</f>
        <v>4</v>
      </c>
      <c r="CY35" s="17" t="str">
        <f ca="1">IF(Ergebnisse!BK35=Ergebnisse!$B$98,Ergebnisse!BK35,"")</f>
        <v>ok</v>
      </c>
      <c r="DA35" s="171" t="s">
        <v>83</v>
      </c>
      <c r="DB35" s="270">
        <v>7</v>
      </c>
    </row>
    <row r="36" spans="1:106">
      <c r="A36" s="2">
        <f>IF(Ergebnisse!A36="","",Ergebnisse!A36)</f>
        <v>40</v>
      </c>
      <c r="B36" s="6">
        <f>IF(Ergebnisse!B36="","",Ergebnisse!B36)</f>
        <v>46194.75</v>
      </c>
      <c r="C36" s="6" t="str">
        <f>IF(Ergebnisse!C36="","",Ergebnisse!C36)</f>
        <v>Vancouver</v>
      </c>
      <c r="D36" s="56" t="str">
        <f>IF(Ergebnisse!D36="","",Ergebnisse!D36)</f>
        <v>Neuseeland</v>
      </c>
      <c r="E36" s="40"/>
      <c r="F36" s="56" t="str">
        <f>IF(Ergebnisse!F36="","",Ergebnisse!F36)</f>
        <v>Ägypten</v>
      </c>
      <c r="G36" s="53"/>
      <c r="H36" s="57">
        <v>4</v>
      </c>
      <c r="I36" s="11" t="s">
        <v>25</v>
      </c>
      <c r="J36" s="57">
        <v>5</v>
      </c>
      <c r="L36" s="1"/>
      <c r="N36" s="1"/>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17">
        <f ca="1">IF($CX$97="",IF(OR(Ergebnisse!H36="",Ergebnisse!J36=""),0,IF(AND(H36=Ergebnisse!H36,J36=Ergebnisse!J36),7,MIN(7,(H36-J36=Ergebnisse!H36-Ergebnisse!J36)*4+(AND(H36-J36&lt;&gt;Ergebnisse!H36-Ergebnisse!J36,SIGN(H36-J36)=SIGN(Ergebnisse!H36-Ergebnisse!J36)))*2+(H36=Ergebnisse!H36)+(J36=Ergebnisse!J36)))),INT(RAND()*8))</f>
        <v>0</v>
      </c>
      <c r="AY36" s="17" t="str">
        <f ca="1">IF(Ergebnisse!K36=Ergebnisse!$B$98,Ergebnisse!K36,"")</f>
        <v>ok</v>
      </c>
      <c r="AZ36" s="2"/>
      <c r="BA36" s="2">
        <f>IF(Ergebnisse!BA36="","",Ergebnisse!BA36)</f>
        <v>44</v>
      </c>
      <c r="BB36" s="6">
        <f>IF(Ergebnisse!BB36="","",Ergebnisse!BB36)</f>
        <v>46195.833333333336</v>
      </c>
      <c r="BC36" s="6" t="str">
        <f>IF(Ergebnisse!BC36="","",Ergebnisse!BC36)</f>
        <v>San Francisco</v>
      </c>
      <c r="BD36" s="56" t="str">
        <f>IF(Ergebnisse!BD36="","",Ergebnisse!BD36)</f>
        <v>Jordanien</v>
      </c>
      <c r="BE36" s="40"/>
      <c r="BF36" s="56" t="str">
        <f>IF(Ergebnisse!BF36="","",Ergebnisse!BF36)</f>
        <v>Algerien</v>
      </c>
      <c r="BG36" s="53"/>
      <c r="BH36" s="57">
        <v>3</v>
      </c>
      <c r="BI36" s="11" t="s">
        <v>25</v>
      </c>
      <c r="BJ36" s="57">
        <v>3</v>
      </c>
      <c r="BL36" s="1"/>
      <c r="BN36" s="1"/>
      <c r="BY36" s="2"/>
      <c r="CX36" s="17">
        <f ca="1">IF($CX$97="",IF(OR(Ergebnisse!BH36="",Ergebnisse!BJ36=""),0,IF(AND(BH36=Ergebnisse!BH36,BJ36=Ergebnisse!BJ36),7,MIN(7,(BH36-BJ36=Ergebnisse!BH36-Ergebnisse!BJ36)*4+(AND(BH36-BJ36&lt;&gt;Ergebnisse!BH36-Ergebnisse!BJ36,SIGN(BH36-BJ36)=SIGN(Ergebnisse!BH36-Ergebnisse!BJ36)))*2+(BH36=Ergebnisse!BH36)+(BJ36=Ergebnisse!BJ36)))),INT(RAND()*8))</f>
        <v>0</v>
      </c>
      <c r="CY36" s="17" t="str">
        <f ca="1">IF(Ergebnisse!BK36=Ergebnisse!$B$98,Ergebnisse!BK36,"")</f>
        <v>ok</v>
      </c>
      <c r="DA36" s="168" t="s">
        <v>76</v>
      </c>
      <c r="DB36" s="169">
        <v>2</v>
      </c>
    </row>
    <row r="37" spans="1:106">
      <c r="A37" s="2">
        <f>IF(Ergebnisse!A37="","",Ergebnisse!A37)</f>
        <v>64</v>
      </c>
      <c r="B37" s="6">
        <f>IF(Ergebnisse!B37="","",Ergebnisse!B37)</f>
        <v>46199.833333333336</v>
      </c>
      <c r="C37" s="6" t="str">
        <f>IF(Ergebnisse!C37="","",Ergebnisse!C37)</f>
        <v>Vancouver</v>
      </c>
      <c r="D37" s="56" t="str">
        <f>IF(Ergebnisse!D37="","",Ergebnisse!D37)</f>
        <v>Neuseeland</v>
      </c>
      <c r="E37" s="40"/>
      <c r="F37" s="56" t="str">
        <f>IF(Ergebnisse!F37="","",Ergebnisse!F37)</f>
        <v>Belgien</v>
      </c>
      <c r="G37" s="55"/>
      <c r="H37" s="57">
        <v>0</v>
      </c>
      <c r="I37" s="11" t="s">
        <v>25</v>
      </c>
      <c r="J37" s="57">
        <v>2</v>
      </c>
      <c r="M37" s="228" t="s">
        <v>186</v>
      </c>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17">
        <f ca="1">IF($CX$97="",IF(OR(Ergebnisse!H37="",Ergebnisse!J37=""),0,IF(AND(H37=Ergebnisse!H37,J37=Ergebnisse!J37),7,MIN(7,(H37-J37=Ergebnisse!H37-Ergebnisse!J37)*4+(AND(H37-J37&lt;&gt;Ergebnisse!H37-Ergebnisse!J37,SIGN(H37-J37)=SIGN(Ergebnisse!H37-Ergebnisse!J37)))*2+(H37=Ergebnisse!H37)+(J37=Ergebnisse!J37)))),INT(RAND()*8))</f>
        <v>1</v>
      </c>
      <c r="AY37" s="17" t="str">
        <f ca="1">IF(Ergebnisse!K37=Ergebnisse!$B$98,Ergebnisse!K37,"")</f>
        <v>ok</v>
      </c>
      <c r="AZ37" s="2"/>
      <c r="BA37" s="2">
        <f>IF(Ergebnisse!BA37="","",Ergebnisse!BA37)</f>
        <v>70</v>
      </c>
      <c r="BB37" s="6">
        <f>IF(Ergebnisse!BB37="","",Ergebnisse!BB37)</f>
        <v>46200.875</v>
      </c>
      <c r="BC37" s="6" t="str">
        <f>IF(Ergebnisse!BC37="","",Ergebnisse!BC37)</f>
        <v>Dallas</v>
      </c>
      <c r="BD37" s="56" t="str">
        <f>IF(Ergebnisse!BD37="","",Ergebnisse!BD37)</f>
        <v>Jordanien</v>
      </c>
      <c r="BE37" s="40"/>
      <c r="BF37" s="56" t="str">
        <f>IF(Ergebnisse!BF37="","",Ergebnisse!BF37)</f>
        <v>Argentinien</v>
      </c>
      <c r="BG37" s="55"/>
      <c r="BH37" s="57">
        <v>2</v>
      </c>
      <c r="BI37" s="11" t="s">
        <v>25</v>
      </c>
      <c r="BJ37" s="57">
        <v>5</v>
      </c>
      <c r="BM37" s="227" t="s">
        <v>221</v>
      </c>
      <c r="BY37" s="2"/>
      <c r="CX37" s="17">
        <f ca="1">IF($CX$97="",IF(OR(Ergebnisse!BH37="",Ergebnisse!BJ37=""),0,IF(AND(BH37=Ergebnisse!BH37,BJ37=Ergebnisse!BJ37),7,MIN(7,(BH37-BJ37=Ergebnisse!BH37-Ergebnisse!BJ37)*4+(AND(BH37-BJ37&lt;&gt;Ergebnisse!BH37-Ergebnisse!BJ37,SIGN(BH37-BJ37)=SIGN(Ergebnisse!BH37-Ergebnisse!BJ37)))*2+(BH37=Ergebnisse!BH37)+(BJ37=Ergebnisse!BJ37)))),INT(RAND()*8))</f>
        <v>2</v>
      </c>
      <c r="CY37" s="17" t="str">
        <f ca="1">IF(Ergebnisse!BK37=Ergebnisse!$B$98,Ergebnisse!BK37,"")</f>
        <v>ok</v>
      </c>
    </row>
    <row r="38" spans="1:106">
      <c r="A38" s="2">
        <f>IF(Ergebnisse!A38="","",Ergebnisse!A38)</f>
        <v>63</v>
      </c>
      <c r="B38" s="6">
        <f>IF(Ergebnisse!B38="","",Ergebnisse!B38)</f>
        <v>46199.833333333336</v>
      </c>
      <c r="C38" s="6" t="str">
        <f>IF(Ergebnisse!C38="","",Ergebnisse!C38)</f>
        <v>Seattle</v>
      </c>
      <c r="D38" s="56" t="str">
        <f>IF(Ergebnisse!D38="","",Ergebnisse!D38)</f>
        <v>Ägypten</v>
      </c>
      <c r="E38" s="40"/>
      <c r="F38" s="56" t="str">
        <f>IF(Ergebnisse!F38="","",Ergebnisse!F38)</f>
        <v>IR Iran</v>
      </c>
      <c r="G38" s="55"/>
      <c r="H38" s="57">
        <v>0</v>
      </c>
      <c r="I38" s="11" t="s">
        <v>25</v>
      </c>
      <c r="J38" s="57">
        <v>1</v>
      </c>
      <c r="M38" s="228" t="s">
        <v>224</v>
      </c>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17">
        <f ca="1">IF($CX$97="",IF(OR(Ergebnisse!H38="",Ergebnisse!J38=""),0,IF(AND(H38=Ergebnisse!H38,J38=Ergebnisse!J38),7,MIN(7,(H38-J38=Ergebnisse!H38-Ergebnisse!J38)*4+(AND(H38-J38&lt;&gt;Ergebnisse!H38-Ergebnisse!J38,SIGN(H38-J38)=SIGN(Ergebnisse!H38-Ergebnisse!J38)))*2+(H38=Ergebnisse!H38)+(J38=Ergebnisse!J38)))),INT(RAND()*8))</f>
        <v>0</v>
      </c>
      <c r="AY38" s="17" t="str">
        <f ca="1">IF(Ergebnisse!K38=Ergebnisse!$B$98,Ergebnisse!K38,"")</f>
        <v>ok</v>
      </c>
      <c r="AZ38" s="2"/>
      <c r="BA38" s="2">
        <f>IF(Ergebnisse!BA38="","",Ergebnisse!BA38)</f>
        <v>69</v>
      </c>
      <c r="BB38" s="6">
        <f>IF(Ergebnisse!BB38="","",Ergebnisse!BB38)</f>
        <v>46200.875</v>
      </c>
      <c r="BC38" s="6" t="str">
        <f>IF(Ergebnisse!BC38="","",Ergebnisse!BC38)</f>
        <v>Kansas City</v>
      </c>
      <c r="BD38" s="56" t="str">
        <f>IF(Ergebnisse!BD38="","",Ergebnisse!BD38)</f>
        <v>Algerien</v>
      </c>
      <c r="BE38" s="40"/>
      <c r="BF38" s="56" t="str">
        <f>IF(Ergebnisse!BF38="","",Ergebnisse!BF38)</f>
        <v>Österreich</v>
      </c>
      <c r="BG38" s="55"/>
      <c r="BH38" s="57">
        <v>0</v>
      </c>
      <c r="BI38" s="11" t="s">
        <v>25</v>
      </c>
      <c r="BJ38" s="57">
        <v>1</v>
      </c>
      <c r="BM38" s="227" t="s">
        <v>187</v>
      </c>
      <c r="BY38" s="2"/>
      <c r="CX38" s="17">
        <f ca="1">IF($CX$97="",IF(OR(Ergebnisse!BH38="",Ergebnisse!BJ38=""),0,IF(AND(BH38=Ergebnisse!BH38,BJ38=Ergebnisse!BJ38),7,MIN(7,(BH38-BJ38=Ergebnisse!BH38-Ergebnisse!BJ38)*4+(AND(BH38-BJ38&lt;&gt;Ergebnisse!BH38-Ergebnisse!BJ38,SIGN(BH38-BJ38)=SIGN(Ergebnisse!BH38-Ergebnisse!BJ38)))*2+(BH38=Ergebnisse!BH38)+(BJ38=Ergebnisse!BJ38)))),INT(RAND()*8))</f>
        <v>2</v>
      </c>
      <c r="CY38" s="17" t="str">
        <f ca="1">IF(Ergebnisse!BK38=Ergebnisse!$B$98,Ergebnisse!BK38,"")</f>
        <v>ok</v>
      </c>
      <c r="DA38" s="165" t="s">
        <v>84</v>
      </c>
      <c r="DB38" s="166">
        <f>DB41*(DB40+2*DB39)</f>
        <v>30</v>
      </c>
    </row>
    <row r="39" spans="1:106">
      <c r="E39" s="55"/>
      <c r="F39" s="55"/>
      <c r="G39" s="55"/>
      <c r="M39" s="228" t="s">
        <v>222</v>
      </c>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24">
        <f ca="1">IF($CX$97="",2*COUNTIF(Ergebnisse!$D$63:'Ergebnisse'!$F$78,M39),2*INT(RAND()*2))</f>
        <v>0</v>
      </c>
      <c r="AY39" s="17" t="str">
        <f ca="1">IF(COUNTIF(Ergebnisse!K33:'Ergebnisse'!K38,Ergebnisse!$B$98)=6,"ok","")</f>
        <v>ok</v>
      </c>
      <c r="AZ39" s="2"/>
      <c r="BE39" s="55"/>
      <c r="BF39" s="55"/>
      <c r="BG39" s="55"/>
      <c r="BM39" s="227" t="s">
        <v>223</v>
      </c>
      <c r="BY39" s="2"/>
      <c r="CX39" s="226">
        <f ca="1">IF($CX$97="",2*COUNTIF(Ergebnisse!$D$63:'Ergebnisse'!$F$78,BM39),2*INT(RAND()*2))</f>
        <v>2</v>
      </c>
      <c r="CY39" s="17" t="str">
        <f ca="1">IF(COUNTIF(Ergebnisse!BK33:'Ergebnisse'!BK38,Ergebnisse!$B$98)=6,"ok","")</f>
        <v>ok</v>
      </c>
      <c r="DA39" s="167" t="s">
        <v>128</v>
      </c>
      <c r="DB39" s="164">
        <v>4</v>
      </c>
    </row>
    <row r="40" spans="1:106">
      <c r="D40" s="55"/>
      <c r="E40" s="58"/>
      <c r="F40" s="59"/>
      <c r="G40" s="59"/>
      <c r="H40" s="55"/>
      <c r="I40" s="55"/>
      <c r="J40" s="55"/>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17"/>
      <c r="AZ40" s="2"/>
      <c r="BD40" s="55"/>
      <c r="BE40" s="58"/>
      <c r="BF40" s="59"/>
      <c r="BG40" s="59"/>
      <c r="BH40" s="55"/>
      <c r="BI40" s="55"/>
      <c r="BJ40" s="55"/>
      <c r="BY40" s="2"/>
      <c r="DA40" s="171" t="s">
        <v>83</v>
      </c>
      <c r="DB40" s="271">
        <v>7</v>
      </c>
    </row>
    <row r="41" spans="1:106">
      <c r="A41" s="10"/>
      <c r="B41" s="229" t="s">
        <v>0</v>
      </c>
      <c r="C41" s="230" t="s">
        <v>233</v>
      </c>
      <c r="D41" s="53" t="s">
        <v>2</v>
      </c>
      <c r="E41" s="54"/>
      <c r="F41" s="53"/>
      <c r="G41" s="53"/>
      <c r="H41" s="20"/>
      <c r="I41" s="19"/>
      <c r="J41" s="20"/>
      <c r="K41" s="180"/>
      <c r="L41" s="17"/>
      <c r="M41" s="35"/>
      <c r="N41" s="17"/>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10"/>
      <c r="AX41" s="229">
        <f ca="1">IF($CX$97="",2*COUNTIF(Ergebnisse!$D$63:'Ergebnisse'!$F$78,M47),2*INT(RAND()*2))</f>
        <v>2</v>
      </c>
      <c r="AY41" s="17" t="str">
        <f ca="1">IF(COUNTIF(Ergebnisse!K43:'Ergebnisse'!K48,Ergebnisse!$B$98)=6,"ok","")</f>
        <v>ok</v>
      </c>
      <c r="AZ41" s="10"/>
      <c r="BA41" s="10"/>
      <c r="BB41" s="231" t="s">
        <v>0</v>
      </c>
      <c r="BC41" s="232" t="s">
        <v>234</v>
      </c>
      <c r="BD41" s="53" t="s">
        <v>2</v>
      </c>
      <c r="BE41" s="54"/>
      <c r="BF41" s="53"/>
      <c r="BG41" s="53"/>
      <c r="BH41" s="20"/>
      <c r="BI41" s="19"/>
      <c r="BJ41" s="20"/>
      <c r="BK41" s="180"/>
      <c r="BL41" s="17"/>
      <c r="BM41" s="35"/>
      <c r="BN41" s="17"/>
      <c r="BY41" s="2"/>
      <c r="CX41" s="231">
        <f ca="1">IF($CX$97="",2*COUNTIF(Ergebnisse!$D$63:'Ergebnisse'!$F$78,BM47),2*INT(RAND()*2))</f>
        <v>2</v>
      </c>
      <c r="CY41" s="17" t="str">
        <f ca="1">IF(COUNTIF(Ergebnisse!BK43:'Ergebnisse'!BK48,Ergebnisse!$B$98)=6,"ok","")</f>
        <v>ok</v>
      </c>
      <c r="DA41" s="168" t="s">
        <v>76</v>
      </c>
      <c r="DB41" s="169">
        <v>2</v>
      </c>
    </row>
    <row r="42" spans="1:106">
      <c r="B42" s="6" t="s">
        <v>22</v>
      </c>
      <c r="C42" s="6" t="s">
        <v>23</v>
      </c>
      <c r="D42" s="56"/>
      <c r="E42" s="40"/>
      <c r="F42" s="56"/>
      <c r="G42" s="53"/>
      <c r="H42" s="20"/>
      <c r="I42" s="19"/>
      <c r="J42" s="20"/>
      <c r="L42" s="1"/>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29">
        <f ca="1">IF($CX$97="",2*COUNTIF(Ergebnisse!$D$63:'Ergebnisse'!$F$78,M48),2*INT(RAND()*2))</f>
        <v>0</v>
      </c>
      <c r="AY42" s="17" t="str">
        <f ca="1">IF(COUNTIF(Ergebnisse!K43:'Ergebnisse'!K48,Ergebnisse!$B$98)=6,"ok","")</f>
        <v>ok</v>
      </c>
      <c r="AZ42" s="2"/>
      <c r="BB42" s="6" t="s">
        <v>22</v>
      </c>
      <c r="BC42" s="6" t="s">
        <v>23</v>
      </c>
      <c r="BD42" s="56"/>
      <c r="BE42" s="40"/>
      <c r="BF42" s="56"/>
      <c r="BG42" s="53"/>
      <c r="BH42" s="20"/>
      <c r="BI42" s="19"/>
      <c r="BJ42" s="20"/>
      <c r="BL42" s="1"/>
      <c r="BY42" s="2"/>
      <c r="CX42" s="231">
        <f ca="1">IF($CX$97="",2*COUNTIF(Ergebnisse!$D$63:'Ergebnisse'!$F$78,BM48),2*INT(RAND()*2))</f>
        <v>0</v>
      </c>
      <c r="CY42" s="17" t="str">
        <f ca="1">IF(COUNTIF(Ergebnisse!BK43:'Ergebnisse'!BK48,Ergebnisse!$B$98)=6,"ok","")</f>
        <v>ok</v>
      </c>
    </row>
    <row r="43" spans="1:106">
      <c r="A43" s="2">
        <f>IF(Ergebnisse!A43="","",Ergebnisse!A43)</f>
        <v>14</v>
      </c>
      <c r="B43" s="6">
        <f>IF(Ergebnisse!B43="","",Ergebnisse!B43)</f>
        <v>46188.5</v>
      </c>
      <c r="C43" s="6" t="str">
        <f>IF(Ergebnisse!C43="","",Ergebnisse!C43)</f>
        <v>Atlanta</v>
      </c>
      <c r="D43" s="56" t="str">
        <f>IF(Ergebnisse!D43="","",Ergebnisse!D43)</f>
        <v>Spanien</v>
      </c>
      <c r="E43" s="40"/>
      <c r="F43" s="56" t="str">
        <f>IF(Ergebnisse!F43="","",Ergebnisse!F43)</f>
        <v>Kap Verde</v>
      </c>
      <c r="G43" s="53"/>
      <c r="H43" s="57">
        <v>3</v>
      </c>
      <c r="I43" s="11" t="s">
        <v>25</v>
      </c>
      <c r="J43" s="57">
        <v>0</v>
      </c>
      <c r="L43" s="1"/>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17">
        <f ca="1">IF($CX$97="",IF(OR(Ergebnisse!H43="",Ergebnisse!J43=""),0,IF(AND(H43=Ergebnisse!H43,J43=Ergebnisse!J43),7,MIN(7,(H43-J43=Ergebnisse!H43-Ergebnisse!J43)*4+(AND(H43-J43&lt;&gt;Ergebnisse!H43-Ergebnisse!J43,SIGN(H43-J43)=SIGN(Ergebnisse!H43-Ergebnisse!J43)))*2+(H43=Ergebnisse!H43)+(J43=Ergebnisse!J43)))),INT(RAND()*8))</f>
        <v>2</v>
      </c>
      <c r="AY43" s="17" t="str">
        <f ca="1">IF(Ergebnisse!K43=Ergebnisse!$B$98,Ergebnisse!K43,"")</f>
        <v>ok</v>
      </c>
      <c r="AZ43" s="2"/>
      <c r="BA43" s="2">
        <f>IF(Ergebnisse!BA43="","",Ergebnisse!BA43)</f>
        <v>23</v>
      </c>
      <c r="BB43" s="6">
        <f>IF(Ergebnisse!BB43="","",Ergebnisse!BB43)</f>
        <v>46190.5</v>
      </c>
      <c r="BC43" s="6" t="str">
        <f>IF(Ergebnisse!BC43="","",Ergebnisse!BC43)</f>
        <v>Houston</v>
      </c>
      <c r="BD43" s="56" t="str">
        <f>IF(Ergebnisse!BD43="","",Ergebnisse!BD43)</f>
        <v>Portugal</v>
      </c>
      <c r="BE43" s="40"/>
      <c r="BF43" s="56" t="str">
        <f>IF(Ergebnisse!BF43="","",Ergebnisse!BF43)</f>
        <v>DR Kongo</v>
      </c>
      <c r="BG43" s="53"/>
      <c r="BH43" s="57">
        <v>5</v>
      </c>
      <c r="BI43" s="11" t="s">
        <v>25</v>
      </c>
      <c r="BJ43" s="57">
        <v>4</v>
      </c>
      <c r="BL43" s="1"/>
      <c r="BY43" s="2"/>
      <c r="CX43" s="17">
        <f ca="1">IF($CX$97="",IF(OR(Ergebnisse!BH43="",Ergebnisse!BJ43=""),0,IF(AND(BH43=Ergebnisse!BH43,BJ43=Ergebnisse!BJ43),7,MIN(7,(BH43-BJ43=Ergebnisse!BH43-Ergebnisse!BJ43)*4+(AND(BH43-BJ43&lt;&gt;Ergebnisse!BH43-Ergebnisse!BJ43,SIGN(BH43-BJ43)=SIGN(Ergebnisse!BH43-Ergebnisse!BJ43)))*2+(BH43=Ergebnisse!BH43)+(BJ43=Ergebnisse!BJ43)))),INT(RAND()*8))</f>
        <v>2</v>
      </c>
      <c r="CY43" s="17" t="str">
        <f ca="1">IF(Ergebnisse!BK43=Ergebnisse!$B$98,Ergebnisse!BK43,"")</f>
        <v>ok</v>
      </c>
      <c r="DA43" s="165" t="s">
        <v>63</v>
      </c>
      <c r="DB43" s="272">
        <v>24</v>
      </c>
    </row>
    <row r="44" spans="1:106">
      <c r="A44" s="2">
        <f>IF(Ergebnisse!A44="","",Ergebnisse!A44)</f>
        <v>13</v>
      </c>
      <c r="B44" s="6">
        <f>IF(Ergebnisse!B44="","",Ergebnisse!B44)</f>
        <v>46188.75</v>
      </c>
      <c r="C44" s="6" t="str">
        <f>IF(Ergebnisse!C44="","",Ergebnisse!C44)</f>
        <v>Miami</v>
      </c>
      <c r="D44" s="56" t="str">
        <f>IF(Ergebnisse!D44="","",Ergebnisse!D44)</f>
        <v>Saudiarabien</v>
      </c>
      <c r="E44" s="40"/>
      <c r="F44" s="56" t="str">
        <f>IF(Ergebnisse!F44="","",Ergebnisse!F44)</f>
        <v>Uruguay</v>
      </c>
      <c r="G44" s="53"/>
      <c r="H44" s="57">
        <v>4</v>
      </c>
      <c r="I44" s="11" t="s">
        <v>25</v>
      </c>
      <c r="J44" s="57">
        <v>4</v>
      </c>
      <c r="L44" s="1"/>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17">
        <f ca="1">IF($CX$97="",IF(OR(Ergebnisse!H44="",Ergebnisse!J44=""),0,IF(AND(H44=Ergebnisse!H44,J44=Ergebnisse!J44),7,MIN(7,(H44-J44=Ergebnisse!H44-Ergebnisse!J44)*4+(AND(H44-J44&lt;&gt;Ergebnisse!H44-Ergebnisse!J44,SIGN(H44-J44)=SIGN(Ergebnisse!H44-Ergebnisse!J44)))*2+(H44=Ergebnisse!H44)+(J44=Ergebnisse!J44)))),INT(RAND()*8))</f>
        <v>0</v>
      </c>
      <c r="AY44" s="17" t="str">
        <f ca="1">IF(Ergebnisse!K44=Ergebnisse!$B$98,Ergebnisse!K44,"")</f>
        <v>ok</v>
      </c>
      <c r="AZ44" s="2"/>
      <c r="BA44" s="2">
        <f>IF(Ergebnisse!BA44="","",Ergebnisse!BA44)</f>
        <v>24</v>
      </c>
      <c r="BB44" s="6">
        <f>IF(Ergebnisse!BB44="","",Ergebnisse!BB44)</f>
        <v>46190.875</v>
      </c>
      <c r="BC44" s="6" t="str">
        <f>IF(Ergebnisse!BC44="","",Ergebnisse!BC44)</f>
        <v>Mexico City</v>
      </c>
      <c r="BD44" s="56" t="str">
        <f>IF(Ergebnisse!BD44="","",Ergebnisse!BD44)</f>
        <v>Usbekistan</v>
      </c>
      <c r="BE44" s="40"/>
      <c r="BF44" s="56" t="str">
        <f>IF(Ergebnisse!BF44="","",Ergebnisse!BF44)</f>
        <v>Kolumbien</v>
      </c>
      <c r="BG44" s="53"/>
      <c r="BH44" s="57">
        <v>4</v>
      </c>
      <c r="BI44" s="11" t="s">
        <v>25</v>
      </c>
      <c r="BJ44" s="57">
        <v>4</v>
      </c>
      <c r="BL44" s="1"/>
      <c r="BY44" s="2"/>
      <c r="CX44" s="17">
        <f ca="1">IF($CX$97="",IF(OR(Ergebnisse!BH44="",Ergebnisse!BJ44=""),0,IF(AND(BH44=Ergebnisse!BH44,BJ44=Ergebnisse!BJ44),7,MIN(7,(BH44-BJ44=Ergebnisse!BH44-Ergebnisse!BJ44)*4+(AND(BH44-BJ44&lt;&gt;Ergebnisse!BH44-Ergebnisse!BJ44,SIGN(BH44-BJ44)=SIGN(Ergebnisse!BH44-Ergebnisse!BJ44)))*2+(BH44=Ergebnisse!BH44)+(BJ44=Ergebnisse!BJ44)))),INT(RAND()*8))</f>
        <v>0</v>
      </c>
      <c r="CY44" s="17" t="str">
        <f ca="1">IF(Ergebnisse!BK44=Ergebnisse!$B$98,Ergebnisse!BK44,"")</f>
        <v>ok</v>
      </c>
    </row>
    <row r="45" spans="1:106">
      <c r="A45" s="2">
        <f>IF(Ergebnisse!A45="","",Ergebnisse!A45)</f>
        <v>38</v>
      </c>
      <c r="B45" s="6">
        <f>IF(Ergebnisse!B45="","",Ergebnisse!B45)</f>
        <v>46194.5</v>
      </c>
      <c r="C45" s="6" t="str">
        <f>IF(Ergebnisse!C45="","",Ergebnisse!C45)</f>
        <v>Atlanta</v>
      </c>
      <c r="D45" s="56" t="str">
        <f>IF(Ergebnisse!D45="","",Ergebnisse!D45)</f>
        <v>Spanien</v>
      </c>
      <c r="E45" s="40"/>
      <c r="F45" s="56" t="str">
        <f>IF(Ergebnisse!F45="","",Ergebnisse!F45)</f>
        <v>Saudiarabien</v>
      </c>
      <c r="G45" s="53"/>
      <c r="H45" s="57">
        <v>4</v>
      </c>
      <c r="I45" s="11" t="s">
        <v>25</v>
      </c>
      <c r="J45" s="57">
        <v>2</v>
      </c>
      <c r="L45" s="1"/>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17">
        <f ca="1">IF($CX$97="",IF(OR(Ergebnisse!H45="",Ergebnisse!J45=""),0,IF(AND(H45=Ergebnisse!H45,J45=Ergebnisse!J45),7,MIN(7,(H45-J45=Ergebnisse!H45-Ergebnisse!J45)*4+(AND(H45-J45&lt;&gt;Ergebnisse!H45-Ergebnisse!J45,SIGN(H45-J45)=SIGN(Ergebnisse!H45-Ergebnisse!J45)))*2+(H45=Ergebnisse!H45)+(J45=Ergebnisse!J45)))),INT(RAND()*8))</f>
        <v>0</v>
      </c>
      <c r="AY45" s="17" t="str">
        <f ca="1">IF(Ergebnisse!K45=Ergebnisse!$B$98,Ergebnisse!K45,"")</f>
        <v>ok</v>
      </c>
      <c r="AZ45" s="2"/>
      <c r="BA45" s="2">
        <f>IF(Ergebnisse!BA45="","",Ergebnisse!BA45)</f>
        <v>47</v>
      </c>
      <c r="BB45" s="6">
        <f>IF(Ergebnisse!BB45="","",Ergebnisse!BB45)</f>
        <v>46196.5</v>
      </c>
      <c r="BC45" s="6" t="str">
        <f>IF(Ergebnisse!BC45="","",Ergebnisse!BC45)</f>
        <v>Houston</v>
      </c>
      <c r="BD45" s="56" t="str">
        <f>IF(Ergebnisse!BD45="","",Ergebnisse!BD45)</f>
        <v>Portugal</v>
      </c>
      <c r="BE45" s="40"/>
      <c r="BF45" s="56" t="str">
        <f>IF(Ergebnisse!BF45="","",Ergebnisse!BF45)</f>
        <v>Usbekistan</v>
      </c>
      <c r="BG45" s="53"/>
      <c r="BH45" s="57">
        <v>5</v>
      </c>
      <c r="BI45" s="11" t="s">
        <v>25</v>
      </c>
      <c r="BJ45" s="57">
        <v>4</v>
      </c>
      <c r="BL45" s="1"/>
      <c r="BY45" s="2"/>
      <c r="CX45" s="17">
        <f ca="1">IF($CX$97="",IF(OR(Ergebnisse!BH45="",Ergebnisse!BJ45=""),0,IF(AND(BH45=Ergebnisse!BH45,BJ45=Ergebnisse!BJ45),7,MIN(7,(BH45-BJ45=Ergebnisse!BH45-Ergebnisse!BJ45)*4+(AND(BH45-BJ45&lt;&gt;Ergebnisse!BH45-Ergebnisse!BJ45,SIGN(BH45-BJ45)=SIGN(Ergebnisse!BH45-Ergebnisse!BJ45)))*2+(BH45=Ergebnisse!BH45)+(BJ45=Ergebnisse!BJ45)))),INT(RAND()*8))</f>
        <v>0</v>
      </c>
      <c r="CY45" s="17" t="str">
        <f ca="1">IF(Ergebnisse!BK45=Ergebnisse!$B$98,Ergebnisse!BK45,"")</f>
        <v>ok</v>
      </c>
      <c r="DA45" s="165" t="s">
        <v>180</v>
      </c>
      <c r="DB45" s="186">
        <f>DB47*(2*DB46)</f>
        <v>64</v>
      </c>
    </row>
    <row r="46" spans="1:106">
      <c r="A46" s="2">
        <f>IF(Ergebnisse!A46="","",Ergebnisse!A46)</f>
        <v>37</v>
      </c>
      <c r="B46" s="6">
        <f>IF(Ergebnisse!B46="","",Ergebnisse!B46)</f>
        <v>46194.75</v>
      </c>
      <c r="C46" s="6" t="str">
        <f>IF(Ergebnisse!C46="","",Ergebnisse!C46)</f>
        <v>Miami</v>
      </c>
      <c r="D46" s="56" t="str">
        <f>IF(Ergebnisse!D46="","",Ergebnisse!D46)</f>
        <v>Uruguay</v>
      </c>
      <c r="E46" s="40"/>
      <c r="F46" s="56" t="str">
        <f>IF(Ergebnisse!F46="","",Ergebnisse!F46)</f>
        <v>Kap Verde</v>
      </c>
      <c r="G46" s="53"/>
      <c r="H46" s="57">
        <v>5</v>
      </c>
      <c r="I46" s="11" t="s">
        <v>25</v>
      </c>
      <c r="J46" s="57">
        <v>5</v>
      </c>
      <c r="L46" s="1"/>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17">
        <f ca="1">IF($CX$97="",IF(OR(Ergebnisse!H46="",Ergebnisse!J46=""),0,IF(AND(H46=Ergebnisse!H46,J46=Ergebnisse!J46),7,MIN(7,(H46-J46=Ergebnisse!H46-Ergebnisse!J46)*4+(AND(H46-J46&lt;&gt;Ergebnisse!H46-Ergebnisse!J46,SIGN(H46-J46)=SIGN(Ergebnisse!H46-Ergebnisse!J46)))*2+(H46=Ergebnisse!H46)+(J46=Ergebnisse!J46)))),INT(RAND()*8))</f>
        <v>1</v>
      </c>
      <c r="AY46" s="17" t="str">
        <f ca="1">IF(Ergebnisse!K46=Ergebnisse!$B$98,Ergebnisse!K46,"")</f>
        <v>ok</v>
      </c>
      <c r="AZ46" s="2"/>
      <c r="BA46" s="2">
        <f>IF(Ergebnisse!BA46="","",Ergebnisse!BA46)</f>
        <v>48</v>
      </c>
      <c r="BB46" s="6">
        <f>IF(Ergebnisse!BB46="","",Ergebnisse!BB46)</f>
        <v>46196.875</v>
      </c>
      <c r="BC46" s="6" t="str">
        <f>IF(Ergebnisse!BC46="","",Ergebnisse!BC46)</f>
        <v>Guadalajara</v>
      </c>
      <c r="BD46" s="56" t="str">
        <f>IF(Ergebnisse!BD46="","",Ergebnisse!BD46)</f>
        <v>Kolumbien</v>
      </c>
      <c r="BE46" s="40"/>
      <c r="BF46" s="56" t="str">
        <f>IF(Ergebnisse!BF46="","",Ergebnisse!BF46)</f>
        <v>DR Kongo</v>
      </c>
      <c r="BG46" s="53"/>
      <c r="BH46" s="57">
        <v>3</v>
      </c>
      <c r="BI46" s="11" t="s">
        <v>25</v>
      </c>
      <c r="BJ46" s="57">
        <v>2</v>
      </c>
      <c r="BL46" s="1"/>
      <c r="BY46" s="2"/>
      <c r="CX46" s="17">
        <f ca="1">IF($CX$97="",IF(OR(Ergebnisse!BH46="",Ergebnisse!BJ46=""),0,IF(AND(BH46=Ergebnisse!BH46,BJ46=Ergebnisse!BJ46),7,MIN(7,(BH46-BJ46=Ergebnisse!BH46-Ergebnisse!BJ46)*4+(AND(BH46-BJ46&lt;&gt;Ergebnisse!BH46-Ergebnisse!BJ46,SIGN(BH46-BJ46)=SIGN(Ergebnisse!BH46-Ergebnisse!BJ46)))*2+(BH46=Ergebnisse!BH46)+(BJ46=Ergebnisse!BJ46)))),INT(RAND()*8))</f>
        <v>0</v>
      </c>
      <c r="CY46" s="17" t="str">
        <f ca="1">IF(Ergebnisse!BK46=Ergebnisse!$B$98,Ergebnisse!BK46,"")</f>
        <v>ok</v>
      </c>
      <c r="DA46" s="167" t="s">
        <v>181</v>
      </c>
      <c r="DB46" s="270">
        <v>1</v>
      </c>
    </row>
    <row r="47" spans="1:106">
      <c r="A47" s="2">
        <f>IF(Ergebnisse!A47="","",Ergebnisse!A47)</f>
        <v>66</v>
      </c>
      <c r="B47" s="6">
        <f>IF(Ergebnisse!B47="","",Ergebnisse!B47)</f>
        <v>46199.791666666672</v>
      </c>
      <c r="C47" s="6" t="str">
        <f>IF(Ergebnisse!C47="","",Ergebnisse!C47)</f>
        <v>Guadalajara</v>
      </c>
      <c r="D47" s="56" t="str">
        <f>IF(Ergebnisse!D47="","",Ergebnisse!D47)</f>
        <v>Uruguay</v>
      </c>
      <c r="E47" s="40"/>
      <c r="F47" s="56" t="str">
        <f>IF(Ergebnisse!F47="","",Ergebnisse!F47)</f>
        <v>Spanien</v>
      </c>
      <c r="G47" s="53"/>
      <c r="H47" s="57">
        <v>3</v>
      </c>
      <c r="I47" s="11" t="s">
        <v>25</v>
      </c>
      <c r="J47" s="57">
        <v>4</v>
      </c>
      <c r="L47" s="1"/>
      <c r="M47" s="233" t="s">
        <v>66</v>
      </c>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17">
        <f ca="1">IF($CX$97="",IF(OR(Ergebnisse!H47="",Ergebnisse!J47=""),0,IF(AND(H47=Ergebnisse!H47,J47=Ergebnisse!J47),7,MIN(7,(H47-J47=Ergebnisse!H47-Ergebnisse!J47)*4+(AND(H47-J47&lt;&gt;Ergebnisse!H47-Ergebnisse!J47,SIGN(H47-J47)=SIGN(Ergebnisse!H47-Ergebnisse!J47)))*2+(H47=Ergebnisse!H47)+(J47=Ergebnisse!J47)))),INT(RAND()*8))</f>
        <v>1</v>
      </c>
      <c r="AY47" s="17" t="str">
        <f ca="1">IF(Ergebnisse!K47=Ergebnisse!$B$98,Ergebnisse!K47,"")</f>
        <v>ok</v>
      </c>
      <c r="AZ47" s="2"/>
      <c r="BA47" s="2">
        <f>IF(Ergebnisse!BA47="","",Ergebnisse!BA47)</f>
        <v>72</v>
      </c>
      <c r="BB47" s="6">
        <f>IF(Ergebnisse!BB47="","",Ergebnisse!BB47)</f>
        <v>46200.8125</v>
      </c>
      <c r="BC47" s="6" t="str">
        <f>IF(Ergebnisse!BC47="","",Ergebnisse!BC47)</f>
        <v>Atlanta</v>
      </c>
      <c r="BD47" s="56" t="str">
        <f>IF(Ergebnisse!BD47="","",Ergebnisse!BD47)</f>
        <v>Kolumbien</v>
      </c>
      <c r="BE47" s="40"/>
      <c r="BF47" s="56" t="str">
        <f>IF(Ergebnisse!BF47="","",Ergebnisse!BF47)</f>
        <v>Portugal</v>
      </c>
      <c r="BG47" s="53"/>
      <c r="BH47" s="57">
        <v>1</v>
      </c>
      <c r="BI47" s="11" t="s">
        <v>25</v>
      </c>
      <c r="BJ47" s="57">
        <v>2</v>
      </c>
      <c r="BL47" s="1"/>
      <c r="BM47" s="232" t="s">
        <v>190</v>
      </c>
      <c r="BY47" s="2"/>
      <c r="CX47" s="17">
        <f ca="1">IF($CX$97="",IF(OR(Ergebnisse!BH47="",Ergebnisse!BJ47=""),0,IF(AND(BH47=Ergebnisse!BH47,BJ47=Ergebnisse!BJ47),7,MIN(7,(BH47-BJ47=Ergebnisse!BH47-Ergebnisse!BJ47)*4+(AND(BH47-BJ47&lt;&gt;Ergebnisse!BH47-Ergebnisse!BJ47,SIGN(BH47-BJ47)=SIGN(Ergebnisse!BH47-Ergebnisse!BJ47)))*2+(BH47=Ergebnisse!BH47)+(BJ47=Ergebnisse!BJ47)))),INT(RAND()*8))</f>
        <v>2</v>
      </c>
      <c r="CY47" s="17" t="str">
        <f ca="1">IF(Ergebnisse!BK47=Ergebnisse!$B$98,Ergebnisse!BK47,"")</f>
        <v>ok</v>
      </c>
      <c r="CZ47" s="55"/>
      <c r="DA47" s="168" t="s">
        <v>182</v>
      </c>
      <c r="DB47" s="188">
        <v>32</v>
      </c>
    </row>
    <row r="48" spans="1:106">
      <c r="A48" s="2">
        <f>IF(Ergebnisse!A48="","",Ergebnisse!A48)</f>
        <v>65</v>
      </c>
      <c r="B48" s="6">
        <f>IF(Ergebnisse!B48="","",Ergebnisse!B48)</f>
        <v>46199.791666666672</v>
      </c>
      <c r="C48" s="6" t="str">
        <f>IF(Ergebnisse!C48="","",Ergebnisse!C48)</f>
        <v>Houston</v>
      </c>
      <c r="D48" s="56" t="str">
        <f>IF(Ergebnisse!D48="","",Ergebnisse!D48)</f>
        <v>Kap Verde</v>
      </c>
      <c r="E48" s="40"/>
      <c r="F48" s="56" t="str">
        <f>IF(Ergebnisse!F48="","",Ergebnisse!F48)</f>
        <v>Saudiarabien</v>
      </c>
      <c r="G48" s="53"/>
      <c r="H48" s="57">
        <v>0</v>
      </c>
      <c r="I48" s="11" t="s">
        <v>25</v>
      </c>
      <c r="J48" s="57">
        <v>1</v>
      </c>
      <c r="L48" s="1"/>
      <c r="M48" s="233" t="s">
        <v>237</v>
      </c>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17">
        <f ca="1">IF($CX$97="",IF(OR(Ergebnisse!H48="",Ergebnisse!J48=""),0,IF(AND(H48=Ergebnisse!H48,J48=Ergebnisse!J48),7,MIN(7,(H48-J48=Ergebnisse!H48-Ergebnisse!J48)*4+(AND(H48-J48&lt;&gt;Ergebnisse!H48-Ergebnisse!J48,SIGN(H48-J48)=SIGN(Ergebnisse!H48-Ergebnisse!J48)))*2+(H48=Ergebnisse!H48)+(J48=Ergebnisse!J48)))),INT(RAND()*8))</f>
        <v>0</v>
      </c>
      <c r="AY48" s="17" t="str">
        <f ca="1">IF(Ergebnisse!K48=Ergebnisse!$B$98,Ergebnisse!K48,"")</f>
        <v>ok</v>
      </c>
      <c r="AZ48" s="2"/>
      <c r="BA48" s="2">
        <f>IF(Ergebnisse!BA48="","",Ergebnisse!BA48)</f>
        <v>71</v>
      </c>
      <c r="BB48" s="6">
        <f>IF(Ergebnisse!BB48="","",Ergebnisse!BB48)</f>
        <v>46200.8125</v>
      </c>
      <c r="BC48" s="6" t="str">
        <f>IF(Ergebnisse!BC48="","",Ergebnisse!BC48)</f>
        <v>Miami</v>
      </c>
      <c r="BD48" s="56" t="str">
        <f>IF(Ergebnisse!BD48="","",Ergebnisse!BD48)</f>
        <v>DR Kongo</v>
      </c>
      <c r="BE48" s="40"/>
      <c r="BF48" s="56" t="str">
        <f>IF(Ergebnisse!BF48="","",Ergebnisse!BF48)</f>
        <v>Usbekistan</v>
      </c>
      <c r="BG48" s="53"/>
      <c r="BH48" s="57">
        <v>1</v>
      </c>
      <c r="BI48" s="11" t="s">
        <v>25</v>
      </c>
      <c r="BJ48" s="57">
        <v>1</v>
      </c>
      <c r="BL48" s="1"/>
      <c r="BM48" s="232" t="s">
        <v>240</v>
      </c>
      <c r="BY48" s="2"/>
      <c r="CX48" s="17">
        <f ca="1">IF($CX$97="",IF(OR(Ergebnisse!BH48="",Ergebnisse!BJ48=""),0,IF(AND(BH48=Ergebnisse!BH48,BJ48=Ergebnisse!BJ48),7,MIN(7,(BH48-BJ48=Ergebnisse!BH48-Ergebnisse!BJ48)*4+(AND(BH48-BJ48&lt;&gt;Ergebnisse!BH48-Ergebnisse!BJ48,SIGN(BH48-BJ48)=SIGN(Ergebnisse!BH48-Ergebnisse!BJ48)))*2+(BH48=Ergebnisse!BH48)+(BJ48=Ergebnisse!BJ48)))),INT(RAND()*8))</f>
        <v>1</v>
      </c>
      <c r="CY48" s="17" t="str">
        <f ca="1">IF(Ergebnisse!BK48=Ergebnisse!$B$98,Ergebnisse!BK48,"")</f>
        <v>ok</v>
      </c>
      <c r="CZ48" s="55"/>
      <c r="DA48" s="163"/>
      <c r="DB48" s="187"/>
    </row>
    <row r="49" spans="1:106">
      <c r="E49" s="55"/>
      <c r="F49" s="55"/>
      <c r="G49" s="55"/>
      <c r="M49" s="233" t="s">
        <v>239</v>
      </c>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29">
        <f ca="1">IF($CX$97="",2*COUNTIF(Ergebnisse!$D$63:'Ergebnisse'!$F$78,M49),2*INT(RAND()*2))</f>
        <v>2</v>
      </c>
      <c r="AY49" s="17" t="str">
        <f ca="1">IF(COUNTIF(Ergebnisse!K43:'Ergebnisse'!K48,Ergebnisse!$B$98)=6,"ok","")</f>
        <v>ok</v>
      </c>
      <c r="AZ49" s="2"/>
      <c r="BE49" s="55"/>
      <c r="BF49" s="55"/>
      <c r="BG49" s="55"/>
      <c r="BM49" s="232" t="s">
        <v>238</v>
      </c>
      <c r="BY49" s="2"/>
      <c r="CX49" s="231">
        <f ca="1">IF($CX$97="",2*COUNTIF(Ergebnisse!$D$63:'Ergebnisse'!$F$78,BM49),2*INT(RAND()*2))</f>
        <v>2</v>
      </c>
      <c r="CY49" s="17" t="str">
        <f ca="1">IF(COUNTIF(Ergebnisse!BK43:'Ergebnisse'!BK48,Ergebnisse!$B$98)=6,"ok","")</f>
        <v>ok</v>
      </c>
      <c r="CZ49" s="55"/>
      <c r="DA49" s="165" t="s">
        <v>74</v>
      </c>
      <c r="DB49" s="186">
        <f>DB3+DB9+DB14+DB19+DB25+DB32+DB38+DB43+DB45</f>
        <v>1000</v>
      </c>
    </row>
    <row r="50" spans="1:106">
      <c r="D50" s="55"/>
      <c r="E50" s="58"/>
      <c r="F50" s="59"/>
      <c r="G50" s="59"/>
      <c r="H50" s="55"/>
      <c r="I50" s="55"/>
      <c r="J50" s="55"/>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Z50" s="2"/>
      <c r="BD50" s="55"/>
      <c r="BE50" s="58"/>
      <c r="BF50" s="59"/>
      <c r="BG50" s="59"/>
      <c r="BH50" s="55"/>
      <c r="BI50" s="55"/>
      <c r="BJ50" s="55"/>
      <c r="BY50" s="2"/>
      <c r="CX50" s="1"/>
      <c r="CZ50" s="55"/>
    </row>
    <row r="51" spans="1:106">
      <c r="A51" s="10"/>
      <c r="B51" s="234" t="s">
        <v>0</v>
      </c>
      <c r="C51" s="235" t="s">
        <v>247</v>
      </c>
      <c r="D51" s="53" t="s">
        <v>2</v>
      </c>
      <c r="E51" s="54"/>
      <c r="F51" s="53"/>
      <c r="G51" s="53"/>
      <c r="H51" s="20"/>
      <c r="I51" s="19"/>
      <c r="J51" s="20"/>
      <c r="K51" s="180"/>
      <c r="L51" s="17"/>
      <c r="M51" s="35"/>
      <c r="N51" s="17"/>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10"/>
      <c r="AX51" s="234">
        <f ca="1">IF($CX$97="",2*COUNTIF(Ergebnisse!$D$63:'Ergebnisse'!$F$78,M57),2*INT(RAND()*2))</f>
        <v>2</v>
      </c>
      <c r="AY51" s="17" t="str">
        <f ca="1">IF(COUNTIF(Ergebnisse!K53:'Ergebnisse'!K58,Ergebnisse!$B$98)=6,"ok","")</f>
        <v>ok</v>
      </c>
      <c r="AZ51" s="10"/>
      <c r="BA51" s="10"/>
      <c r="BB51" s="236" t="s">
        <v>0</v>
      </c>
      <c r="BC51" s="237" t="s">
        <v>248</v>
      </c>
      <c r="BD51" s="53" t="s">
        <v>2</v>
      </c>
      <c r="BE51" s="54"/>
      <c r="BF51" s="53"/>
      <c r="BG51" s="53"/>
      <c r="BH51" s="20"/>
      <c r="BI51" s="19"/>
      <c r="BJ51" s="20"/>
      <c r="BK51" s="180"/>
      <c r="BL51" s="17"/>
      <c r="BM51" s="35"/>
      <c r="BN51" s="17"/>
      <c r="BY51" s="2"/>
      <c r="CX51" s="236">
        <f ca="1">IF($CX$97="",2*COUNTIF(Ergebnisse!$D$63:'Ergebnisse'!$F$78,BM57),2*INT(RAND()*2))</f>
        <v>0</v>
      </c>
      <c r="CY51" s="17" t="str">
        <f ca="1">IF(COUNTIF(Ergebnisse!BK53:'Ergebnisse'!BK58,Ergebnisse!$B$98)=6,"ok","")</f>
        <v>ok</v>
      </c>
      <c r="CZ51" s="55"/>
    </row>
    <row r="52" spans="1:106">
      <c r="B52" s="3" t="s">
        <v>22</v>
      </c>
      <c r="C52" s="3" t="s">
        <v>23</v>
      </c>
      <c r="D52" s="55"/>
      <c r="E52" s="55"/>
      <c r="F52" s="55"/>
      <c r="G52" s="55"/>
      <c r="L52" s="1"/>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34">
        <f ca="1">IF($CX$97="",2*COUNTIF(Ergebnisse!$D$63:'Ergebnisse'!$F$78,M58),2*INT(RAND()*2))</f>
        <v>2</v>
      </c>
      <c r="AY52" s="17" t="str">
        <f ca="1">IF(COUNTIF(Ergebnisse!K53:'Ergebnisse'!K58,Ergebnisse!$B$98)=6,"ok","")</f>
        <v>ok</v>
      </c>
      <c r="AZ52" s="2"/>
      <c r="BB52" s="3" t="s">
        <v>22</v>
      </c>
      <c r="BC52" s="3" t="s">
        <v>23</v>
      </c>
      <c r="BD52" s="55"/>
      <c r="BE52" s="55"/>
      <c r="BF52" s="55"/>
      <c r="BG52" s="55"/>
      <c r="BL52" s="1"/>
      <c r="BY52" s="2"/>
      <c r="CX52" s="236">
        <f ca="1">IF($CX$97="",2*COUNTIF(Ergebnisse!$D$63:'Ergebnisse'!$F$78,BM58),2*INT(RAND()*2))</f>
        <v>2</v>
      </c>
      <c r="CY52" s="17" t="str">
        <f ca="1">IF(COUNTIF(Ergebnisse!BK53:'Ergebnisse'!BK58,Ergebnisse!$B$98)=6,"ok","")</f>
        <v>ok</v>
      </c>
      <c r="CZ52" s="55"/>
      <c r="DA52" s="2" t="s">
        <v>456</v>
      </c>
    </row>
    <row r="53" spans="1:106">
      <c r="A53" s="2">
        <f>IF(Ergebnisse!A53="","",Ergebnisse!A53)</f>
        <v>17</v>
      </c>
      <c r="B53" s="6">
        <f>IF(Ergebnisse!B53="","",Ergebnisse!B53)</f>
        <v>46189.625</v>
      </c>
      <c r="C53" s="6" t="str">
        <f>IF(Ergebnisse!C53="","",Ergebnisse!C53)</f>
        <v>New York</v>
      </c>
      <c r="D53" s="56" t="str">
        <f>IF(Ergebnisse!D53="","",Ergebnisse!D53)</f>
        <v>Frankreich</v>
      </c>
      <c r="E53" s="40"/>
      <c r="F53" s="56" t="str">
        <f>IF(Ergebnisse!F53="","",Ergebnisse!F53)</f>
        <v>Senegal</v>
      </c>
      <c r="G53" s="53"/>
      <c r="H53" s="57">
        <v>3</v>
      </c>
      <c r="I53" s="11" t="s">
        <v>25</v>
      </c>
      <c r="J53" s="57">
        <v>2</v>
      </c>
      <c r="L53" s="1"/>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17">
        <f ca="1">IF($CX$97="",IF(OR(Ergebnisse!H53="",Ergebnisse!J53=""),0,IF(AND(H53=Ergebnisse!H53,J53=Ergebnisse!J53),7,MIN(7,(H53-J53=Ergebnisse!H53-Ergebnisse!J53)*4+(AND(H53-J53&lt;&gt;Ergebnisse!H53-Ergebnisse!J53,SIGN(H53-J53)=SIGN(Ergebnisse!H53-Ergebnisse!J53)))*2+(H53=Ergebnisse!H53)+(J53=Ergebnisse!J53)))),INT(RAND()*8))</f>
        <v>4</v>
      </c>
      <c r="AY53" s="17" t="str">
        <f ca="1">IF(Ergebnisse!K53=Ergebnisse!$B$98,Ergebnisse!K53,"")</f>
        <v>ok</v>
      </c>
      <c r="AZ53" s="2"/>
      <c r="BA53" s="2">
        <f>IF(Ergebnisse!BA53="","",Ergebnisse!BA53)</f>
        <v>22</v>
      </c>
      <c r="BB53" s="6">
        <f>IF(Ergebnisse!BB53="","",Ergebnisse!BB53)</f>
        <v>46190.625</v>
      </c>
      <c r="BC53" s="6" t="str">
        <f>IF(Ergebnisse!BC53="","",Ergebnisse!BC53)</f>
        <v>Dallas</v>
      </c>
      <c r="BD53" s="56" t="str">
        <f>IF(Ergebnisse!BD53="","",Ergebnisse!BD53)</f>
        <v>England</v>
      </c>
      <c r="BE53" s="40"/>
      <c r="BF53" s="56" t="str">
        <f>IF(Ergebnisse!BF53="","",Ergebnisse!BF53)</f>
        <v>Kroatien</v>
      </c>
      <c r="BG53" s="53"/>
      <c r="BH53" s="57">
        <v>1</v>
      </c>
      <c r="BI53" s="11" t="s">
        <v>25</v>
      </c>
      <c r="BJ53" s="57">
        <v>0</v>
      </c>
      <c r="BL53" s="1"/>
      <c r="BY53" s="2"/>
      <c r="CX53" s="17">
        <f ca="1">IF($CX$97="",IF(OR(Ergebnisse!BH53="",Ergebnisse!BJ53=""),0,IF(AND(BH53=Ergebnisse!BH53,BJ53=Ergebnisse!BJ53),7,MIN(7,(BH53-BJ53=Ergebnisse!BH53-Ergebnisse!BJ53)*4+(AND(BH53-BJ53&lt;&gt;Ergebnisse!BH53-Ergebnisse!BJ53,SIGN(BH53-BJ53)=SIGN(Ergebnisse!BH53-Ergebnisse!BJ53)))*2+(BH53=Ergebnisse!BH53)+(BJ53=Ergebnisse!BJ53)))),INT(RAND()*8))</f>
        <v>0</v>
      </c>
      <c r="CY53" s="17" t="str">
        <f ca="1">IF(Ergebnisse!BK53=Ergebnisse!$B$98,Ergebnisse!BK53,"")</f>
        <v>ok</v>
      </c>
      <c r="CZ53" s="55"/>
    </row>
    <row r="54" spans="1:106">
      <c r="A54" s="2">
        <f>IF(Ergebnisse!A54="","",Ergebnisse!A54)</f>
        <v>18</v>
      </c>
      <c r="B54" s="6">
        <f>IF(Ergebnisse!B54="","",Ergebnisse!B54)</f>
        <v>46189.75</v>
      </c>
      <c r="C54" s="6" t="str">
        <f>IF(Ergebnisse!C54="","",Ergebnisse!C54)</f>
        <v>Boston</v>
      </c>
      <c r="D54" s="56" t="str">
        <f>IF(Ergebnisse!D54="","",Ergebnisse!D54)</f>
        <v>Irak</v>
      </c>
      <c r="E54" s="40"/>
      <c r="F54" s="56" t="str">
        <f>IF(Ergebnisse!F54="","",Ergebnisse!F54)</f>
        <v>Norwegen</v>
      </c>
      <c r="G54" s="53"/>
      <c r="H54" s="57">
        <v>2</v>
      </c>
      <c r="I54" s="11" t="s">
        <v>25</v>
      </c>
      <c r="J54" s="57">
        <v>3</v>
      </c>
      <c r="L54" s="1"/>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17">
        <f ca="1">IF($CX$97="",IF(OR(Ergebnisse!H54="",Ergebnisse!J54=""),0,IF(AND(H54=Ergebnisse!H54,J54=Ergebnisse!J54),7,MIN(7,(H54-J54=Ergebnisse!H54-Ergebnisse!J54)*4+(AND(H54-J54&lt;&gt;Ergebnisse!H54-Ergebnisse!J54,SIGN(H54-J54)=SIGN(Ergebnisse!H54-Ergebnisse!J54)))*2+(H54=Ergebnisse!H54)+(J54=Ergebnisse!J54)))),INT(RAND()*8))</f>
        <v>0</v>
      </c>
      <c r="AY54" s="17" t="str">
        <f ca="1">IF(Ergebnisse!K54=Ergebnisse!$B$98,Ergebnisse!K54,"")</f>
        <v>ok</v>
      </c>
      <c r="AZ54" s="2"/>
      <c r="BA54" s="2">
        <f>IF(Ergebnisse!BA54="","",Ergebnisse!BA54)</f>
        <v>21</v>
      </c>
      <c r="BB54" s="6">
        <f>IF(Ergebnisse!BB54="","",Ergebnisse!BB54)</f>
        <v>46190.791666666664</v>
      </c>
      <c r="BC54" s="6" t="str">
        <f>IF(Ergebnisse!BC54="","",Ergebnisse!BC54)</f>
        <v>Toronto</v>
      </c>
      <c r="BD54" s="56" t="str">
        <f>IF(Ergebnisse!BD54="","",Ergebnisse!BD54)</f>
        <v>Ghana</v>
      </c>
      <c r="BE54" s="40"/>
      <c r="BF54" s="56" t="str">
        <f>IF(Ergebnisse!BF54="","",Ergebnisse!BF54)</f>
        <v>Panama</v>
      </c>
      <c r="BG54" s="53"/>
      <c r="BH54" s="57">
        <v>3</v>
      </c>
      <c r="BI54" s="11" t="s">
        <v>25</v>
      </c>
      <c r="BJ54" s="57">
        <v>4</v>
      </c>
      <c r="BL54" s="1"/>
      <c r="BY54" s="2"/>
      <c r="CX54" s="17">
        <f ca="1">IF($CX$97="",IF(OR(Ergebnisse!BH54="",Ergebnisse!BJ54=""),0,IF(AND(BH54=Ergebnisse!BH54,BJ54=Ergebnisse!BJ54),7,MIN(7,(BH54-BJ54=Ergebnisse!BH54-Ergebnisse!BJ54)*4+(AND(BH54-BJ54&lt;&gt;Ergebnisse!BH54-Ergebnisse!BJ54,SIGN(BH54-BJ54)=SIGN(Ergebnisse!BH54-Ergebnisse!BJ54)))*2+(BH54=Ergebnisse!BH54)+(BJ54=Ergebnisse!BJ54)))),INT(RAND()*8))</f>
        <v>0</v>
      </c>
      <c r="CY54" s="17" t="str">
        <f ca="1">IF(Ergebnisse!BK54=Ergebnisse!$B$98,Ergebnisse!BK54,"")</f>
        <v>ok</v>
      </c>
      <c r="CZ54" s="55"/>
    </row>
    <row r="55" spans="1:106">
      <c r="A55" s="2">
        <f>IF(Ergebnisse!A55="","",Ergebnisse!A55)</f>
        <v>42</v>
      </c>
      <c r="B55" s="6">
        <f>IF(Ergebnisse!B55="","",Ergebnisse!B55)</f>
        <v>46195.708333333336</v>
      </c>
      <c r="C55" s="6" t="str">
        <f>IF(Ergebnisse!C55="","",Ergebnisse!C55)</f>
        <v>Philadelphia</v>
      </c>
      <c r="D55" s="56" t="str">
        <f>IF(Ergebnisse!D55="","",Ergebnisse!D55)</f>
        <v>Frankreich</v>
      </c>
      <c r="E55" s="40"/>
      <c r="F55" s="56" t="str">
        <f>IF(Ergebnisse!F55="","",Ergebnisse!F55)</f>
        <v>Irak</v>
      </c>
      <c r="G55" s="53"/>
      <c r="H55" s="57">
        <v>4</v>
      </c>
      <c r="I55" s="11" t="s">
        <v>25</v>
      </c>
      <c r="J55" s="57">
        <v>2</v>
      </c>
      <c r="L55" s="1"/>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17">
        <f ca="1">IF($CX$97="",IF(OR(Ergebnisse!H55="",Ergebnisse!J55=""),0,IF(AND(H55=Ergebnisse!H55,J55=Ergebnisse!J55),7,MIN(7,(H55-J55=Ergebnisse!H55-Ergebnisse!J55)*4+(AND(H55-J55&lt;&gt;Ergebnisse!H55-Ergebnisse!J55,SIGN(H55-J55)=SIGN(Ergebnisse!H55-Ergebnisse!J55)))*2+(H55=Ergebnisse!H55)+(J55=Ergebnisse!J55)))),INT(RAND()*8))</f>
        <v>0</v>
      </c>
      <c r="AY55" s="17" t="str">
        <f ca="1">IF(Ergebnisse!K55=Ergebnisse!$B$98,Ergebnisse!K55,"")</f>
        <v>ok</v>
      </c>
      <c r="AZ55" s="2"/>
      <c r="BA55" s="2">
        <f>IF(Ergebnisse!BA55="","",Ergebnisse!BA55)</f>
        <v>45</v>
      </c>
      <c r="BB55" s="6">
        <f>IF(Ergebnisse!BB55="","",Ergebnisse!BB55)</f>
        <v>46196.666666666664</v>
      </c>
      <c r="BC55" s="6" t="str">
        <f>IF(Ergebnisse!BC55="","",Ergebnisse!BC55)</f>
        <v>Boston</v>
      </c>
      <c r="BD55" s="56" t="str">
        <f>IF(Ergebnisse!BD55="","",Ergebnisse!BD55)</f>
        <v>England</v>
      </c>
      <c r="BE55" s="40"/>
      <c r="BF55" s="56" t="str">
        <f>IF(Ergebnisse!BF55="","",Ergebnisse!BF55)</f>
        <v>Ghana</v>
      </c>
      <c r="BG55" s="53"/>
      <c r="BH55" s="57">
        <v>5</v>
      </c>
      <c r="BI55" s="11" t="s">
        <v>25</v>
      </c>
      <c r="BJ55" s="57">
        <v>3</v>
      </c>
      <c r="BL55" s="1"/>
      <c r="BY55" s="2"/>
      <c r="CX55" s="17">
        <f ca="1">IF($CX$97="",IF(OR(Ergebnisse!BH55="",Ergebnisse!BJ55=""),0,IF(AND(BH55=Ergebnisse!BH55,BJ55=Ergebnisse!BJ55),7,MIN(7,(BH55-BJ55=Ergebnisse!BH55-Ergebnisse!BJ55)*4+(AND(BH55-BJ55&lt;&gt;Ergebnisse!BH55-Ergebnisse!BJ55,SIGN(BH55-BJ55)=SIGN(Ergebnisse!BH55-Ergebnisse!BJ55)))*2+(BH55=Ergebnisse!BH55)+(BJ55=Ergebnisse!BJ55)))),INT(RAND()*8))</f>
        <v>1</v>
      </c>
      <c r="CY55" s="17" t="str">
        <f ca="1">IF(Ergebnisse!BK55=Ergebnisse!$B$98,Ergebnisse!BK55,"")</f>
        <v>ok</v>
      </c>
      <c r="CZ55" s="55"/>
    </row>
    <row r="56" spans="1:106">
      <c r="A56" s="2">
        <f>IF(Ergebnisse!A56="","",Ergebnisse!A56)</f>
        <v>41</v>
      </c>
      <c r="B56" s="6">
        <f>IF(Ergebnisse!B56="","",Ergebnisse!B56)</f>
        <v>46195.833333333336</v>
      </c>
      <c r="C56" s="6" t="str">
        <f>IF(Ergebnisse!C56="","",Ergebnisse!C56)</f>
        <v>New York</v>
      </c>
      <c r="D56" s="56" t="str">
        <f>IF(Ergebnisse!D56="","",Ergebnisse!D56)</f>
        <v>Norwegen</v>
      </c>
      <c r="E56" s="40"/>
      <c r="F56" s="56" t="str">
        <f>IF(Ergebnisse!F56="","",Ergebnisse!F56)</f>
        <v>Senegal</v>
      </c>
      <c r="G56" s="53"/>
      <c r="H56" s="57">
        <v>2</v>
      </c>
      <c r="I56" s="11" t="s">
        <v>25</v>
      </c>
      <c r="J56" s="57">
        <v>3</v>
      </c>
      <c r="L56" s="1"/>
      <c r="N56" s="1"/>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17">
        <f ca="1">IF($CX$97="",IF(OR(Ergebnisse!H56="",Ergebnisse!J56=""),0,IF(AND(H56=Ergebnisse!H56,J56=Ergebnisse!J56),7,MIN(7,(H56-J56=Ergebnisse!H56-Ergebnisse!J56)*4+(AND(H56-J56&lt;&gt;Ergebnisse!H56-Ergebnisse!J56,SIGN(H56-J56)=SIGN(Ergebnisse!H56-Ergebnisse!J56)))*2+(H56=Ergebnisse!H56)+(J56=Ergebnisse!J56)))),INT(RAND()*8))</f>
        <v>3</v>
      </c>
      <c r="AY56" s="17" t="str">
        <f ca="1">IF(Ergebnisse!K56=Ergebnisse!$B$98,Ergebnisse!K56,"")</f>
        <v>ok</v>
      </c>
      <c r="AZ56" s="2"/>
      <c r="BA56" s="2">
        <f>IF(Ergebnisse!BA56="","",Ergebnisse!BA56)</f>
        <v>46</v>
      </c>
      <c r="BB56" s="6">
        <f>IF(Ergebnisse!BB56="","",Ergebnisse!BB56)</f>
        <v>46196.791666666664</v>
      </c>
      <c r="BC56" s="6" t="str">
        <f>IF(Ergebnisse!BC56="","",Ergebnisse!BC56)</f>
        <v>Toronto</v>
      </c>
      <c r="BD56" s="56" t="str">
        <f>IF(Ergebnisse!BD56="","",Ergebnisse!BD56)</f>
        <v>Panama</v>
      </c>
      <c r="BE56" s="40"/>
      <c r="BF56" s="56" t="str">
        <f>IF(Ergebnisse!BF56="","",Ergebnisse!BF56)</f>
        <v>Kroatien</v>
      </c>
      <c r="BG56" s="53"/>
      <c r="BH56" s="57">
        <v>3</v>
      </c>
      <c r="BI56" s="11" t="s">
        <v>25</v>
      </c>
      <c r="BJ56" s="57">
        <v>3</v>
      </c>
      <c r="BL56" s="1"/>
      <c r="BN56" s="1"/>
      <c r="BY56" s="2"/>
      <c r="CX56" s="17">
        <f ca="1">IF($CX$97="",IF(OR(Ergebnisse!BH56="",Ergebnisse!BJ56=""),0,IF(AND(BH56=Ergebnisse!BH56,BJ56=Ergebnisse!BJ56),7,MIN(7,(BH56-BJ56=Ergebnisse!BH56-Ergebnisse!BJ56)*4+(AND(BH56-BJ56&lt;&gt;Ergebnisse!BH56-Ergebnisse!BJ56,SIGN(BH56-BJ56)=SIGN(Ergebnisse!BH56-Ergebnisse!BJ56)))*2+(BH56=Ergebnisse!BH56)+(BJ56=Ergebnisse!BJ56)))),INT(RAND()*8))</f>
        <v>0</v>
      </c>
      <c r="CY56" s="17" t="str">
        <f ca="1">IF(Ergebnisse!BK56=Ergebnisse!$B$98,Ergebnisse!BK56,"")</f>
        <v>ok</v>
      </c>
      <c r="CZ56" s="55"/>
    </row>
    <row r="57" spans="1:106">
      <c r="A57" s="2">
        <f>IF(Ergebnisse!A57="","",Ergebnisse!A57)</f>
        <v>61</v>
      </c>
      <c r="B57" s="6">
        <f>IF(Ergebnisse!B57="","",Ergebnisse!B57)</f>
        <v>46199.625</v>
      </c>
      <c r="C57" s="6" t="str">
        <f>IF(Ergebnisse!C57="","",Ergebnisse!C57)</f>
        <v>Boston</v>
      </c>
      <c r="D57" s="56" t="str">
        <f>IF(Ergebnisse!D57="","",Ergebnisse!D57)</f>
        <v>Norwegen</v>
      </c>
      <c r="E57" s="40"/>
      <c r="F57" s="56" t="str">
        <f>IF(Ergebnisse!F57="","",Ergebnisse!F57)</f>
        <v>Frankreich</v>
      </c>
      <c r="G57" s="55"/>
      <c r="H57" s="57">
        <v>3</v>
      </c>
      <c r="I57" s="11" t="s">
        <v>25</v>
      </c>
      <c r="J57" s="57">
        <v>5</v>
      </c>
      <c r="M57" s="238" t="s">
        <v>69</v>
      </c>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17">
        <f ca="1">IF($CX$97="",IF(OR(Ergebnisse!H57="",Ergebnisse!J57=""),0,IF(AND(H57=Ergebnisse!H57,J57=Ergebnisse!J57),7,MIN(7,(H57-J57=Ergebnisse!H57-Ergebnisse!J57)*4+(AND(H57-J57&lt;&gt;Ergebnisse!H57-Ergebnisse!J57,SIGN(H57-J57)=SIGN(Ergebnisse!H57-Ergebnisse!J57)))*2+(H57=Ergebnisse!H57)+(J57=Ergebnisse!J57)))),INT(RAND()*8))</f>
        <v>3</v>
      </c>
      <c r="AY57" s="17" t="str">
        <f ca="1">IF(Ergebnisse!K57=Ergebnisse!$B$98,Ergebnisse!K57,"")</f>
        <v>ok</v>
      </c>
      <c r="AZ57" s="2"/>
      <c r="BA57" s="2">
        <f>IF(Ergebnisse!BA57="","",Ergebnisse!BA57)</f>
        <v>68</v>
      </c>
      <c r="BB57" s="6">
        <f>IF(Ergebnisse!BB57="","",Ergebnisse!BB57)</f>
        <v>46200.708333333336</v>
      </c>
      <c r="BC57" s="6" t="str">
        <f>IF(Ergebnisse!BC57="","",Ergebnisse!BC57)</f>
        <v>Philadelphia</v>
      </c>
      <c r="BD57" s="56" t="str">
        <f>IF(Ergebnisse!BD57="","",Ergebnisse!BD57)</f>
        <v>Panama</v>
      </c>
      <c r="BE57" s="40"/>
      <c r="BF57" s="56" t="str">
        <f>IF(Ergebnisse!BF57="","",Ergebnisse!BF57)</f>
        <v>England</v>
      </c>
      <c r="BG57" s="55"/>
      <c r="BH57" s="57">
        <v>4</v>
      </c>
      <c r="BI57" s="11" t="s">
        <v>25</v>
      </c>
      <c r="BJ57" s="57">
        <v>5</v>
      </c>
      <c r="BM57" s="237" t="s">
        <v>70</v>
      </c>
      <c r="BY57" s="2"/>
      <c r="CX57" s="17">
        <f ca="1">IF($CX$97="",IF(OR(Ergebnisse!BH57="",Ergebnisse!BJ57=""),0,IF(AND(BH57=Ergebnisse!BH57,BJ57=Ergebnisse!BJ57),7,MIN(7,(BH57-BJ57=Ergebnisse!BH57-Ergebnisse!BJ57)*4+(AND(BH57-BJ57&lt;&gt;Ergebnisse!BH57-Ergebnisse!BJ57,SIGN(BH57-BJ57)=SIGN(Ergebnisse!BH57-Ergebnisse!BJ57)))*2+(BH57=Ergebnisse!BH57)+(BJ57=Ergebnisse!BJ57)))),INT(RAND()*8))</f>
        <v>0</v>
      </c>
      <c r="CY57" s="17" t="str">
        <f ca="1">IF(Ergebnisse!BK57=Ergebnisse!$B$98,Ergebnisse!BK57,"")</f>
        <v>ok</v>
      </c>
      <c r="CZ57" s="55"/>
    </row>
    <row r="58" spans="1:106">
      <c r="A58" s="2">
        <f>IF(Ergebnisse!A58="","",Ergebnisse!A58)</f>
        <v>62</v>
      </c>
      <c r="B58" s="6">
        <f>IF(Ergebnisse!B58="","",Ergebnisse!B58)</f>
        <v>46199.625</v>
      </c>
      <c r="C58" s="6" t="str">
        <f>IF(Ergebnisse!C58="","",Ergebnisse!C58)</f>
        <v>Toronto</v>
      </c>
      <c r="D58" s="56" t="str">
        <f>IF(Ergebnisse!D58="","",Ergebnisse!D58)</f>
        <v>Senegal</v>
      </c>
      <c r="E58" s="40"/>
      <c r="F58" s="56" t="str">
        <f>IF(Ergebnisse!F58="","",Ergebnisse!F58)</f>
        <v>Irak</v>
      </c>
      <c r="G58" s="55"/>
      <c r="H58" s="57">
        <v>4</v>
      </c>
      <c r="I58" s="11" t="s">
        <v>25</v>
      </c>
      <c r="J58" s="57">
        <v>3</v>
      </c>
      <c r="M58" s="238" t="s">
        <v>249</v>
      </c>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17">
        <f ca="1">IF($CX$97="",IF(OR(Ergebnisse!H58="",Ergebnisse!J58=""),0,IF(AND(H58=Ergebnisse!H58,J58=Ergebnisse!J58),7,MIN(7,(H58-J58=Ergebnisse!H58-Ergebnisse!J58)*4+(AND(H58-J58&lt;&gt;Ergebnisse!H58-Ergebnisse!J58,SIGN(H58-J58)=SIGN(Ergebnisse!H58-Ergebnisse!J58)))*2+(H58=Ergebnisse!H58)+(J58=Ergebnisse!J58)))),INT(RAND()*8))</f>
        <v>4</v>
      </c>
      <c r="AY58" s="17" t="str">
        <f ca="1">IF(Ergebnisse!K58=Ergebnisse!$B$98,Ergebnisse!K58,"")</f>
        <v>ok</v>
      </c>
      <c r="AZ58" s="2"/>
      <c r="BA58" s="2">
        <f>IF(Ergebnisse!BA58="","",Ergebnisse!BA58)</f>
        <v>67</v>
      </c>
      <c r="BB58" s="6">
        <f>IF(Ergebnisse!BB58="","",Ergebnisse!BB58)</f>
        <v>46200.708333333336</v>
      </c>
      <c r="BC58" s="6" t="str">
        <f>IF(Ergebnisse!BC58="","",Ergebnisse!BC58)</f>
        <v>New York</v>
      </c>
      <c r="BD58" s="56" t="str">
        <f>IF(Ergebnisse!BD58="","",Ergebnisse!BD58)</f>
        <v>Kroatien</v>
      </c>
      <c r="BE58" s="40"/>
      <c r="BF58" s="56" t="str">
        <f>IF(Ergebnisse!BF58="","",Ergebnisse!BF58)</f>
        <v>Ghana</v>
      </c>
      <c r="BG58" s="55"/>
      <c r="BH58" s="57">
        <v>2</v>
      </c>
      <c r="BI58" s="11" t="s">
        <v>25</v>
      </c>
      <c r="BJ58" s="57">
        <v>0</v>
      </c>
      <c r="BM58" s="237" t="s">
        <v>188</v>
      </c>
      <c r="BY58" s="2"/>
      <c r="CX58" s="17">
        <f ca="1">IF($CX$97="",IF(OR(Ergebnisse!BH58="",Ergebnisse!BJ58=""),0,IF(AND(BH58=Ergebnisse!BH58,BJ58=Ergebnisse!BJ58),7,MIN(7,(BH58-BJ58=Ergebnisse!BH58-Ergebnisse!BJ58)*4+(AND(BH58-BJ58&lt;&gt;Ergebnisse!BH58-Ergebnisse!BJ58,SIGN(BH58-BJ58)=SIGN(Ergebnisse!BH58-Ergebnisse!BJ58)))*2+(BH58=Ergebnisse!BH58)+(BJ58=Ergebnisse!BJ58)))),INT(RAND()*8))</f>
        <v>0</v>
      </c>
      <c r="CY58" s="17" t="str">
        <f ca="1">IF(Ergebnisse!BK58=Ergebnisse!$B$98,Ergebnisse!BK58,"")</f>
        <v>ok</v>
      </c>
      <c r="CZ58" s="55"/>
    </row>
    <row r="59" spans="1:106">
      <c r="E59" s="55"/>
      <c r="F59" s="55"/>
      <c r="G59" s="55"/>
      <c r="M59" s="238" t="s">
        <v>252</v>
      </c>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34">
        <f ca="1">IF($CX$97="",2*COUNTIF(Ergebnisse!$D$63:'Ergebnisse'!$F$78,M59),2*INT(RAND()*2))</f>
        <v>0</v>
      </c>
      <c r="AY59" s="17" t="str">
        <f ca="1">IF(COUNTIF(Ergebnisse!K53:'Ergebnisse'!K58,Ergebnisse!$B$98)=6,"ok","")</f>
        <v>ok</v>
      </c>
      <c r="AZ59" s="2"/>
      <c r="BE59" s="55"/>
      <c r="BF59" s="55"/>
      <c r="BG59" s="55"/>
      <c r="BM59" s="237" t="s">
        <v>253</v>
      </c>
      <c r="BY59" s="2"/>
      <c r="CX59" s="236">
        <f ca="1">IF($CX$97="",2*COUNTIF(Ergebnisse!$D$63:'Ergebnisse'!$F$78,BM59),2*INT(RAND()*2))</f>
        <v>2</v>
      </c>
      <c r="CY59" s="17" t="str">
        <f ca="1">IF(COUNTIF(Ergebnisse!BK53:'Ergebnisse'!BK58,Ergebnisse!$B$98)=6,"ok","")</f>
        <v>ok</v>
      </c>
      <c r="CZ59" s="55"/>
    </row>
    <row r="60" spans="1:106">
      <c r="D60" s="55"/>
      <c r="E60" s="58"/>
      <c r="F60" s="59"/>
      <c r="G60" s="59"/>
      <c r="H60" s="55"/>
      <c r="I60" s="55"/>
      <c r="J60" s="55"/>
      <c r="AE60" s="108"/>
      <c r="AF60" s="219"/>
      <c r="AG60" s="219"/>
      <c r="AH60" s="219"/>
      <c r="AI60" s="219"/>
      <c r="AJ60" s="219"/>
      <c r="AK60" s="219"/>
      <c r="AL60" s="219"/>
      <c r="AM60" s="219"/>
      <c r="AN60" s="219"/>
      <c r="AO60" s="219"/>
      <c r="AP60" s="219"/>
      <c r="AQ60" s="219"/>
      <c r="AR60" s="219"/>
      <c r="AS60" s="219"/>
      <c r="AT60" s="219"/>
      <c r="AV60" s="219"/>
      <c r="AW60" s="2"/>
      <c r="AY60" s="17"/>
      <c r="AZ60" s="2"/>
      <c r="BD60" s="55"/>
      <c r="BE60" s="58"/>
      <c r="BF60" s="59"/>
      <c r="BG60" s="59"/>
      <c r="BH60" s="55"/>
      <c r="BI60" s="55"/>
      <c r="BJ60" s="55"/>
      <c r="BY60" s="2"/>
      <c r="CX60" s="1"/>
      <c r="CZ60" s="55"/>
    </row>
    <row r="61" spans="1:106">
      <c r="A61" s="10"/>
      <c r="B61" s="21" t="s">
        <v>260</v>
      </c>
      <c r="C61" s="21"/>
      <c r="D61" s="17"/>
      <c r="E61" s="14"/>
      <c r="F61" s="17"/>
      <c r="G61" s="17"/>
      <c r="H61" s="20"/>
      <c r="I61" s="19"/>
      <c r="J61" s="20"/>
      <c r="K61" s="181"/>
      <c r="L61" s="17"/>
      <c r="M61" s="21"/>
      <c r="N61" s="17"/>
      <c r="O61" s="17"/>
      <c r="P61" s="17"/>
      <c r="Q61" s="17"/>
      <c r="R61" s="17"/>
      <c r="S61" s="53"/>
      <c r="T61" s="53"/>
      <c r="U61" s="53"/>
      <c r="V61" s="53"/>
      <c r="W61" s="53"/>
      <c r="X61" s="53"/>
      <c r="Y61" s="56"/>
      <c r="Z61" s="53"/>
      <c r="AA61" s="53"/>
      <c r="AB61" s="53"/>
      <c r="AC61" s="53"/>
      <c r="AD61" s="176"/>
      <c r="AE61" s="19"/>
      <c r="AF61" s="53"/>
      <c r="AG61" s="53"/>
      <c r="AH61" s="53"/>
      <c r="AI61" s="59"/>
      <c r="AJ61" s="59"/>
      <c r="AK61" s="59"/>
      <c r="AL61" s="59"/>
      <c r="AM61" s="59"/>
      <c r="AN61" s="59"/>
      <c r="AO61" s="59"/>
      <c r="AP61" s="59"/>
      <c r="AQ61" s="59"/>
      <c r="AR61" s="59"/>
      <c r="AS61" s="59"/>
      <c r="AT61" s="59"/>
      <c r="AU61" s="59"/>
      <c r="AV61" s="59"/>
      <c r="AZ61" s="206"/>
      <c r="BA61" s="10"/>
      <c r="BB61" s="10"/>
      <c r="BC61" s="10"/>
      <c r="BD61" s="10"/>
      <c r="BE61" s="10"/>
      <c r="BF61" s="10"/>
      <c r="BG61" s="10"/>
      <c r="BH61" s="10"/>
      <c r="BI61" s="10"/>
      <c r="BJ61" s="10"/>
      <c r="BK61" s="10"/>
      <c r="BL61" s="10"/>
      <c r="BM61" s="10"/>
      <c r="BN61" s="10"/>
      <c r="BO61" s="10"/>
      <c r="BP61" s="10"/>
      <c r="BQ61" s="1"/>
      <c r="BR61" s="1"/>
      <c r="BS61" s="62"/>
      <c r="BT61" s="62"/>
      <c r="BU61" s="62"/>
      <c r="BV61" s="62"/>
      <c r="BW61" s="62"/>
      <c r="BX61" s="62"/>
      <c r="BY61" s="63"/>
      <c r="BZ61" s="62"/>
      <c r="CA61" s="62"/>
      <c r="CB61" s="62"/>
      <c r="CC61" s="62"/>
      <c r="CD61" s="62"/>
      <c r="CE61" s="66"/>
      <c r="CF61" s="66"/>
      <c r="CG61" s="66"/>
      <c r="CH61" s="66"/>
      <c r="CI61" s="66"/>
      <c r="CJ61" s="66"/>
      <c r="CK61" s="66"/>
      <c r="CL61" s="55"/>
      <c r="CM61" s="55"/>
      <c r="CN61" s="55"/>
      <c r="CO61" s="62"/>
      <c r="CP61" s="55"/>
      <c r="CQ61" s="55"/>
      <c r="CR61" s="55"/>
      <c r="CS61" s="55"/>
      <c r="CT61" s="55"/>
      <c r="CU61" s="55"/>
      <c r="CV61" s="55"/>
      <c r="CW61" s="55"/>
      <c r="CX61" s="1"/>
      <c r="CZ61" s="55"/>
      <c r="DA61" s="163"/>
      <c r="DB61" s="164"/>
    </row>
    <row r="62" spans="1:106">
      <c r="B62" s="3" t="s">
        <v>22</v>
      </c>
      <c r="C62" s="3" t="s">
        <v>23</v>
      </c>
      <c r="D62" s="17"/>
      <c r="E62" s="14"/>
      <c r="F62" s="17"/>
      <c r="G62" s="17"/>
      <c r="H62" s="20"/>
      <c r="I62" s="11"/>
      <c r="J62" s="20"/>
      <c r="K62" s="181"/>
      <c r="L62" s="1"/>
      <c r="M62" s="3"/>
      <c r="N62" s="1"/>
      <c r="O62" s="1"/>
      <c r="P62" s="1"/>
      <c r="Q62" s="1"/>
      <c r="R62" s="1"/>
      <c r="V62" s="62"/>
      <c r="W62" s="62"/>
      <c r="Z62" s="62"/>
      <c r="AA62" s="58"/>
      <c r="AB62" s="62"/>
      <c r="AC62" s="58"/>
      <c r="AE62" s="19"/>
      <c r="AF62" s="62"/>
      <c r="AG62" s="62"/>
      <c r="AH62" s="62"/>
      <c r="AZ62" s="206"/>
      <c r="BA62" s="206"/>
      <c r="BB62" s="206"/>
      <c r="BC62" s="206"/>
      <c r="BD62" s="206"/>
      <c r="BE62" s="206"/>
      <c r="BF62" s="206"/>
      <c r="BG62" s="206"/>
      <c r="BH62" s="206"/>
      <c r="BI62" s="206"/>
      <c r="BJ62" s="206"/>
      <c r="BK62" s="206"/>
      <c r="BL62" s="206"/>
      <c r="BM62" s="206"/>
      <c r="BN62" s="206"/>
      <c r="BO62" s="206"/>
      <c r="BP62" s="206"/>
      <c r="BQ62" s="206"/>
      <c r="BR62" s="206"/>
      <c r="BS62" s="206"/>
      <c r="BT62" s="206"/>
      <c r="BU62" s="206"/>
      <c r="BV62" s="55"/>
      <c r="BW62" s="55"/>
      <c r="BX62" s="55"/>
      <c r="BZ62" s="55"/>
      <c r="CA62" s="55"/>
      <c r="CB62" s="55"/>
      <c r="CC62" s="55"/>
      <c r="CD62" s="55"/>
      <c r="CE62" s="66"/>
      <c r="CF62" s="66"/>
      <c r="CG62" s="66"/>
      <c r="CH62" s="66"/>
      <c r="CI62" s="66"/>
      <c r="CJ62" s="66"/>
      <c r="CK62" s="66"/>
      <c r="CL62" s="55"/>
      <c r="CM62" s="55"/>
      <c r="CN62" s="55"/>
      <c r="CO62" s="55"/>
      <c r="CP62" s="55"/>
      <c r="CQ62" s="55"/>
      <c r="CR62" s="55"/>
      <c r="CS62" s="55"/>
      <c r="CT62" s="55"/>
      <c r="CU62" s="55"/>
      <c r="CV62" s="55"/>
      <c r="CW62" s="55"/>
      <c r="CZ62" s="55"/>
    </row>
    <row r="63" spans="1:106">
      <c r="A63" s="2">
        <f>IF(Ergebnisse!A63="","",Ergebnisse!A63)</f>
        <v>73</v>
      </c>
      <c r="B63" s="6">
        <f>IF(Ergebnisse!B63="","",Ergebnisse!B63)</f>
        <v>46201.5</v>
      </c>
      <c r="C63" s="6" t="str">
        <f>IF(Ergebnisse!C63="","",Ergebnisse!C63)</f>
        <v>Los Angeles</v>
      </c>
      <c r="D63" s="26" t="s">
        <v>205</v>
      </c>
      <c r="E63" s="15"/>
      <c r="F63" s="37" t="s">
        <v>207</v>
      </c>
      <c r="G63" s="17"/>
      <c r="H63" s="107">
        <v>1</v>
      </c>
      <c r="I63" s="11" t="s">
        <v>25</v>
      </c>
      <c r="J63" s="107">
        <v>0</v>
      </c>
      <c r="L63" s="1"/>
      <c r="M63" s="240" t="s">
        <v>205</v>
      </c>
      <c r="N63" s="1"/>
      <c r="O63" s="1"/>
      <c r="P63" s="1"/>
      <c r="Q63" s="1"/>
      <c r="R63" s="1"/>
      <c r="V63" s="62"/>
      <c r="W63" s="62"/>
      <c r="Z63" s="62"/>
      <c r="AB63" s="62"/>
      <c r="AE63" s="2"/>
      <c r="AF63" s="206"/>
      <c r="AG63" s="206"/>
      <c r="AH63" s="206"/>
      <c r="AI63" s="206"/>
      <c r="AJ63" s="206"/>
      <c r="AK63" s="206"/>
      <c r="AL63" s="206"/>
      <c r="AM63" s="206"/>
      <c r="AN63" s="206"/>
      <c r="AO63" s="206"/>
      <c r="AP63" s="206"/>
      <c r="AX63" s="17">
        <f ca="1">IF(AY63="",0,IF($CX$97="",(D63=Ergebnisse!D63)+(F63=Ergebnisse!F63)+(SIGN(H63-J63)=SIGN(Ergebnisse!H63-Ergebnisse!J63))*7+(H63=Ergebnisse!H63)+(J63=Ergebnisse!J63),INT(RAND()*12)))</f>
        <v>0</v>
      </c>
      <c r="AY63" s="17" t="str">
        <f ca="1">IF(Ergebnisse!K63=Ergebnisse!$B$98,Ergebnisse!K63,"")</f>
        <v>ok</v>
      </c>
      <c r="AZ63" s="206"/>
      <c r="BA63" s="206"/>
      <c r="BB63" s="206"/>
      <c r="BC63" s="206"/>
      <c r="BD63" s="206"/>
      <c r="BE63" s="206"/>
      <c r="BF63" s="206"/>
      <c r="BG63" s="206"/>
      <c r="BH63" s="206"/>
      <c r="BI63" s="206"/>
      <c r="BJ63" s="206"/>
      <c r="BK63" s="206"/>
      <c r="BL63" s="206"/>
      <c r="BM63" s="206"/>
      <c r="BN63" s="206"/>
      <c r="BO63" s="206"/>
      <c r="BP63" s="206"/>
      <c r="BQ63" s="206"/>
      <c r="BR63" s="206"/>
      <c r="BS63" s="206"/>
      <c r="BT63" s="206"/>
      <c r="BU63" s="206"/>
      <c r="BV63" s="55"/>
      <c r="BW63" s="55"/>
      <c r="BX63" s="55"/>
      <c r="BZ63" s="55"/>
      <c r="CA63" s="55"/>
      <c r="CB63" s="55"/>
      <c r="CC63" s="55"/>
      <c r="CD63" s="55"/>
      <c r="CE63" s="66"/>
      <c r="CF63" s="66"/>
      <c r="CG63" s="66"/>
      <c r="CH63" s="66"/>
      <c r="CI63" s="66"/>
      <c r="CJ63" s="66"/>
      <c r="CK63" s="66"/>
      <c r="CL63" s="55"/>
      <c r="CM63" s="55"/>
      <c r="CN63" s="55"/>
      <c r="CO63" s="55"/>
      <c r="CP63" s="55"/>
      <c r="CQ63" s="55"/>
      <c r="CR63" s="55"/>
      <c r="CS63" s="55"/>
      <c r="CT63" s="55"/>
      <c r="CU63" s="55"/>
      <c r="CV63" s="55"/>
      <c r="CW63" s="55"/>
    </row>
    <row r="64" spans="1:106">
      <c r="A64" s="2">
        <f>IF(Ergebnisse!A64="","",Ergebnisse!A64)</f>
        <v>76</v>
      </c>
      <c r="B64" s="6">
        <f>IF(Ergebnisse!B64="","",Ergebnisse!B64)</f>
        <v>46202.5</v>
      </c>
      <c r="C64" s="6" t="str">
        <f>IF(Ergebnisse!C64="","",Ergebnisse!C64)</f>
        <v>Houston</v>
      </c>
      <c r="D64" s="38" t="s">
        <v>213</v>
      </c>
      <c r="E64" s="15"/>
      <c r="F64" s="223" t="s">
        <v>215</v>
      </c>
      <c r="G64" s="17"/>
      <c r="H64" s="107">
        <v>1</v>
      </c>
      <c r="I64" s="11" t="s">
        <v>25</v>
      </c>
      <c r="J64" s="107">
        <v>0</v>
      </c>
      <c r="L64" s="1"/>
      <c r="M64" s="240" t="s">
        <v>213</v>
      </c>
      <c r="N64" s="1"/>
      <c r="O64" s="1"/>
      <c r="P64" s="1"/>
      <c r="Q64" s="1"/>
      <c r="R64" s="1"/>
      <c r="V64" s="62"/>
      <c r="W64" s="62"/>
      <c r="AA64" s="201"/>
      <c r="AC64" s="58"/>
      <c r="AE64" s="2"/>
      <c r="AF64" s="206"/>
      <c r="AG64" s="206"/>
      <c r="AH64" s="206"/>
      <c r="AI64" s="206"/>
      <c r="AJ64" s="206"/>
      <c r="AK64" s="206"/>
      <c r="AL64" s="206"/>
      <c r="AM64" s="206"/>
      <c r="AN64" s="206"/>
      <c r="AO64" s="206"/>
      <c r="AP64" s="206"/>
      <c r="AX64" s="17">
        <f ca="1">IF(AY64="",0,IF($CX$97="",(D64=Ergebnisse!D64)+(F64=Ergebnisse!F64)+(SIGN(H64-J64)=SIGN(Ergebnisse!H64-Ergebnisse!J64))*7+(H64=Ergebnisse!H64)+(J64=Ergebnisse!J64),INT(RAND()*12)))</f>
        <v>0</v>
      </c>
      <c r="AY64" s="17" t="str">
        <f ca="1">IF(Ergebnisse!K64=Ergebnisse!$B$98,Ergebnisse!K64,"")</f>
        <v>ok</v>
      </c>
      <c r="AZ64" s="206"/>
      <c r="BA64" s="206"/>
      <c r="BB64" s="206"/>
      <c r="BC64" s="206"/>
      <c r="BD64" s="206"/>
      <c r="BE64" s="206"/>
      <c r="BF64" s="206"/>
      <c r="BG64" s="206"/>
      <c r="BH64" s="206"/>
      <c r="BI64" s="206"/>
      <c r="BJ64" s="206"/>
      <c r="BK64" s="206"/>
      <c r="BL64" s="206"/>
      <c r="BM64" s="206"/>
      <c r="BN64" s="206"/>
      <c r="BO64" s="206"/>
      <c r="BP64" s="206"/>
      <c r="BQ64" s="206"/>
      <c r="BR64" s="206"/>
      <c r="BS64" s="206"/>
      <c r="BT64" s="206"/>
      <c r="BU64" s="206"/>
      <c r="BV64" s="55"/>
      <c r="BW64" s="55"/>
      <c r="BX64" s="55"/>
      <c r="BZ64" s="55"/>
      <c r="CA64" s="55"/>
      <c r="CB64" s="55"/>
      <c r="CC64" s="55"/>
      <c r="CD64" s="55"/>
      <c r="CE64" s="66"/>
      <c r="CF64" s="66"/>
      <c r="CG64" s="66"/>
      <c r="CH64" s="66"/>
      <c r="CI64" s="66"/>
      <c r="CJ64" s="66"/>
      <c r="CK64" s="66"/>
      <c r="CL64" s="55"/>
      <c r="CM64" s="55"/>
      <c r="CN64" s="55"/>
      <c r="CO64" s="55"/>
      <c r="CP64" s="55"/>
      <c r="CQ64" s="55"/>
      <c r="CR64" s="55"/>
      <c r="CS64" s="55"/>
      <c r="CT64" s="55"/>
      <c r="CU64" s="55"/>
      <c r="CV64" s="55"/>
      <c r="CW64" s="55"/>
    </row>
    <row r="65" spans="1:101">
      <c r="A65" s="2">
        <f>IF(Ergebnisse!A65="","",Ergebnisse!A65)</f>
        <v>74</v>
      </c>
      <c r="B65" s="6">
        <f>IF(Ergebnisse!B65="","",Ergebnisse!B65)</f>
        <v>46202.6875</v>
      </c>
      <c r="C65" s="6" t="str">
        <f>IF(Ergebnisse!C65="","",Ergebnisse!C65)</f>
        <v>Boston</v>
      </c>
      <c r="D65" s="73" t="s">
        <v>67</v>
      </c>
      <c r="E65" s="15"/>
      <c r="F65" s="34" t="s">
        <v>184</v>
      </c>
      <c r="G65" s="17"/>
      <c r="H65" s="107">
        <v>4</v>
      </c>
      <c r="I65" s="11" t="s">
        <v>25</v>
      </c>
      <c r="J65" s="107">
        <v>3</v>
      </c>
      <c r="L65" s="1"/>
      <c r="M65" s="242" t="s">
        <v>67</v>
      </c>
      <c r="N65" s="1"/>
      <c r="O65" s="1"/>
      <c r="P65" s="1"/>
      <c r="Q65" s="1"/>
      <c r="R65" s="1"/>
      <c r="V65" s="62"/>
      <c r="W65" s="62"/>
      <c r="Z65" s="62"/>
      <c r="AC65" s="58"/>
      <c r="AE65" s="2"/>
      <c r="AF65" s="206"/>
      <c r="AG65" s="206"/>
      <c r="AH65" s="206"/>
      <c r="AI65" s="206"/>
      <c r="AJ65" s="206"/>
      <c r="AK65" s="206"/>
      <c r="AL65" s="206"/>
      <c r="AM65" s="206"/>
      <c r="AN65" s="206"/>
      <c r="AO65" s="206"/>
      <c r="AP65" s="206"/>
      <c r="AX65" s="17">
        <f ca="1">IF(AY65="",0,IF($CX$97="",(D65=Ergebnisse!D65)+(F65=Ergebnisse!F65)+(SIGN(H65-J65)=SIGN(Ergebnisse!H65-Ergebnisse!J65))*7+(H65=Ergebnisse!H65)+(J65=Ergebnisse!J65),INT(RAND()*12)))</f>
        <v>7</v>
      </c>
      <c r="AY65" s="17" t="str">
        <f ca="1">IF(Ergebnisse!K65=Ergebnisse!$B$98,Ergebnisse!K65,"")</f>
        <v>ok</v>
      </c>
      <c r="AZ65" s="206"/>
      <c r="BA65" s="206"/>
      <c r="BB65" s="206"/>
      <c r="BC65" s="206"/>
      <c r="BD65" s="206"/>
      <c r="BE65" s="206"/>
      <c r="BF65" s="206"/>
      <c r="BG65" s="206"/>
      <c r="BH65" s="206"/>
      <c r="BI65" s="206"/>
      <c r="BJ65" s="206"/>
      <c r="BK65" s="206"/>
      <c r="BL65" s="206"/>
      <c r="BM65" s="206"/>
      <c r="BN65" s="206"/>
      <c r="BO65" s="206"/>
      <c r="BP65" s="206"/>
      <c r="BQ65" s="206"/>
      <c r="BR65" s="206"/>
      <c r="BS65" s="206"/>
      <c r="BT65" s="206"/>
      <c r="BU65" s="206"/>
      <c r="BV65" s="59"/>
      <c r="BW65" s="59"/>
      <c r="BX65" s="53"/>
      <c r="BY65" s="59"/>
      <c r="BZ65" s="59"/>
      <c r="CA65" s="59"/>
      <c r="CB65" s="59"/>
      <c r="CC65" s="59"/>
      <c r="CD65" s="59"/>
      <c r="CE65" s="66"/>
      <c r="CF65" s="66"/>
      <c r="CG65" s="66"/>
      <c r="CH65" s="66"/>
      <c r="CI65" s="66"/>
      <c r="CJ65" s="66"/>
      <c r="CK65" s="66"/>
      <c r="CL65" s="59"/>
      <c r="CM65" s="59"/>
      <c r="CN65" s="59"/>
      <c r="CO65" s="59"/>
      <c r="CP65" s="59"/>
      <c r="CQ65" s="59"/>
      <c r="CR65" s="59"/>
      <c r="CS65" s="59"/>
      <c r="CT65" s="59"/>
      <c r="CU65" s="59"/>
      <c r="CW65" s="55"/>
    </row>
    <row r="66" spans="1:101">
      <c r="A66" s="2">
        <f>IF(Ergebnisse!A66="","",Ergebnisse!A66)</f>
        <v>75</v>
      </c>
      <c r="B66" s="6">
        <f>IF(Ergebnisse!B66="","",Ergebnisse!B66)</f>
        <v>46202.833333333336</v>
      </c>
      <c r="C66" s="6" t="str">
        <f>IF(Ergebnisse!C66="","",Ergebnisse!C66)</f>
        <v>Monterrey</v>
      </c>
      <c r="D66" s="223" t="s">
        <v>71</v>
      </c>
      <c r="E66" s="15"/>
      <c r="F66" s="38" t="s">
        <v>214</v>
      </c>
      <c r="G66" s="17"/>
      <c r="H66" s="107">
        <v>1</v>
      </c>
      <c r="I66" s="11" t="s">
        <v>25</v>
      </c>
      <c r="J66" s="107">
        <v>0</v>
      </c>
      <c r="L66" s="1"/>
      <c r="M66" s="242" t="s">
        <v>71</v>
      </c>
      <c r="N66" s="1"/>
      <c r="O66" s="1"/>
      <c r="P66" s="1"/>
      <c r="Q66" s="1"/>
      <c r="R66" s="1"/>
      <c r="V66" s="62"/>
      <c r="W66" s="62"/>
      <c r="Z66" s="62"/>
      <c r="AC66" s="58"/>
      <c r="AE66" s="2"/>
      <c r="AF66" s="206"/>
      <c r="AG66" s="206"/>
      <c r="AH66" s="206"/>
      <c r="AI66" s="206"/>
      <c r="AJ66" s="206"/>
      <c r="AK66" s="206"/>
      <c r="AL66" s="206"/>
      <c r="AM66" s="206"/>
      <c r="AN66" s="206"/>
      <c r="AO66" s="206"/>
      <c r="AP66" s="206"/>
      <c r="AX66" s="17">
        <f ca="1">IF(AY66="",0,IF($CX$97="",(D66=Ergebnisse!D66)+(F66=Ergebnisse!F66)+(SIGN(H66-J66)=SIGN(Ergebnisse!H66-Ergebnisse!J66))*7+(H66=Ergebnisse!H66)+(J66=Ergebnisse!J66),INT(RAND()*12)))</f>
        <v>1</v>
      </c>
      <c r="AY66" s="17" t="str">
        <f ca="1">IF(Ergebnisse!K66=Ergebnisse!$B$98,Ergebnisse!K66,"")</f>
        <v>ok</v>
      </c>
      <c r="AZ66" s="206"/>
      <c r="BA66" s="206"/>
      <c r="BB66" s="206"/>
      <c r="BC66" s="206"/>
      <c r="BD66" s="206"/>
      <c r="BE66" s="206"/>
      <c r="BF66" s="206"/>
      <c r="BG66" s="206"/>
      <c r="BH66" s="206"/>
      <c r="BI66" s="206"/>
      <c r="BJ66" s="206"/>
      <c r="BK66" s="206"/>
      <c r="BL66" s="206"/>
      <c r="BM66" s="206"/>
      <c r="BN66" s="206"/>
      <c r="BO66" s="206"/>
      <c r="BP66" s="206"/>
      <c r="BQ66" s="206"/>
      <c r="BR66" s="206"/>
      <c r="BS66" s="206"/>
      <c r="BT66" s="206"/>
      <c r="BU66" s="206"/>
      <c r="BV66" s="55"/>
      <c r="BW66" s="55"/>
      <c r="BX66" s="62"/>
      <c r="BY66" s="153"/>
      <c r="BZ66" s="55"/>
      <c r="CA66" s="55"/>
      <c r="CB66" s="55"/>
      <c r="CC66" s="55"/>
      <c r="CD66" s="174"/>
      <c r="CE66" s="66"/>
      <c r="CF66" s="66"/>
      <c r="CG66" s="66"/>
      <c r="CH66" s="66"/>
      <c r="CI66" s="66"/>
      <c r="CJ66" s="66"/>
      <c r="CK66" s="66"/>
      <c r="CL66" s="55"/>
      <c r="CM66" s="55"/>
      <c r="CN66" s="55"/>
      <c r="CO66" s="55"/>
      <c r="CP66" s="55"/>
      <c r="CQ66" s="55"/>
      <c r="CR66" s="55"/>
      <c r="CS66" s="55"/>
      <c r="CT66" s="55"/>
      <c r="CU66" s="55"/>
      <c r="CW66" s="55"/>
    </row>
    <row r="67" spans="1:101">
      <c r="A67" s="2">
        <f>IF(Ergebnisse!A67="","",Ergebnisse!A67)</f>
        <v>78</v>
      </c>
      <c r="B67" s="6">
        <f>IF(Ergebnisse!B67="","",Ergebnisse!B67)</f>
        <v>46203.5</v>
      </c>
      <c r="C67" s="6" t="str">
        <f>IF(Ergebnisse!C67="","",Ergebnisse!C67)</f>
        <v>Dallas</v>
      </c>
      <c r="D67" s="73" t="s">
        <v>212</v>
      </c>
      <c r="E67" s="15"/>
      <c r="F67" s="238" t="s">
        <v>249</v>
      </c>
      <c r="G67" s="17"/>
      <c r="H67" s="107">
        <v>1</v>
      </c>
      <c r="I67" s="11" t="s">
        <v>25</v>
      </c>
      <c r="J67" s="107">
        <v>2</v>
      </c>
      <c r="L67" s="1"/>
      <c r="M67" s="249" t="s">
        <v>249</v>
      </c>
      <c r="N67" s="1"/>
      <c r="O67" s="1"/>
      <c r="P67" s="1"/>
      <c r="Q67" s="1"/>
      <c r="R67" s="1"/>
      <c r="V67" s="62"/>
      <c r="W67" s="62"/>
      <c r="Z67" s="62"/>
      <c r="AC67" s="58"/>
      <c r="AE67" s="2"/>
      <c r="AF67" s="206"/>
      <c r="AG67" s="206"/>
      <c r="AH67" s="206"/>
      <c r="AI67" s="206"/>
      <c r="AJ67" s="206"/>
      <c r="AK67" s="206"/>
      <c r="AL67" s="206"/>
      <c r="AM67" s="206"/>
      <c r="AN67" s="206"/>
      <c r="AO67" s="206"/>
      <c r="AP67" s="206"/>
      <c r="AX67" s="17">
        <f ca="1">IF(AY67="",0,IF($CX$97="",(D67=Ergebnisse!D67)+(F67=Ergebnisse!F67)+(SIGN(H67-J67)=SIGN(Ergebnisse!H67-Ergebnisse!J67))*7+(H67=Ergebnisse!H67)+(J67=Ergebnisse!J67),INT(RAND()*12)))</f>
        <v>2</v>
      </c>
      <c r="AY67" s="17" t="str">
        <f ca="1">IF(Ergebnisse!K67=Ergebnisse!$B$98,Ergebnisse!K67,"")</f>
        <v>ok</v>
      </c>
      <c r="AZ67" s="206"/>
      <c r="BA67" s="206"/>
      <c r="BB67" s="206"/>
      <c r="BC67" s="206"/>
      <c r="BD67" s="206"/>
      <c r="BE67" s="206"/>
      <c r="BF67" s="206"/>
      <c r="BG67" s="206"/>
      <c r="BH67" s="206"/>
      <c r="BI67" s="206"/>
      <c r="BJ67" s="206"/>
      <c r="BK67" s="206"/>
      <c r="BL67" s="206"/>
      <c r="BM67" s="206"/>
      <c r="BN67" s="206"/>
      <c r="BO67" s="206"/>
      <c r="BP67" s="206"/>
      <c r="BQ67" s="206"/>
      <c r="BR67" s="206"/>
      <c r="BS67" s="206"/>
      <c r="BT67" s="206"/>
      <c r="BU67" s="206"/>
      <c r="BV67" s="55"/>
      <c r="BW67" s="55"/>
      <c r="BX67" s="62"/>
      <c r="BY67" s="153"/>
      <c r="BZ67" s="55"/>
      <c r="CA67" s="55"/>
      <c r="CB67" s="55"/>
      <c r="CC67" s="55"/>
      <c r="CD67" s="174"/>
      <c r="CE67" s="66"/>
      <c r="CF67" s="66"/>
      <c r="CG67" s="66"/>
      <c r="CH67" s="66"/>
      <c r="CI67" s="66"/>
      <c r="CJ67" s="66"/>
      <c r="CK67" s="66"/>
      <c r="CL67" s="55"/>
      <c r="CM67" s="55"/>
      <c r="CN67" s="55"/>
      <c r="CO67" s="55"/>
      <c r="CP67" s="55"/>
      <c r="CQ67" s="55"/>
      <c r="CR67" s="55"/>
      <c r="CS67" s="55"/>
      <c r="CT67" s="55"/>
      <c r="CU67" s="55"/>
      <c r="CW67" s="55"/>
    </row>
    <row r="68" spans="1:101">
      <c r="A68" s="2">
        <f>IF(Ergebnisse!A68="","",Ergebnisse!A68)</f>
        <v>77</v>
      </c>
      <c r="B68" s="6">
        <f>IF(Ergebnisse!B68="","",Ergebnisse!B68)</f>
        <v>46203.708333333336</v>
      </c>
      <c r="C68" s="6" t="str">
        <f>IF(Ergebnisse!C68="","",Ergebnisse!C68)</f>
        <v>New York</v>
      </c>
      <c r="D68" s="238" t="s">
        <v>69</v>
      </c>
      <c r="E68" s="15"/>
      <c r="F68" s="34" t="s">
        <v>239</v>
      </c>
      <c r="G68" s="17"/>
      <c r="H68" s="107">
        <v>3</v>
      </c>
      <c r="I68" s="11" t="s">
        <v>25</v>
      </c>
      <c r="J68" s="107">
        <v>2</v>
      </c>
      <c r="L68" s="1"/>
      <c r="M68" s="249" t="s">
        <v>69</v>
      </c>
      <c r="N68" s="1"/>
      <c r="O68" s="1"/>
      <c r="P68" s="1"/>
      <c r="Q68" s="1"/>
      <c r="R68" s="1"/>
      <c r="V68" s="62"/>
      <c r="W68" s="62"/>
      <c r="Z68" s="62"/>
      <c r="AC68" s="58"/>
      <c r="AE68" s="2"/>
      <c r="AF68" s="206"/>
      <c r="AG68" s="206"/>
      <c r="AH68" s="206"/>
      <c r="AI68" s="206"/>
      <c r="AJ68" s="206"/>
      <c r="AK68" s="206"/>
      <c r="AL68" s="206"/>
      <c r="AM68" s="206"/>
      <c r="AN68" s="206"/>
      <c r="AO68" s="206"/>
      <c r="AP68" s="206"/>
      <c r="AX68" s="17">
        <f ca="1">IF(AY68="",0,IF($CX$97="",(D68=Ergebnisse!D68)+(F68=Ergebnisse!F68)+(SIGN(H68-J68)=SIGN(Ergebnisse!H68-Ergebnisse!J68))*7+(H68=Ergebnisse!H68)+(J68=Ergebnisse!J68),INT(RAND()*12)))</f>
        <v>8</v>
      </c>
      <c r="AY68" s="17" t="str">
        <f ca="1">IF(Ergebnisse!K68=Ergebnisse!$B$98,Ergebnisse!K68,"")</f>
        <v>ok</v>
      </c>
      <c r="AZ68" s="206"/>
      <c r="BA68" s="206"/>
      <c r="BB68" s="206"/>
      <c r="BC68" s="206"/>
      <c r="BD68" s="206"/>
      <c r="BE68" s="206"/>
      <c r="BF68" s="206"/>
      <c r="BG68" s="206"/>
      <c r="BH68" s="206"/>
      <c r="BI68" s="206"/>
      <c r="BJ68" s="206"/>
      <c r="BK68" s="206"/>
      <c r="BL68" s="206"/>
      <c r="BM68" s="206"/>
      <c r="BN68" s="206"/>
      <c r="BO68" s="206"/>
      <c r="BP68" s="206"/>
      <c r="BQ68" s="206"/>
      <c r="BR68" s="206"/>
      <c r="BS68" s="206"/>
      <c r="BT68" s="206"/>
      <c r="BU68" s="206"/>
      <c r="BV68" s="55"/>
      <c r="BW68" s="55"/>
      <c r="BX68" s="62"/>
      <c r="BY68" s="153"/>
      <c r="BZ68" s="55"/>
      <c r="CA68" s="55"/>
      <c r="CB68" s="55"/>
      <c r="CC68" s="55"/>
      <c r="CD68" s="174"/>
      <c r="CE68" s="66"/>
      <c r="CF68" s="66"/>
      <c r="CG68" s="66"/>
      <c r="CH68" s="66"/>
      <c r="CI68" s="66"/>
      <c r="CJ68" s="66"/>
      <c r="CK68" s="66"/>
      <c r="CL68" s="55"/>
      <c r="CM68" s="55"/>
      <c r="CN68" s="55"/>
      <c r="CO68" s="55"/>
      <c r="CP68" s="55"/>
      <c r="CQ68" s="55"/>
      <c r="CR68" s="55"/>
      <c r="CS68" s="55"/>
      <c r="CT68" s="55"/>
      <c r="CU68" s="55"/>
      <c r="CW68" s="55"/>
    </row>
    <row r="69" spans="1:101">
      <c r="A69" s="2">
        <f>IF(Ergebnisse!A69="","",Ergebnisse!A69)</f>
        <v>79</v>
      </c>
      <c r="B69" s="6">
        <f>IF(Ergebnisse!B69="","",Ergebnisse!B69)</f>
        <v>46203.833333333336</v>
      </c>
      <c r="C69" s="6" t="str">
        <f>IF(Ergebnisse!C69="","",Ergebnisse!C69)</f>
        <v>Mexico City</v>
      </c>
      <c r="D69" s="251" t="s">
        <v>201</v>
      </c>
      <c r="E69" s="15"/>
      <c r="F69" s="34" t="s">
        <v>252</v>
      </c>
      <c r="G69" s="17"/>
      <c r="H69" s="107">
        <v>1</v>
      </c>
      <c r="I69" s="11" t="s">
        <v>25</v>
      </c>
      <c r="J69" s="107">
        <v>0</v>
      </c>
      <c r="L69" s="1"/>
      <c r="M69" s="252" t="s">
        <v>201</v>
      </c>
      <c r="N69" s="1"/>
      <c r="O69" s="1"/>
      <c r="P69" s="1"/>
      <c r="Q69" s="1"/>
      <c r="R69" s="1"/>
      <c r="V69" s="62"/>
      <c r="W69" s="62"/>
      <c r="Z69" s="62"/>
      <c r="AC69" s="58"/>
      <c r="AE69" s="2"/>
      <c r="AF69" s="206"/>
      <c r="AG69" s="206"/>
      <c r="AH69" s="206"/>
      <c r="AI69" s="206"/>
      <c r="AJ69" s="206"/>
      <c r="AK69" s="206"/>
      <c r="AL69" s="206"/>
      <c r="AM69" s="206"/>
      <c r="AN69" s="206"/>
      <c r="AO69" s="206"/>
      <c r="AP69" s="206"/>
      <c r="AX69" s="17">
        <f ca="1">IF(AY69="",0,IF($CX$97="",(D69=Ergebnisse!D69)+(F69=Ergebnisse!F69)+(SIGN(H69-J69)=SIGN(Ergebnisse!H69-Ergebnisse!J69))*7+(H69=Ergebnisse!H69)+(J69=Ergebnisse!J69),INT(RAND()*12)))</f>
        <v>7</v>
      </c>
      <c r="AY69" s="17" t="str">
        <f ca="1">IF(Ergebnisse!K69=Ergebnisse!$B$98,Ergebnisse!K69,"")</f>
        <v>ok</v>
      </c>
      <c r="AZ69" s="206"/>
      <c r="BA69" s="206"/>
      <c r="BB69" s="206"/>
      <c r="BC69" s="206"/>
      <c r="BD69" s="206"/>
      <c r="BE69" s="206"/>
      <c r="BF69" s="206"/>
      <c r="BG69" s="206"/>
      <c r="BH69" s="206"/>
      <c r="BI69" s="206"/>
      <c r="BJ69" s="206"/>
      <c r="BK69" s="206"/>
      <c r="BL69" s="206"/>
      <c r="BM69" s="206"/>
      <c r="BN69" s="206"/>
      <c r="BO69" s="206"/>
      <c r="BP69" s="206"/>
      <c r="BQ69" s="206"/>
      <c r="BR69" s="206"/>
      <c r="BS69" s="206"/>
      <c r="BT69" s="206"/>
      <c r="BU69" s="206"/>
      <c r="BV69" s="55"/>
      <c r="BW69" s="55"/>
      <c r="BX69" s="62"/>
      <c r="BY69" s="153"/>
      <c r="BZ69" s="55"/>
      <c r="CA69" s="55"/>
      <c r="CB69" s="55"/>
      <c r="CC69" s="55"/>
      <c r="CD69" s="174"/>
      <c r="CE69" s="66"/>
      <c r="CF69" s="66"/>
      <c r="CG69" s="66"/>
      <c r="CH69" s="66"/>
      <c r="CI69" s="66"/>
      <c r="CJ69" s="66"/>
      <c r="CK69" s="66"/>
      <c r="CL69" s="55"/>
      <c r="CM69" s="55"/>
      <c r="CN69" s="55"/>
      <c r="CO69" s="55"/>
      <c r="CP69" s="55"/>
      <c r="CQ69" s="55"/>
      <c r="CR69" s="55"/>
      <c r="CS69" s="55"/>
      <c r="CT69" s="55"/>
      <c r="CU69" s="55"/>
      <c r="CW69" s="55"/>
    </row>
    <row r="70" spans="1:101">
      <c r="A70" s="2">
        <f>IF(Ergebnisse!A70="","",Ergebnisse!A70)</f>
        <v>80</v>
      </c>
      <c r="B70" s="6">
        <f>IF(Ergebnisse!B70="","",Ergebnisse!B70)</f>
        <v>46204.5</v>
      </c>
      <c r="C70" s="6" t="str">
        <f>IF(Ergebnisse!C70="","",Ergebnisse!C70)</f>
        <v>Atlanta</v>
      </c>
      <c r="D70" s="237" t="s">
        <v>70</v>
      </c>
      <c r="E70" s="15"/>
      <c r="F70" s="34" t="s">
        <v>238</v>
      </c>
      <c r="G70" s="17"/>
      <c r="H70" s="107">
        <v>2</v>
      </c>
      <c r="I70" s="11" t="s">
        <v>25</v>
      </c>
      <c r="J70" s="107">
        <v>0</v>
      </c>
      <c r="L70" s="1"/>
      <c r="M70" s="252" t="s">
        <v>70</v>
      </c>
      <c r="N70" s="1"/>
      <c r="O70" s="1"/>
      <c r="P70" s="1"/>
      <c r="Q70" s="1"/>
      <c r="R70" s="1"/>
      <c r="V70" s="62"/>
      <c r="W70" s="62"/>
      <c r="Z70" s="62"/>
      <c r="AC70" s="58"/>
      <c r="AE70" s="2"/>
      <c r="AF70" s="206"/>
      <c r="AG70" s="206"/>
      <c r="AH70" s="206"/>
      <c r="AI70" s="206"/>
      <c r="AJ70" s="206"/>
      <c r="AK70" s="206"/>
      <c r="AL70" s="206"/>
      <c r="AM70" s="206"/>
      <c r="AN70" s="206"/>
      <c r="AO70" s="206"/>
      <c r="AP70" s="206"/>
      <c r="AX70" s="17">
        <f ca="1">IF(AY70="",0,IF($CX$97="",(D70=Ergebnisse!D70)+(F70=Ergebnisse!F70)+(SIGN(H70-J70)=SIGN(Ergebnisse!H70-Ergebnisse!J70))*7+(H70=Ergebnisse!H70)+(J70=Ergebnisse!J70),INT(RAND()*12)))</f>
        <v>0</v>
      </c>
      <c r="AY70" s="17" t="str">
        <f ca="1">IF(Ergebnisse!K70=Ergebnisse!$B$98,Ergebnisse!K70,"")</f>
        <v>ok</v>
      </c>
      <c r="AZ70" s="206"/>
      <c r="BA70" s="206"/>
      <c r="BB70" s="206"/>
      <c r="BC70" s="206"/>
      <c r="BD70" s="206"/>
      <c r="BE70" s="206"/>
      <c r="BF70" s="206"/>
      <c r="BG70" s="206"/>
      <c r="BH70" s="206"/>
      <c r="BI70" s="206"/>
      <c r="BJ70" s="206"/>
      <c r="BK70" s="206"/>
      <c r="BL70" s="206"/>
      <c r="BM70" s="206"/>
      <c r="BN70" s="206"/>
      <c r="BO70" s="206"/>
      <c r="BP70" s="206"/>
      <c r="BQ70" s="206"/>
      <c r="BR70" s="206"/>
      <c r="BS70" s="206"/>
      <c r="BT70" s="206"/>
      <c r="BU70" s="206"/>
      <c r="BV70" s="55"/>
      <c r="BW70" s="55"/>
      <c r="BX70" s="62"/>
      <c r="BY70" s="153"/>
      <c r="BZ70" s="55"/>
      <c r="CA70" s="55"/>
      <c r="CB70" s="55"/>
      <c r="CC70" s="55"/>
      <c r="CD70" s="174"/>
      <c r="CE70" s="66"/>
      <c r="CF70" s="66"/>
      <c r="CG70" s="66"/>
      <c r="CH70" s="66"/>
      <c r="CI70" s="66"/>
      <c r="CJ70" s="66"/>
      <c r="CK70" s="66"/>
      <c r="CL70" s="55"/>
      <c r="CM70" s="55"/>
      <c r="CN70" s="55"/>
      <c r="CO70" s="55"/>
      <c r="CP70" s="55"/>
      <c r="CQ70" s="55"/>
      <c r="CR70" s="55"/>
      <c r="CS70" s="55"/>
      <c r="CT70" s="55"/>
      <c r="CU70" s="55"/>
      <c r="CW70" s="55"/>
    </row>
    <row r="71" spans="1:101">
      <c r="A71" s="2">
        <f>IF(Ergebnisse!A71="","",Ergebnisse!A71)</f>
        <v>82</v>
      </c>
      <c r="B71" s="6">
        <f>IF(Ergebnisse!B71="","",Ergebnisse!B71)</f>
        <v>46204.541666666664</v>
      </c>
      <c r="C71" s="6" t="str">
        <f>IF(Ergebnisse!C71="","",Ergebnisse!C71)</f>
        <v>Seattle</v>
      </c>
      <c r="D71" s="228" t="s">
        <v>186</v>
      </c>
      <c r="E71" s="15"/>
      <c r="F71" s="34" t="s">
        <v>189</v>
      </c>
      <c r="G71" s="17"/>
      <c r="H71" s="107">
        <v>4</v>
      </c>
      <c r="I71" s="11" t="s">
        <v>25</v>
      </c>
      <c r="J71" s="107">
        <v>3</v>
      </c>
      <c r="L71" s="1"/>
      <c r="M71" s="240" t="s">
        <v>186</v>
      </c>
      <c r="N71" s="1"/>
      <c r="O71" s="1"/>
      <c r="P71" s="1"/>
      <c r="Q71" s="1"/>
      <c r="R71" s="1"/>
      <c r="S71" s="4"/>
      <c r="T71" s="4"/>
      <c r="U71" s="4"/>
      <c r="V71" s="4"/>
      <c r="W71" s="4"/>
      <c r="X71" s="4"/>
      <c r="Z71" s="62"/>
      <c r="AC71" s="58"/>
      <c r="AE71" s="2"/>
      <c r="AF71" s="206"/>
      <c r="AG71" s="206"/>
      <c r="AH71" s="206"/>
      <c r="AI71" s="206"/>
      <c r="AJ71" s="206"/>
      <c r="AK71" s="206"/>
      <c r="AL71" s="206"/>
      <c r="AM71" s="206"/>
      <c r="AN71" s="206"/>
      <c r="AO71" s="206"/>
      <c r="AP71" s="206"/>
      <c r="AX71" s="17">
        <f ca="1">IF(AY71="",0,IF($CX$97="",(D71=Ergebnisse!D71)+(F71=Ergebnisse!F71)+(SIGN(H71-J71)=SIGN(Ergebnisse!H71-Ergebnisse!J71))*7+(H71=Ergebnisse!H71)+(J71=Ergebnisse!J71),INT(RAND()*12)))</f>
        <v>7</v>
      </c>
      <c r="AY71" s="17" t="str">
        <f ca="1">IF(Ergebnisse!K71=Ergebnisse!$B$98,Ergebnisse!K71,"")</f>
        <v>ok</v>
      </c>
      <c r="AZ71" s="206"/>
      <c r="BA71" s="206"/>
      <c r="BB71" s="206"/>
      <c r="BC71" s="206"/>
      <c r="BD71" s="206"/>
      <c r="BE71" s="206"/>
      <c r="BF71" s="206"/>
      <c r="BG71" s="206"/>
      <c r="BH71" s="206"/>
      <c r="BI71" s="206"/>
      <c r="BJ71" s="206"/>
      <c r="BK71" s="206"/>
      <c r="BL71" s="206"/>
      <c r="BM71" s="206"/>
      <c r="BN71" s="206"/>
      <c r="BO71" s="206"/>
      <c r="BP71" s="206"/>
      <c r="BQ71" s="206"/>
      <c r="BR71" s="206"/>
      <c r="BS71" s="206"/>
      <c r="BT71" s="206"/>
      <c r="BU71" s="206"/>
      <c r="BV71" s="55"/>
      <c r="BW71" s="55"/>
      <c r="BX71" s="62"/>
      <c r="BY71" s="153"/>
      <c r="BZ71" s="55"/>
      <c r="CA71" s="55"/>
      <c r="CB71" s="55"/>
      <c r="CC71" s="55"/>
      <c r="CD71" s="174"/>
      <c r="CE71" s="66"/>
      <c r="CF71" s="66"/>
      <c r="CG71" s="66"/>
      <c r="CH71" s="66"/>
      <c r="CI71" s="66"/>
      <c r="CJ71" s="66"/>
      <c r="CK71" s="66"/>
      <c r="CL71" s="55"/>
      <c r="CM71" s="55"/>
      <c r="CN71" s="55"/>
      <c r="CO71" s="55"/>
      <c r="CP71" s="55"/>
      <c r="CQ71" s="55"/>
      <c r="CR71" s="55"/>
      <c r="CS71" s="55"/>
      <c r="CT71" s="55"/>
      <c r="CU71" s="55"/>
      <c r="CW71" s="55"/>
    </row>
    <row r="72" spans="1:101">
      <c r="A72" s="2">
        <f>IF(Ergebnisse!A72="","",Ergebnisse!A72)</f>
        <v>81</v>
      </c>
      <c r="B72" s="6">
        <f>IF(Ergebnisse!B72="","",Ergebnisse!B72)</f>
        <v>46204.708333333336</v>
      </c>
      <c r="C72" s="6" t="str">
        <f>IF(Ergebnisse!C72="","",Ergebnisse!C72)</f>
        <v>San Francisco</v>
      </c>
      <c r="D72" s="177" t="s">
        <v>202</v>
      </c>
      <c r="E72" s="15"/>
      <c r="F72" s="34" t="s">
        <v>210</v>
      </c>
      <c r="G72" s="17"/>
      <c r="H72" s="107">
        <v>3</v>
      </c>
      <c r="I72" s="11" t="s">
        <v>25</v>
      </c>
      <c r="J72" s="107">
        <v>2</v>
      </c>
      <c r="L72" s="1"/>
      <c r="M72" s="240" t="s">
        <v>202</v>
      </c>
      <c r="N72" s="1"/>
      <c r="O72" s="1"/>
      <c r="P72" s="1"/>
      <c r="Q72" s="1"/>
      <c r="R72" s="1"/>
      <c r="S72" s="4"/>
      <c r="T72" s="4"/>
      <c r="U72" s="4"/>
      <c r="V72" s="4"/>
      <c r="W72" s="4"/>
      <c r="X72" s="4"/>
      <c r="AC72" s="58"/>
      <c r="AE72" s="2"/>
      <c r="AF72" s="206"/>
      <c r="AG72" s="206"/>
      <c r="AH72" s="206"/>
      <c r="AI72" s="206"/>
      <c r="AJ72" s="206"/>
      <c r="AK72" s="206"/>
      <c r="AL72" s="206"/>
      <c r="AM72" s="206"/>
      <c r="AN72" s="206"/>
      <c r="AO72" s="206"/>
      <c r="AP72" s="206"/>
      <c r="AX72" s="17">
        <f ca="1">IF(AY72="",0,IF($CX$97="",(D72=Ergebnisse!D72)+(F72=Ergebnisse!F72)+(SIGN(H72-J72)=SIGN(Ergebnisse!H72-Ergebnisse!J72))*7+(H72=Ergebnisse!H72)+(J72=Ergebnisse!J72),INT(RAND()*12)))</f>
        <v>7</v>
      </c>
      <c r="AY72" s="17" t="str">
        <f ca="1">IF(Ergebnisse!K72=Ergebnisse!$B$98,Ergebnisse!K72,"")</f>
        <v>ok</v>
      </c>
      <c r="AZ72" s="206"/>
      <c r="BA72" s="206"/>
      <c r="BB72" s="206"/>
      <c r="BC72" s="206"/>
      <c r="BD72" s="206"/>
      <c r="BE72" s="206"/>
      <c r="BF72" s="206"/>
      <c r="BG72" s="206"/>
      <c r="BH72" s="206"/>
      <c r="BI72" s="206"/>
      <c r="BJ72" s="206"/>
      <c r="BK72" s="206"/>
      <c r="BL72" s="206"/>
      <c r="BM72" s="206"/>
      <c r="BN72" s="206"/>
      <c r="BO72" s="206"/>
      <c r="BP72" s="206"/>
      <c r="BQ72" s="206"/>
      <c r="BR72" s="206"/>
      <c r="BS72" s="206"/>
      <c r="BT72" s="206"/>
      <c r="BU72" s="206"/>
      <c r="BV72" s="55"/>
      <c r="BW72" s="55"/>
      <c r="BX72" s="62"/>
      <c r="BY72" s="253"/>
      <c r="BZ72" s="55"/>
      <c r="CA72" s="55"/>
      <c r="CB72" s="55"/>
      <c r="CC72" s="55"/>
      <c r="CD72" s="174"/>
      <c r="CE72" s="66"/>
      <c r="CF72" s="66"/>
      <c r="CG72" s="66"/>
      <c r="CH72" s="66"/>
      <c r="CI72" s="66"/>
      <c r="CJ72" s="66"/>
      <c r="CK72" s="66"/>
      <c r="CL72" s="55"/>
      <c r="CM72" s="55"/>
      <c r="CN72" s="55"/>
      <c r="CO72" s="55"/>
      <c r="CP72" s="55"/>
      <c r="CQ72" s="55"/>
      <c r="CR72" s="55"/>
      <c r="CS72" s="55"/>
      <c r="CT72" s="55"/>
      <c r="CU72" s="55"/>
      <c r="CW72" s="55"/>
    </row>
    <row r="73" spans="1:101">
      <c r="A73" s="2">
        <f>IF(Ergebnisse!A73="","",Ergebnisse!A73)</f>
        <v>84</v>
      </c>
      <c r="B73" s="6">
        <f>IF(Ergebnisse!B73="","",Ergebnisse!B73)</f>
        <v>46205.5</v>
      </c>
      <c r="C73" s="6" t="str">
        <f>IF(Ergebnisse!C73="","",Ergebnisse!C73)</f>
        <v>Los Angeles</v>
      </c>
      <c r="D73" s="233" t="s">
        <v>66</v>
      </c>
      <c r="E73" s="15"/>
      <c r="F73" s="227" t="s">
        <v>187</v>
      </c>
      <c r="G73" s="17"/>
      <c r="H73" s="107">
        <v>5</v>
      </c>
      <c r="I73" s="11" t="s">
        <v>25</v>
      </c>
      <c r="J73" s="107">
        <v>4</v>
      </c>
      <c r="L73" s="1"/>
      <c r="M73" s="242" t="s">
        <v>66</v>
      </c>
      <c r="N73" s="1"/>
      <c r="O73" s="1"/>
      <c r="P73" s="1"/>
      <c r="Q73" s="1"/>
      <c r="R73" s="1"/>
      <c r="S73" s="4"/>
      <c r="T73" s="4"/>
      <c r="U73" s="4"/>
      <c r="V73" s="4"/>
      <c r="W73" s="4"/>
      <c r="X73" s="4"/>
      <c r="Z73" s="62"/>
      <c r="AC73" s="58"/>
      <c r="AE73" s="2"/>
      <c r="AF73" s="206"/>
      <c r="AG73" s="206"/>
      <c r="AH73" s="206"/>
      <c r="AI73" s="206"/>
      <c r="AJ73" s="206"/>
      <c r="AK73" s="206"/>
      <c r="AL73" s="206"/>
      <c r="AM73" s="206"/>
      <c r="AN73" s="206"/>
      <c r="AO73" s="206"/>
      <c r="AP73" s="206"/>
      <c r="AX73" s="17">
        <f ca="1">IF(AY73="",0,IF($CX$97="",(D73=Ergebnisse!D73)+(F73=Ergebnisse!F73)+(SIGN(H73-J73)=SIGN(Ergebnisse!H73-Ergebnisse!J73))*7+(H73=Ergebnisse!H73)+(J73=Ergebnisse!J73),INT(RAND()*12)))</f>
        <v>0</v>
      </c>
      <c r="AY73" s="17" t="str">
        <f ca="1">IF(Ergebnisse!K73=Ergebnisse!$B$98,Ergebnisse!K73,"")</f>
        <v>ok</v>
      </c>
      <c r="AZ73" s="206"/>
      <c r="BA73" s="206"/>
      <c r="BB73" s="206"/>
      <c r="BC73" s="206"/>
      <c r="BD73" s="206"/>
      <c r="BE73" s="206"/>
      <c r="BF73" s="206"/>
      <c r="BG73" s="206"/>
      <c r="BH73" s="206"/>
      <c r="BI73" s="206"/>
      <c r="BJ73" s="206"/>
      <c r="BK73" s="206"/>
      <c r="BL73" s="206"/>
      <c r="BM73" s="206"/>
      <c r="BN73" s="206"/>
      <c r="BO73" s="206"/>
      <c r="BP73" s="206"/>
      <c r="BQ73" s="206"/>
      <c r="BR73" s="206"/>
      <c r="BS73" s="206"/>
      <c r="BT73" s="206"/>
      <c r="BU73" s="206"/>
      <c r="BV73" s="55"/>
      <c r="BW73" s="55"/>
      <c r="BX73" s="62"/>
      <c r="BY73" s="153"/>
      <c r="BZ73" s="55"/>
      <c r="CA73" s="55"/>
      <c r="CB73" s="55"/>
      <c r="CC73" s="55"/>
      <c r="CD73" s="174"/>
      <c r="CE73" s="66"/>
      <c r="CF73" s="66"/>
      <c r="CG73" s="66"/>
      <c r="CH73" s="66"/>
      <c r="CI73" s="66"/>
      <c r="CJ73" s="66"/>
      <c r="CK73" s="66"/>
      <c r="CL73" s="55"/>
      <c r="CM73" s="55"/>
      <c r="CN73" s="55"/>
      <c r="CO73" s="55"/>
      <c r="CP73" s="55"/>
      <c r="CQ73" s="55"/>
      <c r="CR73" s="55"/>
      <c r="CS73" s="55"/>
      <c r="CT73" s="55"/>
      <c r="CU73" s="55"/>
      <c r="CW73" s="55"/>
    </row>
    <row r="74" spans="1:101">
      <c r="A74" s="2">
        <f>IF(Ergebnisse!A74="","",Ergebnisse!A74)</f>
        <v>83</v>
      </c>
      <c r="B74" s="6">
        <f>IF(Ergebnisse!B74="","",Ergebnisse!B74)</f>
        <v>46205.791666666664</v>
      </c>
      <c r="C74" s="6" t="str">
        <f>IF(Ergebnisse!C74="","",Ergebnisse!C74)</f>
        <v>Toronto</v>
      </c>
      <c r="D74" s="232" t="s">
        <v>240</v>
      </c>
      <c r="E74" s="15"/>
      <c r="F74" s="237" t="s">
        <v>188</v>
      </c>
      <c r="G74" s="17"/>
      <c r="H74" s="107">
        <v>0</v>
      </c>
      <c r="I74" s="11" t="s">
        <v>25</v>
      </c>
      <c r="J74" s="107">
        <v>1</v>
      </c>
      <c r="L74" s="1"/>
      <c r="M74" s="242" t="s">
        <v>188</v>
      </c>
      <c r="N74" s="1"/>
      <c r="O74" s="1"/>
      <c r="P74" s="1"/>
      <c r="Q74" s="1"/>
      <c r="R74" s="1"/>
      <c r="S74" s="4"/>
      <c r="T74" s="4"/>
      <c r="U74" s="4"/>
      <c r="V74" s="4"/>
      <c r="W74" s="4"/>
      <c r="X74" s="4"/>
      <c r="Z74" s="62"/>
      <c r="AC74" s="58"/>
      <c r="AE74" s="2"/>
      <c r="AF74" s="206"/>
      <c r="AG74" s="206"/>
      <c r="AH74" s="206"/>
      <c r="AI74" s="206"/>
      <c r="AJ74" s="206"/>
      <c r="AK74" s="206"/>
      <c r="AL74" s="206"/>
      <c r="AM74" s="206"/>
      <c r="AN74" s="206"/>
      <c r="AO74" s="206"/>
      <c r="AP74" s="206"/>
      <c r="AX74" s="17">
        <f ca="1">IF(AY74="",0,IF($CX$97="",(D74=Ergebnisse!D74)+(F74=Ergebnisse!F74)+(SIGN(H74-J74)=SIGN(Ergebnisse!H74-Ergebnisse!J74))*7+(H74=Ergebnisse!H74)+(J74=Ergebnisse!J74),INT(RAND()*12)))</f>
        <v>7</v>
      </c>
      <c r="AY74" s="17" t="str">
        <f ca="1">IF(Ergebnisse!K74=Ergebnisse!$B$98,Ergebnisse!K74,"")</f>
        <v>ok</v>
      </c>
      <c r="AZ74" s="206"/>
      <c r="BA74" s="206"/>
      <c r="BB74" s="206"/>
      <c r="BC74" s="206"/>
      <c r="BD74" s="206"/>
      <c r="BE74" s="206"/>
      <c r="BF74" s="206"/>
      <c r="BG74" s="206"/>
      <c r="BH74" s="206"/>
      <c r="BI74" s="206"/>
      <c r="BJ74" s="206"/>
      <c r="BK74" s="206"/>
      <c r="BL74" s="206"/>
      <c r="BM74" s="206"/>
      <c r="BN74" s="206"/>
      <c r="BO74" s="206"/>
      <c r="BP74" s="206"/>
      <c r="BQ74" s="206"/>
      <c r="BR74" s="206"/>
      <c r="BS74" s="206"/>
      <c r="BT74" s="206"/>
      <c r="BU74" s="206"/>
      <c r="BV74" s="55"/>
      <c r="BW74" s="55"/>
      <c r="BX74" s="62"/>
      <c r="BY74" s="153"/>
      <c r="BZ74" s="55"/>
      <c r="CA74" s="55"/>
      <c r="CB74" s="55"/>
      <c r="CC74" s="55"/>
      <c r="CD74" s="174"/>
      <c r="CE74" s="66"/>
      <c r="CF74" s="66"/>
      <c r="CG74" s="66"/>
      <c r="CH74" s="66"/>
      <c r="CI74" s="66"/>
      <c r="CJ74" s="66"/>
      <c r="CK74" s="66"/>
      <c r="CL74" s="55"/>
      <c r="CM74" s="55"/>
      <c r="CN74" s="55"/>
      <c r="CO74" s="55"/>
      <c r="CP74" s="55"/>
      <c r="CQ74" s="55"/>
      <c r="CR74" s="55"/>
      <c r="CS74" s="55"/>
      <c r="CT74" s="55"/>
      <c r="CU74" s="55"/>
      <c r="CW74" s="55"/>
    </row>
    <row r="75" spans="1:101">
      <c r="A75" s="2">
        <f>IF(Ergebnisse!A75="","",Ergebnisse!A75)</f>
        <v>85</v>
      </c>
      <c r="B75" s="6">
        <f>IF(Ergebnisse!B75="","",Ergebnisse!B75)</f>
        <v>46205.833333333336</v>
      </c>
      <c r="C75" s="6" t="str">
        <f>IF(Ergebnisse!C75="","",Ergebnisse!C75)</f>
        <v>Vancouver</v>
      </c>
      <c r="D75" s="37" t="s">
        <v>68</v>
      </c>
      <c r="E75" s="15"/>
      <c r="F75" s="34" t="s">
        <v>222</v>
      </c>
      <c r="G75" s="17"/>
      <c r="H75" s="107">
        <v>2</v>
      </c>
      <c r="I75" s="11" t="s">
        <v>25</v>
      </c>
      <c r="J75" s="107">
        <v>1</v>
      </c>
      <c r="L75" s="1"/>
      <c r="M75" s="249" t="s">
        <v>68</v>
      </c>
      <c r="N75" s="1"/>
      <c r="O75" s="1"/>
      <c r="P75" s="1"/>
      <c r="Q75" s="1"/>
      <c r="R75" s="1"/>
      <c r="S75" s="4"/>
      <c r="T75" s="4"/>
      <c r="U75" s="4"/>
      <c r="V75" s="4"/>
      <c r="W75" s="4"/>
      <c r="X75" s="4"/>
      <c r="Z75" s="62"/>
      <c r="AC75" s="58"/>
      <c r="AE75" s="2"/>
      <c r="AF75" s="206"/>
      <c r="AG75" s="206"/>
      <c r="AH75" s="206"/>
      <c r="AI75" s="206"/>
      <c r="AJ75" s="206"/>
      <c r="AK75" s="206"/>
      <c r="AL75" s="206"/>
      <c r="AM75" s="206"/>
      <c r="AN75" s="206"/>
      <c r="AO75" s="206"/>
      <c r="AP75" s="206"/>
      <c r="AX75" s="17">
        <f ca="1">IF(AY75="",0,IF($CX$97="",(D75=Ergebnisse!D75)+(F75=Ergebnisse!F75)+(SIGN(H75-J75)=SIGN(Ergebnisse!H75-Ergebnisse!J75))*7+(H75=Ergebnisse!H75)+(J75=Ergebnisse!J75),INT(RAND()*12)))</f>
        <v>1</v>
      </c>
      <c r="AY75" s="17" t="str">
        <f ca="1">IF(Ergebnisse!K75=Ergebnisse!$B$98,Ergebnisse!K75,"")</f>
        <v>ok</v>
      </c>
      <c r="AZ75" s="206"/>
      <c r="BA75" s="206"/>
      <c r="BB75" s="206"/>
      <c r="BC75" s="206"/>
      <c r="BD75" s="206"/>
      <c r="BE75" s="206"/>
      <c r="BF75" s="206"/>
      <c r="BG75" s="206"/>
      <c r="BH75" s="206"/>
      <c r="BI75" s="206"/>
      <c r="BJ75" s="206"/>
      <c r="BK75" s="206"/>
      <c r="BL75" s="206"/>
      <c r="BM75" s="206"/>
      <c r="BN75" s="206"/>
      <c r="BO75" s="206"/>
      <c r="BP75" s="206"/>
      <c r="BQ75" s="206"/>
      <c r="BR75" s="206"/>
      <c r="BS75" s="206"/>
      <c r="BT75" s="206"/>
      <c r="BU75" s="206"/>
      <c r="BV75" s="55"/>
      <c r="BW75" s="55"/>
      <c r="BX75" s="62"/>
      <c r="BY75" s="153"/>
      <c r="BZ75" s="55"/>
      <c r="CA75" s="55"/>
      <c r="CB75" s="55"/>
      <c r="CC75" s="55"/>
      <c r="CD75" s="174"/>
      <c r="CE75" s="66"/>
      <c r="CF75" s="66"/>
      <c r="CG75" s="66"/>
      <c r="CH75" s="66"/>
      <c r="CI75" s="66"/>
      <c r="CJ75" s="66"/>
      <c r="CK75" s="66"/>
      <c r="CL75" s="55"/>
      <c r="CM75" s="55"/>
      <c r="CN75" s="55"/>
      <c r="CO75" s="55"/>
      <c r="CP75" s="55"/>
      <c r="CQ75" s="55"/>
      <c r="CR75" s="55"/>
      <c r="CS75" s="55"/>
      <c r="CT75" s="55"/>
      <c r="CU75" s="55"/>
      <c r="CW75" s="55"/>
    </row>
    <row r="76" spans="1:101">
      <c r="A76" s="2">
        <f>IF(Ergebnisse!A76="","",Ergebnisse!A76)</f>
        <v>88</v>
      </c>
      <c r="B76" s="6">
        <f>IF(Ergebnisse!B76="","",Ergebnisse!B76)</f>
        <v>46206.541666666672</v>
      </c>
      <c r="C76" s="6" t="str">
        <f>IF(Ergebnisse!C76="","",Ergebnisse!C76)</f>
        <v>Dallas</v>
      </c>
      <c r="D76" s="177" t="s">
        <v>206</v>
      </c>
      <c r="E76" s="15"/>
      <c r="F76" s="228" t="s">
        <v>224</v>
      </c>
      <c r="G76" s="17"/>
      <c r="H76" s="107">
        <v>0</v>
      </c>
      <c r="I76" s="11" t="s">
        <v>25</v>
      </c>
      <c r="J76" s="107">
        <v>1</v>
      </c>
      <c r="L76" s="1"/>
      <c r="M76" s="249" t="s">
        <v>224</v>
      </c>
      <c r="N76" s="1"/>
      <c r="O76" s="1"/>
      <c r="P76" s="1"/>
      <c r="Q76" s="1"/>
      <c r="R76" s="1"/>
      <c r="S76" s="4"/>
      <c r="T76" s="4"/>
      <c r="U76" s="4"/>
      <c r="V76" s="4"/>
      <c r="W76" s="4"/>
      <c r="X76" s="4"/>
      <c r="Z76" s="62"/>
      <c r="AC76" s="58"/>
      <c r="AE76" s="2"/>
      <c r="AF76" s="206"/>
      <c r="AG76" s="206"/>
      <c r="AH76" s="206"/>
      <c r="AI76" s="206"/>
      <c r="AJ76" s="206"/>
      <c r="AK76" s="206"/>
      <c r="AL76" s="206"/>
      <c r="AM76" s="206"/>
      <c r="AN76" s="206"/>
      <c r="AO76" s="206"/>
      <c r="AP76" s="206"/>
      <c r="AX76" s="17">
        <f ca="1">IF(AY76="",0,IF($CX$97="",(D76=Ergebnisse!D76)+(F76=Ergebnisse!F76)+(SIGN(H76-J76)=SIGN(Ergebnisse!H76-Ergebnisse!J76))*7+(H76=Ergebnisse!H76)+(J76=Ergebnisse!J76),INT(RAND()*12)))</f>
        <v>3</v>
      </c>
      <c r="AY76" s="17" t="str">
        <f ca="1">IF(Ergebnisse!K76=Ergebnisse!$B$98,Ergebnisse!K76,"")</f>
        <v>ok</v>
      </c>
      <c r="AZ76" s="206"/>
      <c r="BA76" s="206"/>
      <c r="BB76" s="206"/>
      <c r="BC76" s="206"/>
      <c r="BD76" s="206"/>
      <c r="BE76" s="206"/>
      <c r="BF76" s="206"/>
      <c r="BG76" s="206"/>
      <c r="BH76" s="206"/>
      <c r="BI76" s="206"/>
      <c r="BJ76" s="206"/>
      <c r="BK76" s="206"/>
      <c r="BL76" s="206"/>
      <c r="BM76" s="206"/>
      <c r="BN76" s="206"/>
      <c r="BO76" s="206"/>
      <c r="BP76" s="206"/>
      <c r="BQ76" s="206"/>
      <c r="BR76" s="206"/>
      <c r="BS76" s="206"/>
      <c r="BT76" s="206"/>
      <c r="BU76" s="206"/>
      <c r="BV76" s="55"/>
      <c r="BW76" s="55"/>
      <c r="BX76" s="62"/>
      <c r="BY76" s="153"/>
      <c r="BZ76" s="55"/>
      <c r="CA76" s="55"/>
      <c r="CB76" s="55"/>
      <c r="CC76" s="55"/>
      <c r="CD76" s="174"/>
      <c r="CE76" s="66"/>
      <c r="CF76" s="66"/>
      <c r="CG76" s="66"/>
      <c r="CH76" s="66"/>
      <c r="CI76" s="66"/>
      <c r="CJ76" s="66"/>
      <c r="CK76" s="66"/>
      <c r="CL76" s="55"/>
      <c r="CM76" s="55"/>
      <c r="CN76" s="55"/>
      <c r="CO76" s="55"/>
      <c r="CP76" s="55"/>
      <c r="CQ76" s="55"/>
      <c r="CR76" s="55"/>
      <c r="CS76" s="55"/>
      <c r="CT76" s="55"/>
      <c r="CU76" s="55"/>
      <c r="CW76" s="55"/>
    </row>
    <row r="77" spans="1:101">
      <c r="A77" s="2">
        <f>IF(Ergebnisse!A77="","",Ergebnisse!A77)</f>
        <v>86</v>
      </c>
      <c r="B77" s="6">
        <f>IF(Ergebnisse!B77="","",Ergebnisse!B77)</f>
        <v>46206.75</v>
      </c>
      <c r="C77" s="6" t="str">
        <f>IF(Ergebnisse!C77="","",Ergebnisse!C77)</f>
        <v>Miami</v>
      </c>
      <c r="D77" s="227" t="s">
        <v>221</v>
      </c>
      <c r="E77" s="15"/>
      <c r="F77" s="233" t="s">
        <v>237</v>
      </c>
      <c r="G77" s="17"/>
      <c r="H77" s="107">
        <v>4</v>
      </c>
      <c r="I77" s="11" t="s">
        <v>25</v>
      </c>
      <c r="J77" s="107">
        <v>2</v>
      </c>
      <c r="L77" s="1"/>
      <c r="M77" s="252" t="s">
        <v>221</v>
      </c>
      <c r="N77" s="1"/>
      <c r="O77" s="1"/>
      <c r="P77" s="1"/>
      <c r="Q77" s="1"/>
      <c r="R77" s="1"/>
      <c r="S77" s="4"/>
      <c r="T77" s="4"/>
      <c r="U77" s="4"/>
      <c r="V77" s="4"/>
      <c r="W77" s="4"/>
      <c r="X77" s="4"/>
      <c r="Z77" s="62"/>
      <c r="AC77" s="58"/>
      <c r="AE77" s="2"/>
      <c r="AF77" s="206"/>
      <c r="AG77" s="206"/>
      <c r="AH77" s="206"/>
      <c r="AI77" s="206"/>
      <c r="AJ77" s="206"/>
      <c r="AK77" s="206"/>
      <c r="AL77" s="206"/>
      <c r="AM77" s="206"/>
      <c r="AN77" s="206"/>
      <c r="AO77" s="206"/>
      <c r="AP77" s="206"/>
      <c r="AX77" s="17">
        <f ca="1">IF(AY77="",0,IF($CX$97="",(D77=Ergebnisse!D77)+(F77=Ergebnisse!F77)+(SIGN(H77-J77)=SIGN(Ergebnisse!H77-Ergebnisse!J77))*7+(H77=Ergebnisse!H77)+(J77=Ergebnisse!J77),INT(RAND()*12)))</f>
        <v>9</v>
      </c>
      <c r="AY77" s="17" t="str">
        <f ca="1">IF(Ergebnisse!K77=Ergebnisse!$B$98,Ergebnisse!K77,"")</f>
        <v>ok</v>
      </c>
      <c r="AZ77" s="206"/>
      <c r="BA77" s="206"/>
      <c r="BB77" s="206"/>
      <c r="BC77" s="206"/>
      <c r="BD77" s="206"/>
      <c r="BE77" s="206"/>
      <c r="BF77" s="206"/>
      <c r="BG77" s="206"/>
      <c r="BH77" s="206"/>
      <c r="BI77" s="206"/>
      <c r="BJ77" s="206"/>
      <c r="BK77" s="206"/>
      <c r="BL77" s="206"/>
      <c r="BM77" s="206"/>
      <c r="BN77" s="206"/>
      <c r="BO77" s="206"/>
      <c r="BP77" s="206"/>
      <c r="BQ77" s="206"/>
      <c r="BR77" s="206"/>
      <c r="BS77" s="206"/>
      <c r="BT77" s="206"/>
      <c r="BU77" s="206"/>
      <c r="BV77" s="55"/>
      <c r="BW77" s="55"/>
      <c r="BX77" s="62"/>
      <c r="BY77" s="153"/>
      <c r="BZ77" s="55"/>
      <c r="CA77" s="55"/>
      <c r="CB77" s="55"/>
      <c r="CC77" s="55"/>
      <c r="CD77" s="174"/>
      <c r="CE77" s="66"/>
      <c r="CF77" s="66"/>
      <c r="CG77" s="66"/>
      <c r="CH77" s="66"/>
      <c r="CI77" s="66"/>
      <c r="CJ77" s="66"/>
      <c r="CK77" s="66"/>
      <c r="CL77" s="55"/>
      <c r="CM77" s="55"/>
      <c r="CN77" s="55"/>
      <c r="CO77" s="55"/>
      <c r="CP77" s="55"/>
      <c r="CQ77" s="55"/>
      <c r="CR77" s="55"/>
      <c r="CS77" s="55"/>
      <c r="CT77" s="55"/>
      <c r="CU77" s="55"/>
      <c r="CW77" s="55"/>
    </row>
    <row r="78" spans="1:101">
      <c r="A78" s="2">
        <f>IF(Ergebnisse!A78="","",Ergebnisse!A78)</f>
        <v>87</v>
      </c>
      <c r="B78" s="6">
        <f>IF(Ergebnisse!B78="","",Ergebnisse!B78)</f>
        <v>46206.854166666672</v>
      </c>
      <c r="C78" s="6" t="str">
        <f>IF(Ergebnisse!C78="","",Ergebnisse!C78)</f>
        <v>Kansas City</v>
      </c>
      <c r="D78" s="232" t="s">
        <v>190</v>
      </c>
      <c r="E78" s="15"/>
      <c r="F78" s="34" t="s">
        <v>253</v>
      </c>
      <c r="G78" s="17"/>
      <c r="H78" s="107">
        <v>4</v>
      </c>
      <c r="I78" s="11" t="s">
        <v>25</v>
      </c>
      <c r="J78" s="107">
        <v>3</v>
      </c>
      <c r="L78" s="1"/>
      <c r="M78" s="252" t="s">
        <v>190</v>
      </c>
      <c r="N78" s="1"/>
      <c r="O78" s="1"/>
      <c r="P78" s="1"/>
      <c r="Q78" s="1"/>
      <c r="R78" s="1"/>
      <c r="S78" s="4"/>
      <c r="T78" s="4"/>
      <c r="U78" s="4"/>
      <c r="V78" s="4"/>
      <c r="W78" s="4"/>
      <c r="X78" s="4"/>
      <c r="Z78" s="62"/>
      <c r="AC78" s="58"/>
      <c r="AE78" s="2"/>
      <c r="AF78" s="206"/>
      <c r="AG78" s="206"/>
      <c r="AH78" s="206"/>
      <c r="AI78" s="206"/>
      <c r="AJ78" s="206"/>
      <c r="AK78" s="206"/>
      <c r="AL78" s="206"/>
      <c r="AM78" s="206"/>
      <c r="AN78" s="206"/>
      <c r="AO78" s="206"/>
      <c r="AP78" s="206"/>
      <c r="AX78" s="17">
        <f ca="1">IF(AY78="",0,IF($CX$97="",(D78=Ergebnisse!D78)+(F78=Ergebnisse!F78)+(SIGN(H78-J78)=SIGN(Ergebnisse!H78-Ergebnisse!J78))*7+(H78=Ergebnisse!H78)+(J78=Ergebnisse!J78),INT(RAND()*12)))</f>
        <v>1</v>
      </c>
      <c r="AY78" s="17" t="str">
        <f ca="1">IF(Ergebnisse!K78=Ergebnisse!$B$98,Ergebnisse!K78,"")</f>
        <v>ok</v>
      </c>
      <c r="AZ78" s="206"/>
      <c r="BA78" s="206"/>
      <c r="BB78" s="206"/>
      <c r="BC78" s="206"/>
      <c r="BD78" s="206"/>
      <c r="BE78" s="206"/>
      <c r="BF78" s="206"/>
      <c r="BG78" s="206"/>
      <c r="BH78" s="206"/>
      <c r="BI78" s="206"/>
      <c r="BJ78" s="206"/>
      <c r="BK78" s="206"/>
      <c r="BL78" s="206"/>
      <c r="BM78" s="206"/>
      <c r="BN78" s="206"/>
      <c r="BO78" s="206"/>
      <c r="BP78" s="206"/>
      <c r="BQ78" s="206"/>
      <c r="BR78" s="206"/>
      <c r="BS78" s="206"/>
      <c r="BT78" s="206"/>
      <c r="BU78" s="206"/>
      <c r="BV78" s="55"/>
      <c r="BW78" s="55"/>
      <c r="BX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c r="CW78" s="55"/>
    </row>
    <row r="79" spans="1:101">
      <c r="B79" s="6"/>
      <c r="C79" s="6"/>
      <c r="D79" s="4"/>
      <c r="E79" s="15"/>
      <c r="F79" s="4"/>
      <c r="G79" s="4"/>
      <c r="H79" s="4"/>
      <c r="I79" s="4"/>
      <c r="J79" s="4"/>
      <c r="K79" s="4"/>
      <c r="L79" s="4"/>
      <c r="M79" s="4"/>
      <c r="N79" s="4"/>
      <c r="O79" s="4"/>
      <c r="P79" s="4"/>
      <c r="Q79" s="4"/>
      <c r="R79" s="4"/>
      <c r="S79" s="4"/>
      <c r="T79" s="4"/>
      <c r="U79" s="4"/>
      <c r="V79" s="4"/>
      <c r="W79" s="4"/>
      <c r="X79" s="4"/>
      <c r="Y79" s="4"/>
      <c r="Z79" s="4"/>
      <c r="AA79" s="4"/>
      <c r="AB79" s="4"/>
      <c r="AC79" s="58"/>
      <c r="AF79" s="206"/>
      <c r="AG79" s="206"/>
      <c r="AH79" s="206"/>
      <c r="AI79" s="206"/>
      <c r="AJ79" s="206"/>
      <c r="AK79" s="206"/>
      <c r="AL79" s="206"/>
      <c r="AM79" s="206"/>
      <c r="AN79" s="206"/>
      <c r="AO79" s="206"/>
      <c r="AP79" s="206"/>
      <c r="AZ79" s="206"/>
      <c r="BB79" s="58"/>
      <c r="BH79" s="2"/>
      <c r="BI79" s="2"/>
      <c r="BJ79" s="1"/>
      <c r="BK79" s="2"/>
      <c r="BM79" s="2"/>
      <c r="BS79" s="55"/>
      <c r="BT79" s="55"/>
      <c r="BU79" s="55"/>
      <c r="BV79" s="55"/>
      <c r="BW79" s="55"/>
      <c r="BX79" s="55"/>
      <c r="BZ79" s="55"/>
      <c r="CA79" s="55"/>
      <c r="CB79" s="55"/>
      <c r="CC79" s="55"/>
      <c r="CD79" s="55"/>
      <c r="CE79" s="55"/>
      <c r="CF79" s="55"/>
      <c r="CG79" s="55"/>
      <c r="CH79" s="55"/>
      <c r="CI79" s="55"/>
      <c r="CJ79" s="55"/>
      <c r="CK79" s="55"/>
      <c r="CL79" s="55"/>
      <c r="CM79" s="55"/>
      <c r="CN79" s="55"/>
      <c r="CO79" s="55"/>
      <c r="CP79" s="55"/>
      <c r="CQ79" s="55"/>
      <c r="CR79" s="55"/>
      <c r="CS79" s="55"/>
      <c r="CT79" s="55"/>
      <c r="CU79" s="55"/>
      <c r="CV79" s="55"/>
      <c r="CW79" s="55"/>
    </row>
    <row r="80" spans="1:101">
      <c r="B80" s="17" t="s">
        <v>43</v>
      </c>
      <c r="C80" s="21"/>
      <c r="D80" s="17"/>
      <c r="E80" s="15"/>
      <c r="F80" s="17"/>
      <c r="G80" s="17"/>
      <c r="H80" s="20"/>
      <c r="I80" s="19"/>
      <c r="J80" s="20"/>
      <c r="K80" s="181"/>
      <c r="L80" s="17"/>
      <c r="M80" s="21"/>
      <c r="N80" s="17"/>
      <c r="O80" s="17"/>
      <c r="P80" s="17"/>
      <c r="Q80" s="17"/>
      <c r="R80" s="17"/>
      <c r="S80" s="62"/>
      <c r="T80" s="62"/>
      <c r="U80" s="62"/>
      <c r="V80" s="62"/>
      <c r="W80" s="62"/>
      <c r="Y80" s="206"/>
      <c r="Z80" s="206"/>
      <c r="AA80" s="206"/>
      <c r="AB80" s="206"/>
      <c r="AC80" s="206"/>
      <c r="AE80" s="108"/>
      <c r="AF80" s="206"/>
      <c r="AG80" s="206"/>
      <c r="AH80" s="206"/>
      <c r="AI80" s="206"/>
      <c r="AJ80" s="206"/>
      <c r="AK80" s="206"/>
      <c r="AL80" s="206"/>
      <c r="AM80" s="206"/>
      <c r="AN80" s="206"/>
      <c r="AO80" s="206"/>
      <c r="AP80" s="206"/>
      <c r="AZ80" s="206"/>
      <c r="BB80" s="255" t="s">
        <v>44</v>
      </c>
      <c r="BH80" s="2"/>
      <c r="BI80" s="2"/>
      <c r="BJ80" s="1"/>
      <c r="BK80" s="2"/>
      <c r="BM80" s="2"/>
      <c r="BS80" s="55"/>
      <c r="BT80" s="55"/>
      <c r="BU80" s="55"/>
      <c r="BV80" s="55"/>
      <c r="BW80" s="55"/>
      <c r="BX80" s="55"/>
      <c r="BZ80" s="55"/>
      <c r="CA80" s="55"/>
      <c r="CB80" s="55"/>
      <c r="CC80" s="55"/>
      <c r="CD80" s="58"/>
      <c r="CE80" s="55"/>
      <c r="CF80" s="55"/>
      <c r="CG80" s="55"/>
      <c r="CH80" s="55"/>
      <c r="CI80" s="55"/>
      <c r="CJ80" s="55"/>
      <c r="CK80" s="55"/>
      <c r="CL80" s="55"/>
      <c r="CM80" s="55"/>
      <c r="CN80" s="55"/>
      <c r="CO80" s="55"/>
      <c r="CP80" s="55"/>
      <c r="CQ80" s="55"/>
      <c r="CR80" s="55"/>
      <c r="CS80" s="55"/>
      <c r="CT80" s="55"/>
      <c r="CU80" s="55"/>
      <c r="CV80" s="55"/>
      <c r="CW80" s="55"/>
    </row>
    <row r="81" spans="1:103">
      <c r="B81" s="3" t="s">
        <v>22</v>
      </c>
      <c r="C81" s="3" t="s">
        <v>23</v>
      </c>
      <c r="D81" s="17"/>
      <c r="E81" s="15"/>
      <c r="F81" s="17"/>
      <c r="G81" s="17"/>
      <c r="H81" s="20"/>
      <c r="I81" s="11"/>
      <c r="J81" s="20"/>
      <c r="K81" s="181"/>
      <c r="L81" s="1"/>
      <c r="M81" s="3"/>
      <c r="N81" s="1"/>
      <c r="O81" s="1"/>
      <c r="P81" s="1"/>
      <c r="Q81" s="1"/>
      <c r="S81" s="62"/>
      <c r="T81" s="62"/>
      <c r="U81" s="62"/>
      <c r="V81" s="62"/>
      <c r="W81" s="62"/>
      <c r="Y81" s="206"/>
      <c r="Z81" s="206"/>
      <c r="AA81" s="206"/>
      <c r="AB81" s="206"/>
      <c r="AC81" s="206"/>
      <c r="AF81" s="206"/>
      <c r="AG81" s="206"/>
      <c r="AH81" s="206"/>
      <c r="AI81" s="206"/>
      <c r="AJ81" s="206"/>
      <c r="AK81" s="206"/>
      <c r="AL81" s="206"/>
      <c r="AM81" s="206"/>
      <c r="AN81" s="206"/>
      <c r="AO81" s="206"/>
      <c r="AP81" s="206"/>
      <c r="AX81" s="17"/>
      <c r="AY81" s="17"/>
      <c r="AZ81" s="206"/>
      <c r="BB81" s="3" t="s">
        <v>22</v>
      </c>
      <c r="BC81" s="3" t="s">
        <v>23</v>
      </c>
      <c r="BD81" s="14"/>
      <c r="BE81" s="14"/>
      <c r="BF81" s="14"/>
      <c r="BG81" s="17"/>
      <c r="BH81" s="20"/>
      <c r="BI81" s="11"/>
      <c r="BJ81" s="67"/>
      <c r="BK81" s="181"/>
      <c r="BL81" s="1"/>
      <c r="BM81" s="3"/>
      <c r="BP81" s="1"/>
      <c r="BQ81" s="1"/>
      <c r="BR81" s="1"/>
      <c r="BS81" s="62"/>
      <c r="BT81" s="62"/>
      <c r="BU81" s="62"/>
      <c r="BV81" s="62"/>
      <c r="BW81" s="62"/>
      <c r="BX81" s="62"/>
      <c r="BY81" s="206"/>
      <c r="BZ81" s="206"/>
      <c r="CA81" s="206"/>
      <c r="CB81" s="206"/>
      <c r="CC81" s="206"/>
      <c r="CD81" s="206"/>
      <c r="CE81" s="206"/>
      <c r="CF81" s="206"/>
      <c r="CG81" s="206"/>
      <c r="CH81" s="206"/>
      <c r="CI81" s="206"/>
      <c r="CJ81" s="206"/>
      <c r="CK81" s="206"/>
      <c r="CL81" s="206"/>
      <c r="CM81" s="206"/>
      <c r="CN81" s="206"/>
      <c r="CO81" s="206"/>
      <c r="CP81" s="55"/>
      <c r="CQ81" s="55"/>
      <c r="CR81" s="55"/>
      <c r="CS81" s="55"/>
      <c r="CT81" s="55"/>
      <c r="CU81" s="55"/>
      <c r="CV81" s="55"/>
      <c r="CW81" s="55"/>
    </row>
    <row r="82" spans="1:103">
      <c r="A82" s="2">
        <f>IF(Ergebnisse!A82="","",Ergebnisse!A82)</f>
        <v>89</v>
      </c>
      <c r="B82" s="6">
        <f>IF(Ergebnisse!B82="","",Ergebnisse!B82)</f>
        <v>46207.708333333336</v>
      </c>
      <c r="C82" s="6" t="str">
        <f>IF(Ergebnisse!C82="","",Ergebnisse!C82)</f>
        <v>Philadelphia</v>
      </c>
      <c r="D82" s="258" t="s">
        <v>67</v>
      </c>
      <c r="E82" s="15"/>
      <c r="F82" s="258" t="s">
        <v>69</v>
      </c>
      <c r="G82" s="3"/>
      <c r="H82" s="107">
        <v>3</v>
      </c>
      <c r="I82" s="11" t="s">
        <v>25</v>
      </c>
      <c r="J82" s="107">
        <v>4</v>
      </c>
      <c r="L82" s="1"/>
      <c r="M82" s="260" t="s">
        <v>69</v>
      </c>
      <c r="N82" s="1"/>
      <c r="O82" s="1"/>
      <c r="P82" s="14"/>
      <c r="Q82" s="3"/>
      <c r="R82" s="3"/>
      <c r="S82" s="62"/>
      <c r="T82" s="62"/>
      <c r="U82" s="62"/>
      <c r="V82" s="62"/>
      <c r="W82" s="62"/>
      <c r="Y82" s="206"/>
      <c r="Z82" s="206"/>
      <c r="AA82" s="206"/>
      <c r="AB82" s="206"/>
      <c r="AC82" s="206"/>
      <c r="AI82" s="206"/>
      <c r="AJ82" s="206"/>
      <c r="AK82" s="206"/>
      <c r="AL82" s="206"/>
      <c r="AM82" s="206"/>
      <c r="AN82" s="206"/>
      <c r="AO82" s="206"/>
      <c r="AP82" s="206"/>
      <c r="AX82" s="17">
        <f ca="1">IF(AY82="",0,IF($CX$97="",2*(D82=Ergebnisse!D82)+2*(F82=Ergebnisse!F82)+(SIGN(H82-J82)=SIGN(Ergebnisse!H82-Ergebnisse!J82))*7+(H82=Ergebnisse!H82)+(J82=Ergebnisse!J82),INT(RAND()*14)))</f>
        <v>9</v>
      </c>
      <c r="AY82" s="17" t="str">
        <f ca="1">IF(Ergebnisse!K82=Ergebnisse!$B$98,Ergebnisse!K82,"")</f>
        <v>ok</v>
      </c>
      <c r="AZ82" s="206"/>
      <c r="BA82" s="2">
        <f>IF(Ergebnisse!BA82="","",Ergebnisse!BA82)</f>
        <v>97</v>
      </c>
      <c r="BB82" s="6">
        <f>IF(Ergebnisse!BB82="","",Ergebnisse!BB82)</f>
        <v>46212.666666666664</v>
      </c>
      <c r="BC82" s="6" t="str">
        <f>IF(Ergebnisse!BC82="","",Ergebnisse!BC82)</f>
        <v>Boston</v>
      </c>
      <c r="BD82" s="41" t="s">
        <v>69</v>
      </c>
      <c r="BE82" s="15"/>
      <c r="BF82" s="41" t="s">
        <v>71</v>
      </c>
      <c r="BG82" s="14"/>
      <c r="BH82" s="107">
        <v>1</v>
      </c>
      <c r="BI82" s="11" t="s">
        <v>25</v>
      </c>
      <c r="BJ82" s="107">
        <v>0</v>
      </c>
      <c r="BL82" s="1"/>
      <c r="BM82" s="42" t="s">
        <v>69</v>
      </c>
      <c r="BN82" s="1"/>
      <c r="BO82" s="1"/>
      <c r="BQ82" s="1"/>
      <c r="BR82" s="1"/>
      <c r="BS82" s="62"/>
      <c r="BT82" s="62"/>
      <c r="BU82" s="62"/>
      <c r="BV82" s="62"/>
      <c r="BW82" s="62"/>
      <c r="BX82" s="62"/>
      <c r="BY82" s="206"/>
      <c r="BZ82" s="206"/>
      <c r="CA82" s="206"/>
      <c r="CB82" s="206"/>
      <c r="CC82" s="206"/>
      <c r="CD82" s="206"/>
      <c r="CE82" s="206"/>
      <c r="CF82" s="206"/>
      <c r="CG82" s="206"/>
      <c r="CH82" s="206"/>
      <c r="CI82" s="206"/>
      <c r="CJ82" s="206"/>
      <c r="CK82" s="206"/>
      <c r="CL82" s="206"/>
      <c r="CM82" s="206"/>
      <c r="CN82" s="206"/>
      <c r="CO82" s="206"/>
      <c r="CP82" s="55"/>
      <c r="CQ82" s="55"/>
      <c r="CR82" s="55"/>
      <c r="CS82" s="55"/>
      <c r="CT82" s="55"/>
      <c r="CU82" s="55"/>
      <c r="CV82" s="55"/>
      <c r="CW82" s="55"/>
      <c r="CX82" s="17">
        <f ca="1">IF(CY82="",0,IF($CX$97="",IF(BD82=Ergebnisse!BD82,3,IF(COUNTIF(Ergebnisse!$BD$82:$BF$85,BD82)&gt;0,1,0))+IF(BF82=Ergebnisse!BF82,3,IF(COUNTIF(Ergebnisse!$BD$82:$BF$85,BF82)&gt;0,1,0))+(SIGN(BH82-BJ82)=SIGN(Ergebnisse!BH82-Ergebnisse!BJ82))*7+(BH82=Ergebnisse!BH82)+(BJ82=Ergebnisse!BJ82),INT(RAND()*16)))</f>
        <v>10</v>
      </c>
      <c r="CY82" s="17" t="str">
        <f ca="1">IF(Ergebnisse!BK82=Ergebnisse!$B$98,Ergebnisse!BK82,"")</f>
        <v>ok</v>
      </c>
    </row>
    <row r="83" spans="1:103">
      <c r="A83" s="2">
        <f>IF(Ergebnisse!A83="","",Ergebnisse!A83)</f>
        <v>90</v>
      </c>
      <c r="B83" s="6">
        <f>IF(Ergebnisse!B83="","",Ergebnisse!B83)</f>
        <v>46207.5</v>
      </c>
      <c r="C83" s="6" t="str">
        <f>IF(Ergebnisse!C83="","",Ergebnisse!C83)</f>
        <v>Houston</v>
      </c>
      <c r="D83" s="258" t="s">
        <v>205</v>
      </c>
      <c r="E83" s="15"/>
      <c r="F83" s="258" t="s">
        <v>71</v>
      </c>
      <c r="G83" s="3"/>
      <c r="H83" s="107">
        <v>3</v>
      </c>
      <c r="I83" s="11" t="s">
        <v>25</v>
      </c>
      <c r="J83" s="107">
        <v>4</v>
      </c>
      <c r="L83" s="1"/>
      <c r="M83" s="260" t="s">
        <v>71</v>
      </c>
      <c r="N83" s="1"/>
      <c r="O83" s="1"/>
      <c r="P83" s="14"/>
      <c r="Q83" s="3"/>
      <c r="R83" s="3"/>
      <c r="S83" s="62"/>
      <c r="T83" s="62"/>
      <c r="U83" s="62"/>
      <c r="V83" s="62"/>
      <c r="W83" s="62"/>
      <c r="Y83" s="206"/>
      <c r="Z83" s="206"/>
      <c r="AA83" s="206"/>
      <c r="AB83" s="206"/>
      <c r="AC83" s="206"/>
      <c r="AI83" s="206"/>
      <c r="AJ83" s="206"/>
      <c r="AK83" s="206"/>
      <c r="AL83" s="206"/>
      <c r="AM83" s="206"/>
      <c r="AN83" s="206"/>
      <c r="AO83" s="206"/>
      <c r="AP83" s="206"/>
      <c r="AX83" s="17">
        <f ca="1">IF(AY83="",0,IF($CX$97="",2*(D83=Ergebnisse!D83)+2*(F83=Ergebnisse!F83)+(SIGN(H83-J83)=SIGN(Ergebnisse!H83-Ergebnisse!J83))*7+(H83=Ergebnisse!H83)+(J83=Ergebnisse!J83),INT(RAND()*14)))</f>
        <v>7</v>
      </c>
      <c r="AY83" s="17" t="str">
        <f ca="1">IF(Ergebnisse!K83=Ergebnisse!$B$98,Ergebnisse!K83,"")</f>
        <v>ok</v>
      </c>
      <c r="AZ83" s="206"/>
      <c r="BA83" s="2">
        <f>IF(Ergebnisse!BA83="","",Ergebnisse!BA83)</f>
        <v>98</v>
      </c>
      <c r="BB83" s="6">
        <f>IF(Ergebnisse!BB83="","",Ergebnisse!BB83)</f>
        <v>46213.5</v>
      </c>
      <c r="BC83" s="6" t="str">
        <f>IF(Ergebnisse!BC83="","",Ergebnisse!BC83)</f>
        <v>Los Angeles</v>
      </c>
      <c r="BD83" s="70" t="s">
        <v>66</v>
      </c>
      <c r="BE83" s="40"/>
      <c r="BF83" s="70" t="s">
        <v>186</v>
      </c>
      <c r="BG83" s="14"/>
      <c r="BH83" s="107">
        <v>2</v>
      </c>
      <c r="BI83" s="11" t="s">
        <v>25</v>
      </c>
      <c r="BJ83" s="107">
        <v>1</v>
      </c>
      <c r="BL83" s="1"/>
      <c r="BM83" s="69" t="s">
        <v>66</v>
      </c>
      <c r="BN83" s="1"/>
      <c r="BO83" s="1"/>
      <c r="BQ83" s="1"/>
      <c r="BR83" s="1"/>
      <c r="BS83" s="62"/>
      <c r="BT83" s="62"/>
      <c r="BU83" s="62"/>
      <c r="BV83" s="62"/>
      <c r="BW83" s="62"/>
      <c r="BX83" s="62"/>
      <c r="BY83" s="206"/>
      <c r="BZ83" s="206"/>
      <c r="CA83" s="206"/>
      <c r="CB83" s="206"/>
      <c r="CC83" s="206"/>
      <c r="CD83" s="206"/>
      <c r="CE83" s="206"/>
      <c r="CF83" s="206"/>
      <c r="CG83" s="206"/>
      <c r="CH83" s="206"/>
      <c r="CI83" s="206"/>
      <c r="CJ83" s="206"/>
      <c r="CK83" s="206"/>
      <c r="CL83" s="206"/>
      <c r="CM83" s="206"/>
      <c r="CN83" s="206"/>
      <c r="CO83" s="206"/>
      <c r="CP83" s="55"/>
      <c r="CQ83" s="55"/>
      <c r="CR83" s="55"/>
      <c r="CS83" s="55"/>
      <c r="CT83" s="55"/>
      <c r="CU83" s="55"/>
      <c r="CV83" s="55"/>
      <c r="CW83" s="55"/>
      <c r="CX83" s="17">
        <f ca="1">IF(CY83="",0,IF($CX$97="",IF(BD83=Ergebnisse!BD83,3,IF(COUNTIF(Ergebnisse!$BD$82:$BF$85,BD83)&gt;0,1,0))+IF(BF83=Ergebnisse!BF83,3,IF(COUNTIF(Ergebnisse!$BD$82:$BF$85,BF83)&gt;0,1,0))+(SIGN(BH83-BJ83)=SIGN(Ergebnisse!BH83-Ergebnisse!BJ83))*7+(BH83=Ergebnisse!BH83)+(BJ83=Ergebnisse!BJ83),INT(RAND()*16)))</f>
        <v>8</v>
      </c>
      <c r="CY83" s="17" t="str">
        <f ca="1">IF(Ergebnisse!BK83=Ergebnisse!$B$98,Ergebnisse!BK83,"")</f>
        <v>ok</v>
      </c>
    </row>
    <row r="84" spans="1:103">
      <c r="A84" s="2">
        <f>IF(Ergebnisse!A84="","",Ergebnisse!A84)</f>
        <v>91</v>
      </c>
      <c r="B84" s="6">
        <f>IF(Ergebnisse!B84="","",Ergebnisse!B84)</f>
        <v>46208.666666666664</v>
      </c>
      <c r="C84" s="6" t="str">
        <f>IF(Ergebnisse!C84="","",Ergebnisse!C84)</f>
        <v>New York</v>
      </c>
      <c r="D84" s="261" t="s">
        <v>213</v>
      </c>
      <c r="E84" s="15"/>
      <c r="F84" s="261" t="s">
        <v>249</v>
      </c>
      <c r="G84" s="3"/>
      <c r="H84" s="107">
        <v>2</v>
      </c>
      <c r="I84" s="11" t="s">
        <v>25</v>
      </c>
      <c r="J84" s="107">
        <v>1</v>
      </c>
      <c r="L84" s="1"/>
      <c r="M84" s="263" t="s">
        <v>213</v>
      </c>
      <c r="N84" s="1"/>
      <c r="O84" s="1"/>
      <c r="P84" s="14"/>
      <c r="Q84" s="3"/>
      <c r="R84" s="3"/>
      <c r="S84" s="62"/>
      <c r="T84" s="62"/>
      <c r="U84" s="62"/>
      <c r="V84" s="62"/>
      <c r="W84" s="62"/>
      <c r="Y84" s="206"/>
      <c r="Z84" s="206"/>
      <c r="AA84" s="206"/>
      <c r="AB84" s="206"/>
      <c r="AC84" s="206"/>
      <c r="AI84" s="206"/>
      <c r="AJ84" s="206"/>
      <c r="AK84" s="206"/>
      <c r="AL84" s="206"/>
      <c r="AM84" s="206"/>
      <c r="AN84" s="206"/>
      <c r="AO84" s="206"/>
      <c r="AP84" s="206"/>
      <c r="AX84" s="17">
        <f ca="1">IF(AY84="",0,IF($CX$97="",2*(D84=Ergebnisse!D84)+2*(F84=Ergebnisse!F84)+(SIGN(H84-J84)=SIGN(Ergebnisse!H84-Ergebnisse!J84))*7+(H84=Ergebnisse!H84)+(J84=Ergebnisse!J84),INT(RAND()*14)))</f>
        <v>0</v>
      </c>
      <c r="AY84" s="17" t="str">
        <f ca="1">IF(Ergebnisse!K84=Ergebnisse!$B$98,Ergebnisse!K84,"")</f>
        <v>ok</v>
      </c>
      <c r="AZ84" s="206"/>
      <c r="BA84" s="2">
        <f>IF(Ergebnisse!BA84="","",Ergebnisse!BA84)</f>
        <v>99</v>
      </c>
      <c r="BB84" s="6">
        <f>IF(Ergebnisse!BB84="","",Ergebnisse!BB84)</f>
        <v>46214.708333333336</v>
      </c>
      <c r="BC84" s="6" t="str">
        <f>IF(Ergebnisse!BC84="","",Ergebnisse!BC84)</f>
        <v>Miami</v>
      </c>
      <c r="BD84" s="45" t="s">
        <v>213</v>
      </c>
      <c r="BE84" s="40"/>
      <c r="BF84" s="45" t="s">
        <v>70</v>
      </c>
      <c r="BG84" s="14"/>
      <c r="BH84" s="107">
        <v>1</v>
      </c>
      <c r="BI84" s="11" t="s">
        <v>25</v>
      </c>
      <c r="BJ84" s="107">
        <v>2</v>
      </c>
      <c r="BL84" s="1"/>
      <c r="BM84" s="46" t="s">
        <v>70</v>
      </c>
      <c r="BN84" s="1"/>
      <c r="BO84" s="1"/>
      <c r="BP84" s="1"/>
      <c r="BQ84" s="1"/>
      <c r="BR84" s="1"/>
      <c r="BS84" s="62"/>
      <c r="BT84" s="62"/>
      <c r="BU84" s="62"/>
      <c r="BV84" s="62"/>
      <c r="BW84" s="62"/>
      <c r="BX84" s="62"/>
      <c r="BY84" s="206"/>
      <c r="BZ84" s="206"/>
      <c r="CA84" s="206"/>
      <c r="CB84" s="206"/>
      <c r="CC84" s="206"/>
      <c r="CD84" s="206"/>
      <c r="CE84" s="206"/>
      <c r="CF84" s="206"/>
      <c r="CG84" s="206"/>
      <c r="CH84" s="206"/>
      <c r="CI84" s="206"/>
      <c r="CJ84" s="206"/>
      <c r="CK84" s="206"/>
      <c r="CL84" s="206"/>
      <c r="CM84" s="206"/>
      <c r="CN84" s="206"/>
      <c r="CO84" s="206"/>
      <c r="CP84" s="55"/>
      <c r="CQ84" s="55"/>
      <c r="CR84" s="55"/>
      <c r="CS84" s="55"/>
      <c r="CT84" s="55"/>
      <c r="CU84" s="55"/>
      <c r="CV84" s="55"/>
      <c r="CW84" s="55"/>
      <c r="CX84" s="17">
        <f ca="1">IF(CY84="",0,IF($CX$97="",IF(BD84=Ergebnisse!BD84,3,IF(COUNTIF(Ergebnisse!$BD$82:$BF$85,BD84)&gt;0,1,0))+IF(BF84=Ergebnisse!BF84,3,IF(COUNTIF(Ergebnisse!$BD$82:$BF$85,BF84)&gt;0,1,0))+(SIGN(BH84-BJ84)=SIGN(Ergebnisse!BH84-Ergebnisse!BJ84))*7+(BH84=Ergebnisse!BH84)+(BJ84=Ergebnisse!BJ84),INT(RAND()*16)))</f>
        <v>7</v>
      </c>
      <c r="CY84" s="17" t="str">
        <f ca="1">IF(Ergebnisse!BK84=Ergebnisse!$B$98,Ergebnisse!BK84,"")</f>
        <v>ok</v>
      </c>
    </row>
    <row r="85" spans="1:103">
      <c r="A85" s="2">
        <f>IF(Ergebnisse!A85="","",Ergebnisse!A85)</f>
        <v>92</v>
      </c>
      <c r="B85" s="6">
        <f>IF(Ergebnisse!B85="","",Ergebnisse!B85)</f>
        <v>46208.791666666672</v>
      </c>
      <c r="C85" s="6" t="str">
        <f>IF(Ergebnisse!C85="","",Ergebnisse!C85)</f>
        <v>Mexico City</v>
      </c>
      <c r="D85" s="261" t="s">
        <v>201</v>
      </c>
      <c r="E85" s="15"/>
      <c r="F85" s="261" t="s">
        <v>70</v>
      </c>
      <c r="G85" s="3"/>
      <c r="H85" s="107">
        <v>3</v>
      </c>
      <c r="I85" s="11" t="s">
        <v>25</v>
      </c>
      <c r="J85" s="107">
        <v>4</v>
      </c>
      <c r="L85" s="1"/>
      <c r="M85" s="263" t="s">
        <v>70</v>
      </c>
      <c r="N85" s="1"/>
      <c r="O85" s="1"/>
      <c r="P85" s="14"/>
      <c r="Q85" s="3"/>
      <c r="R85" s="3"/>
      <c r="S85" s="62"/>
      <c r="T85" s="62"/>
      <c r="U85" s="62"/>
      <c r="V85" s="62"/>
      <c r="W85" s="62"/>
      <c r="Y85" s="206"/>
      <c r="Z85" s="206"/>
      <c r="AA85" s="206"/>
      <c r="AB85" s="206"/>
      <c r="AC85" s="206"/>
      <c r="AI85" s="206"/>
      <c r="AJ85" s="206"/>
      <c r="AK85" s="206"/>
      <c r="AL85" s="206"/>
      <c r="AM85" s="206"/>
      <c r="AN85" s="206"/>
      <c r="AO85" s="206"/>
      <c r="AP85" s="206"/>
      <c r="AX85" s="17">
        <f ca="1">IF(AY85="",0,IF($CX$97="",2*(D85=Ergebnisse!D85)+2*(F85=Ergebnisse!F85)+(SIGN(H85-J85)=SIGN(Ergebnisse!H85-Ergebnisse!J85))*7+(H85=Ergebnisse!H85)+(J85=Ergebnisse!J85),INT(RAND()*14)))</f>
        <v>1</v>
      </c>
      <c r="AY85" s="17" t="str">
        <f ca="1">IF(Ergebnisse!K85=Ergebnisse!$B$98,Ergebnisse!K85,"")</f>
        <v>ok</v>
      </c>
      <c r="AZ85" s="206"/>
      <c r="BA85" s="2">
        <f>IF(Ergebnisse!BA85="","",Ergebnisse!BA85)</f>
        <v>100</v>
      </c>
      <c r="BB85" s="6">
        <f>IF(Ergebnisse!BB85="","",Ergebnisse!BB85)</f>
        <v>46214.833333333336</v>
      </c>
      <c r="BC85" s="6" t="str">
        <f>IF(Ergebnisse!BC85="","",Ergebnisse!BC85)</f>
        <v>Kansas City</v>
      </c>
      <c r="BD85" s="43" t="s">
        <v>221</v>
      </c>
      <c r="BE85" s="15"/>
      <c r="BF85" s="43" t="s">
        <v>190</v>
      </c>
      <c r="BG85" s="14"/>
      <c r="BH85" s="107">
        <v>1</v>
      </c>
      <c r="BI85" s="11" t="s">
        <v>25</v>
      </c>
      <c r="BJ85" s="107">
        <v>0</v>
      </c>
      <c r="BL85" s="1"/>
      <c r="BM85" s="44" t="s">
        <v>221</v>
      </c>
      <c r="BN85" s="1"/>
      <c r="BO85" s="1"/>
      <c r="BP85" s="1"/>
      <c r="BQ85" s="1"/>
      <c r="BR85" s="1"/>
      <c r="BS85" s="62"/>
      <c r="BT85" s="62"/>
      <c r="BU85" s="62"/>
      <c r="BV85" s="62"/>
      <c r="BW85" s="62"/>
      <c r="BX85" s="62"/>
      <c r="BY85" s="206"/>
      <c r="BZ85" s="206"/>
      <c r="CA85" s="206"/>
      <c r="CB85" s="206"/>
      <c r="CC85" s="206"/>
      <c r="CD85" s="206"/>
      <c r="CE85" s="206"/>
      <c r="CF85" s="206"/>
      <c r="CG85" s="206"/>
      <c r="CH85" s="206"/>
      <c r="CI85" s="206"/>
      <c r="CJ85" s="206"/>
      <c r="CK85" s="206"/>
      <c r="CL85" s="206"/>
      <c r="CM85" s="206"/>
      <c r="CN85" s="206"/>
      <c r="CO85" s="206"/>
      <c r="CP85" s="55"/>
      <c r="CQ85" s="55"/>
      <c r="CR85" s="55"/>
      <c r="CS85" s="55"/>
      <c r="CT85" s="55"/>
      <c r="CU85" s="55"/>
      <c r="CV85" s="55"/>
      <c r="CW85" s="55"/>
      <c r="CX85" s="17">
        <f ca="1">IF(CY85="",0,IF($CX$97="",IF(BD85=Ergebnisse!BD85,3,IF(COUNTIF(Ergebnisse!$BD$82:$BF$85,BD85)&gt;0,1,0))+IF(BF85=Ergebnisse!BF85,3,IF(COUNTIF(Ergebnisse!$BD$82:$BF$85,BF85)&gt;0,1,0))+(SIGN(BH85-BJ85)=SIGN(Ergebnisse!BH85-Ergebnisse!BJ85))*7+(BH85=Ergebnisse!BH85)+(BJ85=Ergebnisse!BJ85),INT(RAND()*16)))</f>
        <v>0</v>
      </c>
      <c r="CY85" s="17" t="str">
        <f ca="1">IF(Ergebnisse!BK85=Ergebnisse!$B$98,Ergebnisse!BK85,"")</f>
        <v>ok</v>
      </c>
    </row>
    <row r="86" spans="1:103">
      <c r="A86" s="2">
        <f>IF(Ergebnisse!A86="","",Ergebnisse!A86)</f>
        <v>93</v>
      </c>
      <c r="B86" s="6">
        <f>IF(Ergebnisse!B86="","",Ergebnisse!B86)</f>
        <v>46209.583333333336</v>
      </c>
      <c r="C86" s="6" t="str">
        <f>IF(Ergebnisse!C86="","",Ergebnisse!C86)</f>
        <v>Dallas</v>
      </c>
      <c r="D86" s="256" t="s">
        <v>188</v>
      </c>
      <c r="E86" s="15"/>
      <c r="F86" s="256" t="s">
        <v>66</v>
      </c>
      <c r="G86" s="3"/>
      <c r="H86" s="107">
        <v>3</v>
      </c>
      <c r="I86" s="11" t="s">
        <v>25</v>
      </c>
      <c r="J86" s="107">
        <v>4</v>
      </c>
      <c r="L86" s="1"/>
      <c r="M86" s="257" t="s">
        <v>66</v>
      </c>
      <c r="N86" s="1"/>
      <c r="O86" s="1"/>
      <c r="P86" s="14"/>
      <c r="Q86" s="3"/>
      <c r="R86" s="3"/>
      <c r="S86" s="62"/>
      <c r="T86" s="62"/>
      <c r="U86" s="62"/>
      <c r="V86" s="62"/>
      <c r="W86" s="62"/>
      <c r="Y86" s="206"/>
      <c r="Z86" s="206"/>
      <c r="AA86" s="206"/>
      <c r="AB86" s="206"/>
      <c r="AC86" s="206"/>
      <c r="AI86" s="206"/>
      <c r="AJ86" s="206"/>
      <c r="AK86" s="206"/>
      <c r="AL86" s="206"/>
      <c r="AM86" s="206"/>
      <c r="AN86" s="206"/>
      <c r="AO86" s="206"/>
      <c r="AP86" s="206"/>
      <c r="AX86" s="17">
        <f ca="1">IF(AY86="",0,IF($CX$97="",2*(D86=Ergebnisse!D86)+2*(F86=Ergebnisse!F86)+(SIGN(H86-J86)=SIGN(Ergebnisse!H86-Ergebnisse!J86))*7+(H86=Ergebnisse!H86)+(J86=Ergebnisse!J86),INT(RAND()*14)))</f>
        <v>0</v>
      </c>
      <c r="AY86" s="17" t="str">
        <f ca="1">IF(Ergebnisse!K86=Ergebnisse!$B$98,Ergebnisse!K86,"")</f>
        <v>ok</v>
      </c>
      <c r="AZ86" s="206"/>
      <c r="BB86" s="6"/>
      <c r="BC86" s="6"/>
      <c r="BD86" s="6"/>
      <c r="BE86" s="6"/>
      <c r="BF86" s="6"/>
      <c r="BG86" s="6"/>
      <c r="BH86" s="6"/>
      <c r="BI86" s="6"/>
      <c r="BJ86" s="6"/>
      <c r="BK86" s="6"/>
      <c r="BL86" s="6"/>
      <c r="BM86" s="6"/>
      <c r="BN86" s="6"/>
      <c r="BO86" s="1"/>
      <c r="BP86" s="1"/>
      <c r="BQ86" s="1"/>
      <c r="BR86" s="1"/>
      <c r="BS86" s="62"/>
      <c r="BT86" s="62"/>
      <c r="BU86" s="62"/>
      <c r="BV86" s="62"/>
      <c r="BW86" s="62"/>
      <c r="BX86" s="62"/>
      <c r="BY86" s="206"/>
      <c r="BZ86" s="206"/>
      <c r="CA86" s="206"/>
      <c r="CB86" s="206"/>
      <c r="CC86" s="206"/>
      <c r="CD86" s="206"/>
      <c r="CE86" s="206"/>
      <c r="CF86" s="206"/>
      <c r="CG86" s="206"/>
      <c r="CH86" s="206"/>
      <c r="CI86" s="206"/>
      <c r="CJ86" s="206"/>
      <c r="CK86" s="206"/>
      <c r="CL86" s="206"/>
      <c r="CM86" s="206"/>
      <c r="CN86" s="206"/>
      <c r="CO86" s="206"/>
      <c r="CP86" s="55"/>
      <c r="CQ86" s="55"/>
      <c r="CR86" s="55"/>
      <c r="CS86" s="55"/>
      <c r="CT86" s="55"/>
      <c r="CU86" s="55"/>
      <c r="CV86" s="55"/>
      <c r="CW86" s="55"/>
      <c r="CX86" s="1"/>
    </row>
    <row r="87" spans="1:103">
      <c r="A87" s="2">
        <f>IF(Ergebnisse!A87="","",Ergebnisse!A87)</f>
        <v>94</v>
      </c>
      <c r="B87" s="6">
        <f>IF(Ergebnisse!B87="","",Ergebnisse!B87)</f>
        <v>46209.708333333336</v>
      </c>
      <c r="C87" s="6" t="str">
        <f>IF(Ergebnisse!C87="","",Ergebnisse!C87)</f>
        <v>Seattle</v>
      </c>
      <c r="D87" s="256" t="s">
        <v>202</v>
      </c>
      <c r="E87" s="15"/>
      <c r="F87" s="256" t="s">
        <v>186</v>
      </c>
      <c r="G87" s="3"/>
      <c r="H87" s="107">
        <v>1</v>
      </c>
      <c r="I87" s="11" t="s">
        <v>25</v>
      </c>
      <c r="J87" s="107">
        <v>2</v>
      </c>
      <c r="L87" s="1"/>
      <c r="M87" s="257" t="s">
        <v>186</v>
      </c>
      <c r="N87" s="1"/>
      <c r="O87" s="1"/>
      <c r="P87" s="14"/>
      <c r="Q87" s="3"/>
      <c r="R87" s="3"/>
      <c r="S87" s="62"/>
      <c r="T87" s="62"/>
      <c r="U87" s="62"/>
      <c r="V87" s="62"/>
      <c r="W87" s="62"/>
      <c r="Y87" s="206"/>
      <c r="Z87" s="206"/>
      <c r="AA87" s="206"/>
      <c r="AB87" s="206"/>
      <c r="AC87" s="206"/>
      <c r="AI87" s="206"/>
      <c r="AJ87" s="206"/>
      <c r="AK87" s="206"/>
      <c r="AL87" s="206"/>
      <c r="AM87" s="206"/>
      <c r="AN87" s="206"/>
      <c r="AO87" s="206"/>
      <c r="AP87" s="206"/>
      <c r="AX87" s="17">
        <f ca="1">IF(AY87="",0,IF($CX$97="",2*(D87=Ergebnisse!D87)+2*(F87=Ergebnisse!F87)+(SIGN(H87-J87)=SIGN(Ergebnisse!H87-Ergebnisse!J87))*7+(H87=Ergebnisse!H87)+(J87=Ergebnisse!J87),INT(RAND()*14)))</f>
        <v>7</v>
      </c>
      <c r="AY87" s="17" t="str">
        <f ca="1">IF(Ergebnisse!K87=Ergebnisse!$B$98,Ergebnisse!K87,"")</f>
        <v>ok</v>
      </c>
      <c r="AZ87" s="206"/>
      <c r="BB87" s="47" t="s">
        <v>55</v>
      </c>
      <c r="BC87" s="21"/>
      <c r="BD87" s="14"/>
      <c r="BE87" s="14"/>
      <c r="BF87" s="14"/>
      <c r="BG87" s="17"/>
      <c r="BH87" s="20"/>
      <c r="BI87" s="19"/>
      <c r="BJ87" s="20"/>
      <c r="BK87" s="181"/>
      <c r="BL87" s="17"/>
      <c r="BM87" s="21"/>
      <c r="BN87" s="17"/>
      <c r="BO87" s="17"/>
      <c r="BP87" s="17"/>
      <c r="BQ87" s="1"/>
      <c r="BR87" s="1"/>
      <c r="BS87" s="62"/>
      <c r="BT87" s="62"/>
      <c r="BU87" s="62"/>
      <c r="BV87" s="62"/>
      <c r="BW87" s="62"/>
      <c r="BX87" s="62"/>
      <c r="BY87" s="206"/>
      <c r="BZ87" s="206"/>
      <c r="CA87" s="206"/>
      <c r="CB87" s="206"/>
      <c r="CC87" s="206"/>
      <c r="CD87" s="206"/>
      <c r="CE87" s="206"/>
      <c r="CF87" s="206"/>
      <c r="CG87" s="206"/>
      <c r="CH87" s="206"/>
      <c r="CI87" s="206"/>
      <c r="CJ87" s="206"/>
      <c r="CK87" s="206"/>
      <c r="CL87" s="206"/>
      <c r="CM87" s="206"/>
      <c r="CN87" s="206"/>
      <c r="CO87" s="206"/>
      <c r="CP87" s="55"/>
      <c r="CQ87" s="55"/>
      <c r="CR87" s="55"/>
      <c r="CS87" s="55"/>
      <c r="CT87" s="55"/>
      <c r="CU87" s="55"/>
      <c r="CV87" s="55"/>
      <c r="CW87" s="55"/>
      <c r="CY87" s="17"/>
    </row>
    <row r="88" spans="1:103">
      <c r="A88" s="2">
        <f>IF(Ergebnisse!A88="","",Ergebnisse!A88)</f>
        <v>95</v>
      </c>
      <c r="B88" s="6">
        <f>IF(Ergebnisse!B88="","",Ergebnisse!B88)</f>
        <v>46210.5</v>
      </c>
      <c r="C88" s="6" t="str">
        <f>IF(Ergebnisse!C88="","",Ergebnisse!C88)</f>
        <v>Atlanta</v>
      </c>
      <c r="D88" s="259" t="s">
        <v>221</v>
      </c>
      <c r="E88" s="15"/>
      <c r="F88" s="259" t="s">
        <v>224</v>
      </c>
      <c r="G88" s="3"/>
      <c r="H88" s="107">
        <v>4</v>
      </c>
      <c r="I88" s="11" t="s">
        <v>25</v>
      </c>
      <c r="J88" s="107">
        <v>3</v>
      </c>
      <c r="L88" s="1"/>
      <c r="M88" s="262" t="s">
        <v>221</v>
      </c>
      <c r="N88" s="1"/>
      <c r="O88" s="1"/>
      <c r="P88" s="14"/>
      <c r="Q88" s="3"/>
      <c r="R88" s="3"/>
      <c r="S88" s="62"/>
      <c r="T88" s="62"/>
      <c r="U88" s="62"/>
      <c r="V88" s="62"/>
      <c r="W88" s="62"/>
      <c r="Y88" s="206"/>
      <c r="Z88" s="206"/>
      <c r="AA88" s="206"/>
      <c r="AB88" s="206"/>
      <c r="AC88" s="206"/>
      <c r="AI88" s="206"/>
      <c r="AJ88" s="206"/>
      <c r="AK88" s="206"/>
      <c r="AL88" s="206"/>
      <c r="AM88" s="206"/>
      <c r="AN88" s="206"/>
      <c r="AO88" s="206"/>
      <c r="AP88" s="206"/>
      <c r="AX88" s="17">
        <f ca="1">IF(AY88="",0,IF($CX$97="",2*(D88=Ergebnisse!D88)+2*(F88=Ergebnisse!F88)+(SIGN(H88-J88)=SIGN(Ergebnisse!H88-Ergebnisse!J88))*7+(H88=Ergebnisse!H88)+(J88=Ergebnisse!J88),INT(RAND()*14)))</f>
        <v>3</v>
      </c>
      <c r="AY88" s="17" t="str">
        <f ca="1">IF(Ergebnisse!K88=Ergebnisse!$B$98,Ergebnisse!K88,"")</f>
        <v>ok</v>
      </c>
      <c r="AZ88" s="206"/>
      <c r="BB88" s="3" t="s">
        <v>22</v>
      </c>
      <c r="BC88" s="3" t="s">
        <v>23</v>
      </c>
      <c r="BD88" s="14"/>
      <c r="BE88" s="14"/>
      <c r="BF88" s="14"/>
      <c r="BG88" s="17"/>
      <c r="BH88" s="20"/>
      <c r="BI88" s="11"/>
      <c r="BJ88" s="20"/>
      <c r="BK88" s="181"/>
      <c r="BL88" s="1"/>
      <c r="BM88" s="3"/>
      <c r="BN88" s="1"/>
      <c r="BO88" s="1"/>
      <c r="BP88" s="1"/>
      <c r="BQ88" s="1"/>
      <c r="BR88" s="1"/>
      <c r="BS88" s="62"/>
      <c r="BT88" s="62"/>
      <c r="BU88" s="62"/>
      <c r="BV88" s="62"/>
      <c r="BW88" s="62"/>
      <c r="BX88" s="62"/>
      <c r="BY88" s="206"/>
      <c r="BZ88" s="206"/>
      <c r="CA88" s="206"/>
      <c r="CB88" s="206"/>
      <c r="CC88" s="206"/>
      <c r="CD88" s="206"/>
      <c r="CE88" s="206"/>
      <c r="CF88" s="206"/>
      <c r="CG88" s="206"/>
      <c r="CH88" s="206"/>
      <c r="CI88" s="206"/>
      <c r="CJ88" s="206"/>
      <c r="CK88" s="206"/>
      <c r="CL88" s="206"/>
      <c r="CM88" s="206"/>
      <c r="CN88" s="206"/>
      <c r="CO88" s="206"/>
      <c r="CP88" s="55"/>
      <c r="CQ88" s="55"/>
      <c r="CR88" s="55"/>
      <c r="CS88" s="55"/>
      <c r="CT88" s="55"/>
      <c r="CU88" s="55"/>
      <c r="CV88" s="55"/>
      <c r="CW88" s="55"/>
      <c r="CY88" s="17"/>
    </row>
    <row r="89" spans="1:103">
      <c r="A89" s="2">
        <f>IF(Ergebnisse!A89="","",Ergebnisse!A89)</f>
        <v>96</v>
      </c>
      <c r="B89" s="6">
        <f>IF(Ergebnisse!B89="","",Ergebnisse!B89)</f>
        <v>46210.541666666664</v>
      </c>
      <c r="C89" s="6" t="str">
        <f>IF(Ergebnisse!C89="","",Ergebnisse!C89)</f>
        <v>Vancouver</v>
      </c>
      <c r="D89" s="259" t="s">
        <v>68</v>
      </c>
      <c r="E89" s="15"/>
      <c r="F89" s="259" t="s">
        <v>190</v>
      </c>
      <c r="G89" s="3"/>
      <c r="H89" s="107">
        <v>2</v>
      </c>
      <c r="I89" s="11" t="s">
        <v>25</v>
      </c>
      <c r="J89" s="107">
        <v>3</v>
      </c>
      <c r="L89" s="1"/>
      <c r="M89" s="262" t="s">
        <v>190</v>
      </c>
      <c r="N89" s="1"/>
      <c r="O89" s="1"/>
      <c r="P89" s="14"/>
      <c r="Q89" s="3"/>
      <c r="R89" s="3"/>
      <c r="S89" s="62"/>
      <c r="T89" s="62"/>
      <c r="U89" s="62"/>
      <c r="V89" s="62"/>
      <c r="W89" s="62"/>
      <c r="Y89" s="206"/>
      <c r="Z89" s="206"/>
      <c r="AA89" s="206"/>
      <c r="AB89" s="206"/>
      <c r="AC89" s="206"/>
      <c r="AI89" s="206"/>
      <c r="AJ89" s="206"/>
      <c r="AK89" s="206"/>
      <c r="AL89" s="206"/>
      <c r="AM89" s="206"/>
      <c r="AN89" s="206"/>
      <c r="AO89" s="206"/>
      <c r="AP89" s="206"/>
      <c r="AX89" s="17">
        <f ca="1">IF(AY89="",0,IF($CX$97="",2*(D89=Ergebnisse!D89)+2*(F89=Ergebnisse!F89)+(SIGN(H89-J89)=SIGN(Ergebnisse!H89-Ergebnisse!J89))*7+(H89=Ergebnisse!H89)+(J89=Ergebnisse!J89),INT(RAND()*14)))</f>
        <v>1</v>
      </c>
      <c r="AY89" s="17" t="str">
        <f ca="1">IF(Ergebnisse!K89=Ergebnisse!$B$98,Ergebnisse!K89,"")</f>
        <v>ok</v>
      </c>
      <c r="AZ89" s="206"/>
      <c r="BA89" s="2">
        <f>IF(Ergebnisse!BA89="","",Ergebnisse!BA89)</f>
        <v>101</v>
      </c>
      <c r="BB89" s="6">
        <f>IF(Ergebnisse!BB89="","",Ergebnisse!BB89)</f>
        <v>46217.583333333336</v>
      </c>
      <c r="BC89" s="6" t="str">
        <f>IF(Ergebnisse!BC89="","",Ergebnisse!BC89)</f>
        <v>Dallas</v>
      </c>
      <c r="BD89" s="18" t="s">
        <v>69</v>
      </c>
      <c r="BE89" s="15"/>
      <c r="BF89" s="71" t="s">
        <v>66</v>
      </c>
      <c r="BG89" s="17"/>
      <c r="BH89" s="107">
        <v>1</v>
      </c>
      <c r="BI89" s="11" t="s">
        <v>25</v>
      </c>
      <c r="BJ89" s="107">
        <v>0</v>
      </c>
      <c r="BL89" s="1"/>
      <c r="BM89" s="68" t="s">
        <v>69</v>
      </c>
      <c r="BN89" s="1"/>
      <c r="BO89" s="1"/>
      <c r="BP89" s="1"/>
      <c r="BQ89" s="1"/>
      <c r="BR89" s="1"/>
      <c r="BS89" s="62"/>
      <c r="BT89" s="62"/>
      <c r="BU89" s="62"/>
      <c r="BV89" s="62"/>
      <c r="BW89" s="62"/>
      <c r="BX89" s="62"/>
      <c r="BY89" s="206"/>
      <c r="BZ89" s="206"/>
      <c r="CA89" s="206"/>
      <c r="CB89" s="206"/>
      <c r="CC89" s="206"/>
      <c r="CD89" s="206"/>
      <c r="CE89" s="206"/>
      <c r="CF89" s="206"/>
      <c r="CG89" s="206"/>
      <c r="CH89" s="206"/>
      <c r="CI89" s="206"/>
      <c r="CJ89" s="206"/>
      <c r="CK89" s="206"/>
      <c r="CL89" s="206"/>
      <c r="CM89" s="206"/>
      <c r="CN89" s="206"/>
      <c r="CO89" s="206"/>
      <c r="CP89" s="55"/>
      <c r="CQ89" s="55"/>
      <c r="CR89" s="55"/>
      <c r="CS89" s="55"/>
      <c r="CT89" s="55"/>
      <c r="CU89" s="55"/>
      <c r="CV89" s="55"/>
      <c r="CW89" s="55"/>
      <c r="CX89" s="17">
        <f ca="1">IF(CY89="",0,IF($CX$97="",IF(BD89=Ergebnisse!BD89,4,IF(COUNTIF(Ergebnisse!$BD$89:$BF$90,BD89)&gt;0,2,0))+IF(BF89=Ergebnisse!BF89,4,IF(COUNTIF(Ergebnisse!$BD$89:$BF$90,BF89)&gt;0,2,0))+(SIGN(BH89-BJ89)=SIGN(Ergebnisse!BH89-Ergebnisse!BJ89))*7+(BH89=Ergebnisse!BH89)+(BJ89=Ergebnisse!BJ89),INT(RAND()*18)))</f>
        <v>11</v>
      </c>
      <c r="CY89" s="17" t="str">
        <f ca="1">IF(Ergebnisse!BK89=Ergebnisse!$B$98,Ergebnisse!BK89,"")</f>
        <v>ok</v>
      </c>
    </row>
    <row r="90" spans="1:103">
      <c r="E90" s="15"/>
      <c r="H90" s="2"/>
      <c r="I90" s="2"/>
      <c r="J90" s="2"/>
      <c r="K90" s="2"/>
      <c r="M90" s="2"/>
      <c r="S90" s="62"/>
      <c r="T90" s="62"/>
      <c r="U90" s="62"/>
      <c r="V90" s="62"/>
      <c r="W90" s="62"/>
      <c r="Y90" s="206"/>
      <c r="Z90" s="206"/>
      <c r="AA90" s="206"/>
      <c r="AB90" s="206"/>
      <c r="AC90" s="206"/>
      <c r="AI90" s="206"/>
      <c r="AJ90" s="206"/>
      <c r="AK90" s="206"/>
      <c r="AL90" s="206"/>
      <c r="AM90" s="206"/>
      <c r="AN90" s="206"/>
      <c r="AO90" s="206"/>
      <c r="AP90" s="206"/>
      <c r="AZ90" s="206"/>
      <c r="BA90" s="2">
        <f>IF(Ergebnisse!BA90="","",Ergebnisse!BA90)</f>
        <v>102</v>
      </c>
      <c r="BB90" s="6">
        <f>IF(Ergebnisse!BB90="","",Ergebnisse!BB90)</f>
        <v>46218.625</v>
      </c>
      <c r="BC90" s="6" t="str">
        <f>IF(Ergebnisse!BC90="","",Ergebnisse!BC90)</f>
        <v>Atlanta</v>
      </c>
      <c r="BD90" s="49" t="s">
        <v>70</v>
      </c>
      <c r="BE90" s="15"/>
      <c r="BF90" s="48" t="s">
        <v>221</v>
      </c>
      <c r="BG90" s="17"/>
      <c r="BH90" s="107">
        <v>0</v>
      </c>
      <c r="BI90" s="11" t="s">
        <v>25</v>
      </c>
      <c r="BJ90" s="107">
        <v>1</v>
      </c>
      <c r="BL90" s="1"/>
      <c r="BM90" s="68" t="s">
        <v>221</v>
      </c>
      <c r="BN90" s="1"/>
      <c r="BO90" s="1"/>
      <c r="BP90" s="1"/>
      <c r="BQ90" s="1"/>
      <c r="BR90" s="1"/>
      <c r="BS90" s="62"/>
      <c r="BT90" s="62"/>
      <c r="BU90" s="62"/>
      <c r="BV90" s="62"/>
      <c r="BW90" s="62"/>
      <c r="BX90" s="62"/>
      <c r="BY90" s="206"/>
      <c r="BZ90" s="206"/>
      <c r="CA90" s="206"/>
      <c r="CB90" s="206"/>
      <c r="CC90" s="206"/>
      <c r="CD90" s="206"/>
      <c r="CE90" s="206"/>
      <c r="CF90" s="206"/>
      <c r="CG90" s="206"/>
      <c r="CH90" s="206"/>
      <c r="CI90" s="206"/>
      <c r="CJ90" s="206"/>
      <c r="CK90" s="206"/>
      <c r="CL90" s="206"/>
      <c r="CM90" s="206"/>
      <c r="CN90" s="206"/>
      <c r="CO90" s="206"/>
      <c r="CP90" s="55"/>
      <c r="CQ90" s="55"/>
      <c r="CR90" s="55"/>
      <c r="CS90" s="55"/>
      <c r="CT90" s="55"/>
      <c r="CU90" s="55"/>
      <c r="CV90" s="55"/>
      <c r="CW90" s="55"/>
      <c r="CX90" s="17">
        <f ca="1">IF(CY90="",0,IF($CX$97="",IF(BD90=Ergebnisse!BD90,4,IF(COUNTIF(Ergebnisse!$BD$89:$BF$90,BD90)&gt;0,2,0))+IF(BF90=Ergebnisse!BF90,4,IF(COUNTIF(Ergebnisse!$BD$89:$BF$90,BF90)&gt;0,2,0))+(SIGN(BH90-BJ90)=SIGN(Ergebnisse!BH90-Ergebnisse!BJ90))*7+(BH90=Ergebnisse!BH90)+(BJ90=Ergebnisse!BJ90),INT(RAND()*18)))</f>
        <v>1</v>
      </c>
      <c r="CY90" s="17" t="str">
        <f ca="1">IF(Ergebnisse!BK90=Ergebnisse!$B$98,Ergebnisse!BK90,"")</f>
        <v>ok</v>
      </c>
    </row>
    <row r="91" spans="1:103">
      <c r="H91" s="2"/>
      <c r="I91" s="2"/>
      <c r="J91" s="2"/>
      <c r="K91" s="2"/>
      <c r="M91" s="2"/>
      <c r="S91" s="2"/>
      <c r="T91" s="2"/>
      <c r="U91" s="2"/>
      <c r="V91" s="2"/>
      <c r="W91" s="2"/>
      <c r="X91" s="2"/>
      <c r="Y91" s="2"/>
      <c r="Z91" s="2"/>
      <c r="AA91" s="2"/>
      <c r="AB91" s="2"/>
      <c r="AC91" s="2"/>
      <c r="AI91" s="2"/>
      <c r="AJ91" s="2"/>
      <c r="AK91" s="2"/>
      <c r="AL91" s="2"/>
      <c r="AM91" s="2"/>
      <c r="AN91" s="2"/>
      <c r="AO91" s="2"/>
      <c r="AP91" s="2"/>
      <c r="AQ91" s="2"/>
      <c r="AR91" s="2"/>
      <c r="AS91" s="2"/>
      <c r="AT91" s="2"/>
      <c r="AU91" s="2"/>
      <c r="AV91" s="2"/>
      <c r="AY91" s="17"/>
      <c r="AZ91" s="206"/>
      <c r="BB91" s="1"/>
      <c r="BC91" s="3"/>
      <c r="BD91" s="14"/>
      <c r="BE91" s="14"/>
      <c r="BF91" s="14"/>
      <c r="BG91" s="17"/>
      <c r="BH91" s="20"/>
      <c r="BI91" s="11"/>
      <c r="BJ91" s="20"/>
      <c r="BK91" s="181"/>
      <c r="BL91" s="1"/>
      <c r="BM91" s="50" t="s">
        <v>66</v>
      </c>
      <c r="BN91" s="1"/>
      <c r="BO91" s="1"/>
      <c r="BP91" s="1"/>
      <c r="BQ91" s="1"/>
      <c r="BR91" s="1"/>
      <c r="BS91" s="62"/>
      <c r="BT91" s="62"/>
      <c r="BU91" s="62"/>
      <c r="BV91" s="62"/>
      <c r="BW91" s="62"/>
      <c r="BX91" s="62"/>
      <c r="BY91" s="206"/>
      <c r="BZ91" s="206"/>
      <c r="CA91" s="206"/>
      <c r="CB91" s="206"/>
      <c r="CC91" s="206"/>
      <c r="CD91" s="206"/>
      <c r="CE91" s="206"/>
      <c r="CF91" s="206"/>
      <c r="CG91" s="206"/>
      <c r="CH91" s="206"/>
      <c r="CI91" s="206"/>
      <c r="CJ91" s="206"/>
      <c r="CK91" s="206"/>
      <c r="CL91" s="206"/>
      <c r="CM91" s="206"/>
      <c r="CN91" s="206"/>
      <c r="CO91" s="206"/>
      <c r="CP91" s="55"/>
      <c r="CQ91" s="55"/>
      <c r="CR91" s="55"/>
      <c r="CS91" s="55"/>
      <c r="CT91" s="55"/>
      <c r="CU91" s="55"/>
      <c r="CV91" s="55"/>
      <c r="CW91" s="55"/>
      <c r="CX91" s="1"/>
    </row>
    <row r="92" spans="1:103">
      <c r="B92" s="51" t="s">
        <v>62</v>
      </c>
      <c r="C92" s="3"/>
      <c r="D92" s="10"/>
      <c r="E92" s="16"/>
      <c r="F92" s="10"/>
      <c r="G92" s="10"/>
      <c r="H92" s="23"/>
      <c r="J92" s="23"/>
      <c r="K92" s="181"/>
      <c r="M92" s="2"/>
      <c r="P92" s="1"/>
      <c r="AY92" s="17" t="str">
        <f>IF(Ergebnisse!K59=Ergebnisse!$B$98,Ergebnisse!K59,"")</f>
        <v/>
      </c>
      <c r="AZ92" s="206"/>
      <c r="BB92" s="51" t="s">
        <v>64</v>
      </c>
      <c r="BC92" s="3"/>
      <c r="BD92" s="10"/>
      <c r="BE92" s="16"/>
      <c r="BF92" s="10"/>
      <c r="BG92" s="10"/>
      <c r="BH92" s="23"/>
      <c r="BJ92" s="23"/>
      <c r="BK92" s="181"/>
      <c r="BM92" s="50" t="s">
        <v>70</v>
      </c>
      <c r="BP92" s="1"/>
      <c r="BS92" s="55"/>
      <c r="BT92" s="55"/>
      <c r="BU92" s="55"/>
      <c r="BV92" s="55"/>
      <c r="BW92" s="55"/>
      <c r="BX92" s="55"/>
      <c r="BY92" s="206"/>
      <c r="BZ92" s="206"/>
      <c r="CA92" s="206"/>
      <c r="CB92" s="206"/>
      <c r="CC92" s="206"/>
      <c r="CD92" s="206"/>
      <c r="CE92" s="206"/>
      <c r="CF92" s="206"/>
      <c r="CG92" s="206"/>
      <c r="CH92" s="206"/>
      <c r="CI92" s="206"/>
      <c r="CJ92" s="206"/>
      <c r="CK92" s="206"/>
      <c r="CL92" s="206"/>
      <c r="CM92" s="206"/>
      <c r="CN92" s="206"/>
      <c r="CO92" s="206"/>
      <c r="CP92" s="55"/>
      <c r="CQ92" s="55"/>
      <c r="CR92" s="55"/>
      <c r="CS92" s="55"/>
      <c r="CT92" s="55"/>
      <c r="CU92" s="55"/>
      <c r="CV92" s="55"/>
      <c r="CW92" s="55"/>
      <c r="CY92" s="17"/>
    </row>
    <row r="93" spans="1:103">
      <c r="B93" s="3" t="s">
        <v>22</v>
      </c>
      <c r="C93" s="3" t="s">
        <v>23</v>
      </c>
      <c r="D93" s="10"/>
      <c r="E93" s="16"/>
      <c r="F93" s="10"/>
      <c r="G93" s="10"/>
      <c r="H93" s="64"/>
      <c r="J93" s="64"/>
      <c r="K93" s="181"/>
      <c r="M93" s="2" t="s">
        <v>63</v>
      </c>
      <c r="P93" s="1"/>
      <c r="Q93" s="1"/>
      <c r="R93" s="1"/>
      <c r="S93" s="62"/>
      <c r="T93" s="62"/>
      <c r="U93" s="62"/>
      <c r="V93" s="62"/>
      <c r="W93" s="62"/>
      <c r="AO93" s="62"/>
      <c r="AX93" s="17">
        <f ca="1">IF(M94=Ergebnisse!M94,24,0)</f>
        <v>0</v>
      </c>
      <c r="AY93" s="17" t="str">
        <f ca="1">IF(Ergebnisse!K94=Ergebnisse!$B$98,Ergebnisse!K94,"")</f>
        <v>ok</v>
      </c>
      <c r="AZ93" s="206"/>
      <c r="BB93" s="3" t="s">
        <v>22</v>
      </c>
      <c r="BC93" s="3" t="s">
        <v>23</v>
      </c>
      <c r="BD93" s="10"/>
      <c r="BE93" s="16"/>
      <c r="BF93" s="10"/>
      <c r="BG93" s="10"/>
      <c r="BH93" s="23"/>
      <c r="BJ93" s="64"/>
      <c r="BK93" s="181"/>
      <c r="BM93" s="2"/>
      <c r="BP93" s="1"/>
      <c r="BQ93" s="1"/>
      <c r="BR93" s="1"/>
      <c r="BS93" s="62"/>
      <c r="BT93" s="62"/>
      <c r="BU93" s="62"/>
      <c r="BV93" s="62"/>
      <c r="BW93" s="62"/>
      <c r="BX93" s="55"/>
      <c r="BZ93" s="55"/>
      <c r="CA93" s="55"/>
      <c r="CB93" s="55"/>
      <c r="CC93" s="55"/>
      <c r="CD93" s="206"/>
      <c r="CE93" s="206"/>
      <c r="CF93" s="204"/>
      <c r="CG93" s="62"/>
      <c r="CH93" s="62"/>
      <c r="CI93" s="55"/>
      <c r="CJ93" s="55"/>
      <c r="CK93" s="55"/>
      <c r="CL93" s="55"/>
      <c r="CM93" s="55"/>
      <c r="CN93" s="55"/>
      <c r="CO93" s="62"/>
      <c r="CP93" s="55"/>
      <c r="CQ93" s="55"/>
      <c r="CR93" s="55"/>
      <c r="CS93" s="55"/>
      <c r="CT93" s="55"/>
      <c r="CU93" s="55"/>
      <c r="CV93" s="55"/>
      <c r="CW93" s="55"/>
      <c r="CY93" s="17"/>
    </row>
    <row r="94" spans="1:103">
      <c r="A94" s="2">
        <f>IF(Ergebnisse!A94="","",Ergebnisse!A94)</f>
        <v>104</v>
      </c>
      <c r="B94" s="6">
        <f>IF(Ergebnisse!B94="","",Ergebnisse!B94)</f>
        <v>46222.625</v>
      </c>
      <c r="C94" s="6" t="str">
        <f>IF(Ergebnisse!C94="","",Ergebnisse!C94)</f>
        <v>New York</v>
      </c>
      <c r="D94" s="33" t="s">
        <v>69</v>
      </c>
      <c r="E94" s="21"/>
      <c r="F94" s="33" t="s">
        <v>221</v>
      </c>
      <c r="G94" s="17"/>
      <c r="H94" s="57">
        <v>1</v>
      </c>
      <c r="I94" s="11" t="s">
        <v>25</v>
      </c>
      <c r="J94" s="57">
        <v>0</v>
      </c>
      <c r="L94" s="1"/>
      <c r="M94" s="52" t="s">
        <v>69</v>
      </c>
      <c r="N94" s="1"/>
      <c r="O94" s="1"/>
      <c r="Q94" s="1"/>
      <c r="R94" s="1"/>
      <c r="S94" s="62"/>
      <c r="T94" s="62"/>
      <c r="U94" s="62"/>
      <c r="V94" s="62"/>
      <c r="W94" s="62"/>
      <c r="AO94" s="62"/>
      <c r="AX94" s="17">
        <f ca="1">IF(AY94="",0,IF($CX$97="",  4*(D94=Ergebnisse!D94) + 4*(F94=Ergebnisse!F94) + (SIGN(H94-J94)=SIGN(Ergebnisse!H94-Ergebnisse!J94))*7 + (H94=Ergebnisse!H94) + (J94=Ergebnisse!J94), INT(RAND()*18)))</f>
        <v>4</v>
      </c>
      <c r="AY94" s="17" t="str">
        <f ca="1">IF(Ergebnisse!K94=Ergebnisse!$B$98,Ergebnisse!K94,"")</f>
        <v>ok</v>
      </c>
      <c r="AZ94" s="206"/>
      <c r="BA94" s="2">
        <f>IF(Ergebnisse!BA94="","",Ergebnisse!BA94)</f>
        <v>103</v>
      </c>
      <c r="BB94" s="6">
        <f>IF(Ergebnisse!BB94="","",Ergebnisse!BB94)</f>
        <v>46221.708333333336</v>
      </c>
      <c r="BC94" s="6" t="str">
        <f>IF(Ergebnisse!BC94="","",Ergebnisse!BC94)</f>
        <v>Miami</v>
      </c>
      <c r="BD94" s="22" t="s">
        <v>66</v>
      </c>
      <c r="BE94" s="21"/>
      <c r="BF94" s="22" t="s">
        <v>70</v>
      </c>
      <c r="BG94" s="17"/>
      <c r="BH94" s="57">
        <v>1</v>
      </c>
      <c r="BI94" s="11" t="s">
        <v>25</v>
      </c>
      <c r="BJ94" s="57">
        <v>0</v>
      </c>
      <c r="BL94" s="1"/>
      <c r="BM94" s="3" t="s">
        <v>66</v>
      </c>
      <c r="BN94" s="1"/>
      <c r="BO94" s="1"/>
      <c r="BQ94" s="1"/>
      <c r="BR94" s="1"/>
      <c r="BS94" s="62"/>
      <c r="BT94" s="62"/>
      <c r="BU94" s="62"/>
      <c r="BV94" s="62"/>
      <c r="BW94" s="62"/>
      <c r="BX94" s="55"/>
      <c r="BZ94" s="55"/>
      <c r="CA94" s="55"/>
      <c r="CB94" s="55"/>
      <c r="CC94" s="55"/>
      <c r="CD94" s="206"/>
      <c r="CE94" s="206"/>
      <c r="CF94" s="204"/>
      <c r="CG94" s="62"/>
      <c r="CH94" s="62"/>
      <c r="CI94" s="55"/>
      <c r="CJ94" s="55"/>
      <c r="CK94" s="55"/>
      <c r="CL94" s="55"/>
      <c r="CM94" s="55"/>
      <c r="CN94" s="55"/>
      <c r="CO94" s="62"/>
      <c r="CP94" s="55"/>
      <c r="CQ94" s="55"/>
      <c r="CR94" s="55"/>
      <c r="CS94" s="55"/>
      <c r="CT94" s="55"/>
      <c r="CU94" s="55"/>
      <c r="CV94" s="55"/>
      <c r="CW94" s="55"/>
      <c r="CX94" s="17">
        <f ca="1">IF(CY94="",0,IF($CX$97="",  4*(BD94=Ergebnisse!BD94) + 4*(BF94=Ergebnisse!BF94) + (SIGN(BH94-BJ94)=SIGN(Ergebnisse!BH94-Ergebnisse!BJ94))*7 + (BH94=Ergebnisse!BH94) + (BJ94=Ergebnisse!BJ94), INT(RAND()*18)))</f>
        <v>9</v>
      </c>
      <c r="CY94" s="17" t="str">
        <f ca="1">IF(Ergebnisse!BK94=Ergebnisse!$B$98,Ergebnisse!BK94,"")</f>
        <v>ok</v>
      </c>
    </row>
    <row r="95" spans="1:103">
      <c r="H95" s="2"/>
      <c r="I95" s="2"/>
      <c r="J95" s="2"/>
      <c r="K95" s="2"/>
      <c r="M95" s="2"/>
      <c r="S95" s="2"/>
      <c r="T95" s="2"/>
      <c r="U95" s="2"/>
      <c r="V95" s="2"/>
      <c r="W95" s="2"/>
      <c r="X95" s="2"/>
      <c r="Y95" s="2"/>
      <c r="Z95" s="2"/>
      <c r="AA95" s="2"/>
      <c r="AB95" s="2"/>
      <c r="AC95" s="2"/>
      <c r="AD95" s="2"/>
      <c r="AI95" s="2"/>
      <c r="AJ95" s="2"/>
      <c r="AK95" s="2"/>
      <c r="AL95" s="2"/>
      <c r="AM95" s="2"/>
      <c r="AN95" s="2"/>
      <c r="AO95" s="2"/>
      <c r="AP95" s="2"/>
      <c r="AQ95" s="2"/>
      <c r="AR95" s="2"/>
      <c r="AS95" s="2"/>
      <c r="AT95" s="2"/>
      <c r="AU95" s="2"/>
      <c r="AV95" s="2"/>
      <c r="AZ95" s="206"/>
      <c r="BD95" s="10"/>
      <c r="BE95" s="16"/>
      <c r="BF95" s="10"/>
      <c r="BG95" s="10"/>
      <c r="BH95" s="23"/>
      <c r="BJ95" s="23"/>
      <c r="BK95" s="181"/>
      <c r="BM95" s="2"/>
      <c r="BQ95" s="1"/>
      <c r="BR95" s="1"/>
      <c r="BS95" s="62"/>
      <c r="BT95" s="62"/>
      <c r="BU95" s="62"/>
      <c r="BV95" s="62"/>
      <c r="BW95" s="62"/>
      <c r="BX95" s="55"/>
      <c r="BZ95" s="55"/>
      <c r="CA95" s="55"/>
      <c r="CB95" s="55"/>
      <c r="CC95" s="55"/>
      <c r="CD95" s="206"/>
      <c r="CE95" s="206"/>
      <c r="CF95" s="204"/>
      <c r="CG95" s="62"/>
      <c r="CH95" s="62"/>
      <c r="CI95" s="55"/>
      <c r="CJ95" s="55"/>
      <c r="CK95" s="55"/>
      <c r="CL95" s="55"/>
      <c r="CM95" s="55"/>
      <c r="CN95" s="55"/>
      <c r="CO95" s="62"/>
      <c r="CP95" s="55"/>
      <c r="CQ95" s="55"/>
      <c r="CR95" s="55"/>
      <c r="CS95" s="55"/>
      <c r="CT95" s="55"/>
      <c r="CU95" s="55"/>
      <c r="CV95" s="55"/>
      <c r="CW95" s="55"/>
    </row>
    <row r="96" spans="1:103" ht="15.75">
      <c r="H96" s="2"/>
      <c r="I96" s="2"/>
      <c r="J96" s="2"/>
      <c r="K96" s="2"/>
      <c r="M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78">
        <f ca="1">SUMIF(AY1:AY94,Ergebnisse!$B$98,AX1:AX94)</f>
        <v>156</v>
      </c>
      <c r="AZ96" s="2"/>
      <c r="BA96"/>
      <c r="BB96"/>
      <c r="BC96"/>
      <c r="BD96"/>
      <c r="BE96"/>
      <c r="BF96"/>
      <c r="BG96"/>
      <c r="BH96"/>
      <c r="BI96"/>
      <c r="BJ96"/>
      <c r="BK96"/>
      <c r="BL96"/>
      <c r="BM96"/>
      <c r="BN96"/>
      <c r="BO96"/>
      <c r="BP96"/>
      <c r="BQ96"/>
      <c r="BR96"/>
      <c r="BS96"/>
      <c r="BT96"/>
      <c r="BU96"/>
      <c r="BV96"/>
      <c r="BW96"/>
      <c r="BX96"/>
      <c r="BY96"/>
      <c r="BZ96"/>
      <c r="CA96"/>
      <c r="CB96"/>
      <c r="CC96"/>
      <c r="CD96"/>
      <c r="CE96"/>
      <c r="CF96"/>
      <c r="CG96" s="206"/>
      <c r="CH96" s="206"/>
      <c r="CI96" s="206"/>
      <c r="CJ96" s="206"/>
      <c r="CK96" s="206"/>
      <c r="CL96" s="206"/>
      <c r="CM96" s="206"/>
      <c r="CN96" s="206"/>
      <c r="CO96" s="206"/>
      <c r="CX96" s="78">
        <f ca="1">SUMIF(CY1:CY94,Ergebnisse!$B$98,CX1:CX94)</f>
        <v>102</v>
      </c>
    </row>
    <row r="97" spans="4:103" ht="13.5" thickBot="1">
      <c r="H97" s="8"/>
      <c r="I97" s="8"/>
      <c r="J97" s="8"/>
      <c r="K97" s="8"/>
      <c r="M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17">
        <f>IF(ISNA(Historie!B172),0,Historie!B172)</f>
        <v>0</v>
      </c>
      <c r="AY97" s="2" t="s">
        <v>200</v>
      </c>
      <c r="AZ97" s="2"/>
      <c r="BH97" s="8"/>
      <c r="BI97" s="8"/>
      <c r="BJ97" s="8"/>
      <c r="BK97" s="8"/>
      <c r="BM97" s="2"/>
      <c r="BY97" s="2"/>
      <c r="CY97" s="1" t="s">
        <v>85</v>
      </c>
    </row>
    <row r="98" spans="4:103" ht="17.25" thickTop="1" thickBot="1">
      <c r="D98" s="3"/>
      <c r="E98" s="3"/>
      <c r="F98" s="3"/>
      <c r="G98" s="82"/>
      <c r="H98" s="178"/>
      <c r="AD98" s="63"/>
      <c r="AX98" s="77">
        <f ca="1">AX96+CX96+AX97</f>
        <v>258</v>
      </c>
      <c r="AY98" s="1" t="s">
        <v>86</v>
      </c>
      <c r="BH98" s="8"/>
      <c r="BI98" s="8"/>
      <c r="BJ98" s="8"/>
      <c r="BK98" s="8"/>
      <c r="CD98" s="3"/>
      <c r="CY98" s="17"/>
    </row>
    <row r="99" spans="4:103" ht="13.5" thickTop="1">
      <c r="E99" s="3"/>
      <c r="F99" s="3"/>
      <c r="AD99" s="63"/>
      <c r="BH99" s="8"/>
      <c r="BI99" s="8"/>
      <c r="BJ99" s="8"/>
      <c r="BK99" s="8"/>
      <c r="CD99" s="3"/>
    </row>
    <row r="100" spans="4:103">
      <c r="E100" s="3"/>
      <c r="F100" s="3"/>
      <c r="AD100" s="63"/>
      <c r="BH100" s="8"/>
      <c r="BI100" s="8"/>
      <c r="BJ100" s="8"/>
      <c r="BK100" s="8"/>
      <c r="CD100" s="3"/>
    </row>
    <row r="104" spans="4:103">
      <c r="AX104" s="13"/>
      <c r="AY104" s="13"/>
      <c r="CY104" s="17"/>
    </row>
  </sheetData>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Ergebnisse</vt:lpstr>
      <vt:lpstr>Tiprunde</vt:lpstr>
      <vt:lpstr>Vergleich</vt:lpstr>
      <vt:lpstr>Historie</vt:lpstr>
      <vt:lpstr>Diagramme</vt:lpstr>
      <vt:lpstr>Bernd</vt:lpstr>
      <vt:lpstr>Mitspieler</vt:lpstr>
      <vt:lpstr>Random</vt:lpstr>
      <vt:lpstr>Rangliste</vt:lpstr>
      <vt:lpstr>Fest</vt:lpstr>
      <vt:lpstr>Nobody</vt:lpstr>
      <vt:lpstr>FIFA</vt:lpstr>
      <vt:lpstr>Spiele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Schubert</dc:creator>
  <cp:lastModifiedBy>Bernd Schubert</cp:lastModifiedBy>
  <cp:lastPrinted>2006-05-21T10:46:31Z</cp:lastPrinted>
  <dcterms:created xsi:type="dcterms:W3CDTF">2000-06-07T05:43:06Z</dcterms:created>
  <dcterms:modified xsi:type="dcterms:W3CDTF">2026-06-01T19:47:43Z</dcterms:modified>
</cp:coreProperties>
</file>